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zotov/Dropbox/Триколор/Ежемесячные отчеты/Июль 2021/Отчет июль/"/>
    </mc:Choice>
  </mc:AlternateContent>
  <xr:revisionPtr revIDLastSave="0" documentId="13_ncr:1_{FE054776-C194-2749-A18D-F69964AC95AB}" xr6:coauthVersionLast="47" xr6:coauthVersionMax="47" xr10:uidLastSave="{00000000-0000-0000-0000-000000000000}"/>
  <bookViews>
    <workbookView xWindow="0" yWindow="500" windowWidth="28800" windowHeight="15960" xr2:uid="{00000000-000D-0000-FFFF-FFFF00000000}"/>
  </bookViews>
  <sheets>
    <sheet name="Упоминания"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685" i="1" l="1"/>
  <c r="J3685" i="1"/>
  <c r="G3685" i="1"/>
  <c r="P3684" i="1"/>
  <c r="J3684" i="1"/>
  <c r="G3684" i="1"/>
  <c r="P3683" i="1"/>
  <c r="J3683" i="1"/>
  <c r="G3683" i="1"/>
  <c r="P3682" i="1"/>
  <c r="J3682" i="1"/>
  <c r="G3682" i="1"/>
  <c r="AL3681" i="1"/>
  <c r="P3681" i="1"/>
  <c r="J3681" i="1"/>
  <c r="G3681" i="1"/>
  <c r="AL3680" i="1"/>
  <c r="G3680" i="1"/>
  <c r="P3679" i="1"/>
  <c r="J3679" i="1"/>
  <c r="G3679" i="1"/>
  <c r="P3678" i="1"/>
  <c r="J3678" i="1"/>
  <c r="G3678" i="1"/>
  <c r="P3677" i="1"/>
  <c r="J3677" i="1"/>
  <c r="G3677" i="1"/>
  <c r="P3676" i="1"/>
  <c r="J3676" i="1"/>
  <c r="G3676" i="1"/>
  <c r="P3675" i="1"/>
  <c r="J3675" i="1"/>
  <c r="G3675" i="1"/>
  <c r="P3674" i="1"/>
  <c r="J3674" i="1"/>
  <c r="G3674" i="1"/>
  <c r="P3673" i="1"/>
  <c r="J3673" i="1"/>
  <c r="G3673" i="1"/>
  <c r="P3672" i="1"/>
  <c r="J3672" i="1"/>
  <c r="G3672" i="1"/>
  <c r="P3671" i="1"/>
  <c r="J3671" i="1"/>
  <c r="G3671" i="1"/>
  <c r="P3670" i="1"/>
  <c r="J3670" i="1"/>
  <c r="G3670" i="1"/>
  <c r="P3669" i="1"/>
  <c r="J3669" i="1"/>
  <c r="G3669" i="1"/>
  <c r="P3668" i="1"/>
  <c r="J3668" i="1"/>
  <c r="G3668" i="1"/>
  <c r="AL3667" i="1"/>
  <c r="P3667" i="1"/>
  <c r="J3667" i="1"/>
  <c r="G3667" i="1"/>
  <c r="P3666" i="1"/>
  <c r="J3666" i="1"/>
  <c r="G3666" i="1"/>
  <c r="P3665" i="1"/>
  <c r="J3665" i="1"/>
  <c r="G3665" i="1"/>
  <c r="P3664" i="1"/>
  <c r="J3664" i="1"/>
  <c r="G3664" i="1"/>
  <c r="P3663" i="1"/>
  <c r="J3663" i="1"/>
  <c r="G3663" i="1"/>
  <c r="P3662" i="1"/>
  <c r="J3662" i="1"/>
  <c r="G3662" i="1"/>
  <c r="P3661" i="1"/>
  <c r="J3661" i="1"/>
  <c r="G3661" i="1"/>
  <c r="P3660" i="1"/>
  <c r="J3660" i="1"/>
  <c r="G3660" i="1"/>
  <c r="P3659" i="1"/>
  <c r="J3659" i="1"/>
  <c r="G3659" i="1"/>
  <c r="P3658" i="1"/>
  <c r="J3658" i="1"/>
  <c r="G3658" i="1"/>
  <c r="P3657" i="1"/>
  <c r="J3657" i="1"/>
  <c r="G3657" i="1"/>
  <c r="P3656" i="1"/>
  <c r="J3656" i="1"/>
  <c r="G3656" i="1"/>
  <c r="P3655" i="1"/>
  <c r="J3655" i="1"/>
  <c r="G3655" i="1"/>
  <c r="P3654" i="1"/>
  <c r="J3654" i="1"/>
  <c r="G3654" i="1"/>
  <c r="P3653" i="1"/>
  <c r="J3653" i="1"/>
  <c r="G3653" i="1"/>
  <c r="P3652" i="1"/>
  <c r="J3652" i="1"/>
  <c r="G3652" i="1"/>
  <c r="P3651" i="1"/>
  <c r="J3651" i="1"/>
  <c r="G3651" i="1"/>
  <c r="P3650" i="1"/>
  <c r="J3650" i="1"/>
  <c r="G3650" i="1"/>
  <c r="P3649" i="1"/>
  <c r="J3649" i="1"/>
  <c r="G3649" i="1"/>
  <c r="P3648" i="1"/>
  <c r="J3648" i="1"/>
  <c r="G3648" i="1"/>
  <c r="AL3647" i="1"/>
  <c r="P3647" i="1"/>
  <c r="J3647" i="1"/>
  <c r="G3647" i="1"/>
  <c r="AL3646" i="1"/>
  <c r="J3646" i="1"/>
  <c r="G3646" i="1"/>
  <c r="P3645" i="1"/>
  <c r="J3645" i="1"/>
  <c r="G3645" i="1"/>
  <c r="P3644" i="1"/>
  <c r="J3644" i="1"/>
  <c r="G3644" i="1"/>
  <c r="P3643" i="1"/>
  <c r="J3643" i="1"/>
  <c r="G3643" i="1"/>
  <c r="P3642" i="1"/>
  <c r="J3642" i="1"/>
  <c r="G3642" i="1"/>
  <c r="P3641" i="1"/>
  <c r="J3641" i="1"/>
  <c r="G3641" i="1"/>
  <c r="P3640" i="1"/>
  <c r="J3640" i="1"/>
  <c r="G3640" i="1"/>
  <c r="AL3639" i="1"/>
  <c r="P3639" i="1"/>
  <c r="J3639" i="1"/>
  <c r="G3639" i="1"/>
  <c r="P3638" i="1"/>
  <c r="J3638" i="1"/>
  <c r="G3638" i="1"/>
  <c r="P3637" i="1"/>
  <c r="J3637" i="1"/>
  <c r="G3637" i="1"/>
  <c r="P3636" i="1"/>
  <c r="J3636" i="1"/>
  <c r="G3636" i="1"/>
  <c r="P3635" i="1"/>
  <c r="J3635" i="1"/>
  <c r="G3635" i="1"/>
  <c r="P3634" i="1"/>
  <c r="J3634" i="1"/>
  <c r="G3634" i="1"/>
  <c r="P3633" i="1"/>
  <c r="J3633" i="1"/>
  <c r="G3633" i="1"/>
  <c r="P3632" i="1"/>
  <c r="J3632" i="1"/>
  <c r="G3632" i="1"/>
  <c r="P3631" i="1"/>
  <c r="J3631" i="1"/>
  <c r="G3631" i="1"/>
  <c r="P3630" i="1"/>
  <c r="J3630" i="1"/>
  <c r="G3630" i="1"/>
  <c r="P3629" i="1"/>
  <c r="J3629" i="1"/>
  <c r="G3629" i="1"/>
  <c r="P3628" i="1"/>
  <c r="J3628" i="1"/>
  <c r="G3628" i="1"/>
  <c r="P3627" i="1"/>
  <c r="J3627" i="1"/>
  <c r="G3627" i="1"/>
  <c r="P3626" i="1"/>
  <c r="J3626" i="1"/>
  <c r="G3626" i="1"/>
  <c r="P3625" i="1"/>
  <c r="J3625" i="1"/>
  <c r="G3625" i="1"/>
  <c r="P3624" i="1"/>
  <c r="J3624" i="1"/>
  <c r="G3624" i="1"/>
  <c r="P3623" i="1"/>
  <c r="J3623" i="1"/>
  <c r="G3623" i="1"/>
  <c r="P3622" i="1"/>
  <c r="J3622" i="1"/>
  <c r="G3622" i="1"/>
  <c r="P3621" i="1"/>
  <c r="J3621" i="1"/>
  <c r="G3621" i="1"/>
  <c r="P3620" i="1"/>
  <c r="J3620" i="1"/>
  <c r="G3620" i="1"/>
  <c r="P3619" i="1"/>
  <c r="J3619" i="1"/>
  <c r="G3619" i="1"/>
  <c r="AL3618" i="1"/>
  <c r="P3618" i="1"/>
  <c r="J3618" i="1"/>
  <c r="G3618" i="1"/>
  <c r="P3617" i="1"/>
  <c r="J3617" i="1"/>
  <c r="G3617" i="1"/>
  <c r="P3616" i="1"/>
  <c r="J3616" i="1"/>
  <c r="G3616" i="1"/>
  <c r="P3615" i="1"/>
  <c r="J3615" i="1"/>
  <c r="G3615" i="1"/>
  <c r="P3614" i="1"/>
  <c r="J3614" i="1"/>
  <c r="G3614" i="1"/>
  <c r="P3613" i="1"/>
  <c r="J3613" i="1"/>
  <c r="G3613" i="1"/>
  <c r="P3612" i="1"/>
  <c r="J3612" i="1"/>
  <c r="G3612" i="1"/>
  <c r="P3611" i="1"/>
  <c r="J3611" i="1"/>
  <c r="G3611" i="1"/>
  <c r="P3610" i="1"/>
  <c r="J3610" i="1"/>
  <c r="G3610" i="1"/>
  <c r="P3609" i="1"/>
  <c r="J3609" i="1"/>
  <c r="G3609" i="1"/>
  <c r="P3608" i="1"/>
  <c r="J3608" i="1"/>
  <c r="G3608" i="1"/>
  <c r="P3607" i="1"/>
  <c r="J3607" i="1"/>
  <c r="G3607" i="1"/>
  <c r="P3606" i="1"/>
  <c r="J3606" i="1"/>
  <c r="G3606" i="1"/>
  <c r="P3605" i="1"/>
  <c r="J3605" i="1"/>
  <c r="G3605" i="1"/>
  <c r="P3604" i="1"/>
  <c r="J3604" i="1"/>
  <c r="G3604" i="1"/>
  <c r="P3603" i="1"/>
  <c r="J3603" i="1"/>
  <c r="G3603" i="1"/>
  <c r="P3602" i="1"/>
  <c r="J3602" i="1"/>
  <c r="G3602" i="1"/>
  <c r="P3601" i="1"/>
  <c r="J3601" i="1"/>
  <c r="G3601" i="1"/>
  <c r="P3600" i="1"/>
  <c r="J3600" i="1"/>
  <c r="G3600" i="1"/>
  <c r="P3599" i="1"/>
  <c r="J3599" i="1"/>
  <c r="G3599" i="1"/>
  <c r="P3598" i="1"/>
  <c r="J3598" i="1"/>
  <c r="G3598" i="1"/>
  <c r="P3597" i="1"/>
  <c r="J3597" i="1"/>
  <c r="G3597" i="1"/>
  <c r="P3596" i="1"/>
  <c r="J3596" i="1"/>
  <c r="G3596" i="1"/>
  <c r="P3595" i="1"/>
  <c r="J3595" i="1"/>
  <c r="G3595" i="1"/>
  <c r="P3594" i="1"/>
  <c r="J3594" i="1"/>
  <c r="G3594" i="1"/>
  <c r="P3593" i="1"/>
  <c r="J3593" i="1"/>
  <c r="G3593" i="1"/>
  <c r="P3592" i="1"/>
  <c r="J3592" i="1"/>
  <c r="G3592" i="1"/>
  <c r="P3591" i="1"/>
  <c r="J3591" i="1"/>
  <c r="G3591" i="1"/>
  <c r="P3590" i="1"/>
  <c r="J3590" i="1"/>
  <c r="G3590" i="1"/>
  <c r="P3589" i="1"/>
  <c r="J3589" i="1"/>
  <c r="G3589" i="1"/>
  <c r="P3588" i="1"/>
  <c r="J3588" i="1"/>
  <c r="G3588" i="1"/>
  <c r="P3587" i="1"/>
  <c r="J3587" i="1"/>
  <c r="G3587" i="1"/>
  <c r="P3586" i="1"/>
  <c r="J3586" i="1"/>
  <c r="G3586" i="1"/>
  <c r="P3585" i="1"/>
  <c r="J3585" i="1"/>
  <c r="G3585" i="1"/>
  <c r="P3584" i="1"/>
  <c r="J3584" i="1"/>
  <c r="G3584" i="1"/>
  <c r="P3583" i="1"/>
  <c r="J3583" i="1"/>
  <c r="G3583" i="1"/>
  <c r="P3582" i="1"/>
  <c r="J3582" i="1"/>
  <c r="G3582" i="1"/>
  <c r="AL3581" i="1"/>
  <c r="P3581" i="1"/>
  <c r="J3581" i="1"/>
  <c r="G3581" i="1"/>
  <c r="P3580" i="1"/>
  <c r="J3580" i="1"/>
  <c r="G3580" i="1"/>
  <c r="P3579" i="1"/>
  <c r="J3579" i="1"/>
  <c r="G3579" i="1"/>
  <c r="P3578" i="1"/>
  <c r="J3578" i="1"/>
  <c r="G3578" i="1"/>
  <c r="P3577" i="1"/>
  <c r="J3577" i="1"/>
  <c r="G3577" i="1"/>
  <c r="P3576" i="1"/>
  <c r="J3576" i="1"/>
  <c r="G3576" i="1"/>
  <c r="P3575" i="1"/>
  <c r="J3575" i="1"/>
  <c r="G3575" i="1"/>
  <c r="P3574" i="1"/>
  <c r="J3574" i="1"/>
  <c r="G3574" i="1"/>
  <c r="P3573" i="1"/>
  <c r="J3573" i="1"/>
  <c r="G3573" i="1"/>
  <c r="P3572" i="1"/>
  <c r="J3572" i="1"/>
  <c r="G3572" i="1"/>
  <c r="P3571" i="1"/>
  <c r="J3571" i="1"/>
  <c r="G3571" i="1"/>
  <c r="P3570" i="1"/>
  <c r="J3570" i="1"/>
  <c r="G3570" i="1"/>
  <c r="P3569" i="1"/>
  <c r="J3569" i="1"/>
  <c r="G3569" i="1"/>
  <c r="P3568" i="1"/>
  <c r="J3568" i="1"/>
  <c r="G3568" i="1"/>
  <c r="P3567" i="1"/>
  <c r="J3567" i="1"/>
  <c r="G3567" i="1"/>
  <c r="P3566" i="1"/>
  <c r="J3566" i="1"/>
  <c r="G3566" i="1"/>
  <c r="P3565" i="1"/>
  <c r="J3565" i="1"/>
  <c r="G3565" i="1"/>
  <c r="P3564" i="1"/>
  <c r="J3564" i="1"/>
  <c r="G3564" i="1"/>
  <c r="P3563" i="1"/>
  <c r="J3563" i="1"/>
  <c r="G3563" i="1"/>
  <c r="P3562" i="1"/>
  <c r="J3562" i="1"/>
  <c r="G3562" i="1"/>
  <c r="P3561" i="1"/>
  <c r="J3561" i="1"/>
  <c r="G3561" i="1"/>
  <c r="G3560" i="1"/>
  <c r="P3559" i="1"/>
  <c r="J3559" i="1"/>
  <c r="G3559" i="1"/>
  <c r="P3558" i="1"/>
  <c r="J3558" i="1"/>
  <c r="G3558" i="1"/>
  <c r="P3557" i="1"/>
  <c r="J3557" i="1"/>
  <c r="G3557" i="1"/>
  <c r="P3556" i="1"/>
  <c r="J3556" i="1"/>
  <c r="G3556" i="1"/>
  <c r="P3555" i="1"/>
  <c r="J3555" i="1"/>
  <c r="G3555" i="1"/>
  <c r="P3554" i="1"/>
  <c r="J3554" i="1"/>
  <c r="G3554" i="1"/>
  <c r="P3553" i="1"/>
  <c r="J3553" i="1"/>
  <c r="G3553" i="1"/>
  <c r="AL3552" i="1"/>
  <c r="G3552" i="1"/>
  <c r="AL3551" i="1"/>
  <c r="G3551" i="1"/>
  <c r="P3550" i="1"/>
  <c r="J3550" i="1"/>
  <c r="G3550" i="1"/>
  <c r="J3549" i="1"/>
  <c r="G3549" i="1"/>
  <c r="P3548" i="1"/>
  <c r="J3548" i="1"/>
  <c r="G3548" i="1"/>
  <c r="P3547" i="1"/>
  <c r="J3547" i="1"/>
  <c r="G3547" i="1"/>
  <c r="P3546" i="1"/>
  <c r="J3546" i="1"/>
  <c r="G3546" i="1"/>
  <c r="P3545" i="1"/>
  <c r="J3545" i="1"/>
  <c r="G3545" i="1"/>
  <c r="P3544" i="1"/>
  <c r="J3544" i="1"/>
  <c r="G3544" i="1"/>
  <c r="P3543" i="1"/>
  <c r="J3543" i="1"/>
  <c r="G3543" i="1"/>
  <c r="P3542" i="1"/>
  <c r="J3542" i="1"/>
  <c r="G3542" i="1"/>
  <c r="P3541" i="1"/>
  <c r="J3541" i="1"/>
  <c r="G3541" i="1"/>
  <c r="P3540" i="1"/>
  <c r="J3540" i="1"/>
  <c r="G3540" i="1"/>
  <c r="P3539" i="1"/>
  <c r="J3539" i="1"/>
  <c r="G3539" i="1"/>
  <c r="AL3538" i="1"/>
  <c r="G3538" i="1"/>
  <c r="P3537" i="1"/>
  <c r="J3537" i="1"/>
  <c r="G3537" i="1"/>
  <c r="P3536" i="1"/>
  <c r="J3536" i="1"/>
  <c r="G3536" i="1"/>
  <c r="P3535" i="1"/>
  <c r="J3535" i="1"/>
  <c r="G3535" i="1"/>
  <c r="P3534" i="1"/>
  <c r="J3534" i="1"/>
  <c r="G3534" i="1"/>
  <c r="P3533" i="1"/>
  <c r="J3533" i="1"/>
  <c r="G3533" i="1"/>
  <c r="P3532" i="1"/>
  <c r="J3532" i="1"/>
  <c r="G3532" i="1"/>
  <c r="P3531" i="1"/>
  <c r="J3531" i="1"/>
  <c r="G3531" i="1"/>
  <c r="P3530" i="1"/>
  <c r="J3530" i="1"/>
  <c r="G3530" i="1"/>
  <c r="P3529" i="1"/>
  <c r="J3529" i="1"/>
  <c r="G3529" i="1"/>
  <c r="P3528" i="1"/>
  <c r="J3528" i="1"/>
  <c r="G3528" i="1"/>
  <c r="P3527" i="1"/>
  <c r="J3527" i="1"/>
  <c r="G3527" i="1"/>
  <c r="P3526" i="1"/>
  <c r="J3526" i="1"/>
  <c r="G3526" i="1"/>
  <c r="P3525" i="1"/>
  <c r="J3525" i="1"/>
  <c r="G3525" i="1"/>
  <c r="P3524" i="1"/>
  <c r="J3524" i="1"/>
  <c r="G3524" i="1"/>
  <c r="P3523" i="1"/>
  <c r="J3523" i="1"/>
  <c r="G3523" i="1"/>
  <c r="P3522" i="1"/>
  <c r="J3522" i="1"/>
  <c r="G3522" i="1"/>
  <c r="P3521" i="1"/>
  <c r="J3521" i="1"/>
  <c r="G3521" i="1"/>
  <c r="AL3520" i="1"/>
  <c r="P3520" i="1"/>
  <c r="J3520" i="1"/>
  <c r="G3520" i="1"/>
  <c r="P3519" i="1"/>
  <c r="J3519" i="1"/>
  <c r="G3519" i="1"/>
  <c r="P3518" i="1"/>
  <c r="J3518" i="1"/>
  <c r="G3518" i="1"/>
  <c r="P3517" i="1"/>
  <c r="J3517" i="1"/>
  <c r="G3517" i="1"/>
  <c r="P3516" i="1"/>
  <c r="J3516" i="1"/>
  <c r="G3516" i="1"/>
  <c r="AL3515" i="1"/>
  <c r="J3515" i="1"/>
  <c r="G3515" i="1"/>
  <c r="P3514" i="1"/>
  <c r="J3514" i="1"/>
  <c r="G3514" i="1"/>
  <c r="P3513" i="1"/>
  <c r="J3513" i="1"/>
  <c r="G3513" i="1"/>
  <c r="P3512" i="1"/>
  <c r="J3512" i="1"/>
  <c r="G3512" i="1"/>
  <c r="P3511" i="1"/>
  <c r="J3511" i="1"/>
  <c r="G3511" i="1"/>
  <c r="P3510" i="1"/>
  <c r="J3510" i="1"/>
  <c r="G3510" i="1"/>
  <c r="P3509" i="1"/>
  <c r="J3509" i="1"/>
  <c r="G3509" i="1"/>
  <c r="P3508" i="1"/>
  <c r="J3508" i="1"/>
  <c r="G3508" i="1"/>
  <c r="P3507" i="1"/>
  <c r="J3507" i="1"/>
  <c r="G3507" i="1"/>
  <c r="P3506" i="1"/>
  <c r="J3506" i="1"/>
  <c r="G3506" i="1"/>
  <c r="P3505" i="1"/>
  <c r="J3505" i="1"/>
  <c r="G3505" i="1"/>
  <c r="P3504" i="1"/>
  <c r="J3504" i="1"/>
  <c r="G3504" i="1"/>
  <c r="P3503" i="1"/>
  <c r="J3503" i="1"/>
  <c r="G3503" i="1"/>
  <c r="P3502" i="1"/>
  <c r="J3502" i="1"/>
  <c r="G3502" i="1"/>
  <c r="AL3501" i="1"/>
  <c r="P3501" i="1"/>
  <c r="J3501" i="1"/>
  <c r="G3501" i="1"/>
  <c r="P3500" i="1"/>
  <c r="J3500" i="1"/>
  <c r="G3500" i="1"/>
  <c r="P3499" i="1"/>
  <c r="J3499" i="1"/>
  <c r="G3499" i="1"/>
  <c r="P3498" i="1"/>
  <c r="J3498" i="1"/>
  <c r="G3498" i="1"/>
  <c r="P3497" i="1"/>
  <c r="J3497" i="1"/>
  <c r="G3497" i="1"/>
  <c r="P3496" i="1"/>
  <c r="J3496" i="1"/>
  <c r="G3496" i="1"/>
  <c r="P3495" i="1"/>
  <c r="J3495" i="1"/>
  <c r="G3495" i="1"/>
  <c r="P3494" i="1"/>
  <c r="J3494" i="1"/>
  <c r="G3494" i="1"/>
  <c r="P3493" i="1"/>
  <c r="J3493" i="1"/>
  <c r="G3493" i="1"/>
  <c r="P3492" i="1"/>
  <c r="J3492" i="1"/>
  <c r="G3492" i="1"/>
  <c r="P3491" i="1"/>
  <c r="J3491" i="1"/>
  <c r="G3491" i="1"/>
  <c r="AL3490" i="1"/>
  <c r="P3490" i="1"/>
  <c r="J3490" i="1"/>
  <c r="G3490" i="1"/>
  <c r="P3489" i="1"/>
  <c r="J3489" i="1"/>
  <c r="G3489" i="1"/>
  <c r="P3488" i="1"/>
  <c r="J3488" i="1"/>
  <c r="G3488" i="1"/>
  <c r="P3487" i="1"/>
  <c r="J3487" i="1"/>
  <c r="G3487" i="1"/>
  <c r="P3486" i="1"/>
  <c r="J3486" i="1"/>
  <c r="G3486" i="1"/>
  <c r="P3485" i="1"/>
  <c r="J3485" i="1"/>
  <c r="G3485" i="1"/>
  <c r="P3484" i="1"/>
  <c r="J3484" i="1"/>
  <c r="G3484" i="1"/>
  <c r="P3483" i="1"/>
  <c r="J3483" i="1"/>
  <c r="G3483" i="1"/>
  <c r="P3482" i="1"/>
  <c r="J3482" i="1"/>
  <c r="G3482" i="1"/>
  <c r="P3481" i="1"/>
  <c r="J3481" i="1"/>
  <c r="G3481" i="1"/>
  <c r="P3480" i="1"/>
  <c r="J3480" i="1"/>
  <c r="G3480" i="1"/>
  <c r="P3479" i="1"/>
  <c r="J3479" i="1"/>
  <c r="G3479" i="1"/>
  <c r="P3478" i="1"/>
  <c r="J3478" i="1"/>
  <c r="G3478" i="1"/>
  <c r="P3477" i="1"/>
  <c r="J3477" i="1"/>
  <c r="G3477" i="1"/>
  <c r="P3476" i="1"/>
  <c r="J3476" i="1"/>
  <c r="G3476" i="1"/>
  <c r="P3475" i="1"/>
  <c r="J3475" i="1"/>
  <c r="G3475" i="1"/>
  <c r="AL3474" i="1"/>
  <c r="P3474" i="1"/>
  <c r="J3474" i="1"/>
  <c r="G3474" i="1"/>
  <c r="P3473" i="1"/>
  <c r="J3473" i="1"/>
  <c r="G3473" i="1"/>
  <c r="AL3472" i="1"/>
  <c r="P3472" i="1"/>
  <c r="J3472" i="1"/>
  <c r="G3472" i="1"/>
  <c r="P3471" i="1"/>
  <c r="J3471" i="1"/>
  <c r="G3471" i="1"/>
  <c r="P3470" i="1"/>
  <c r="J3470" i="1"/>
  <c r="G3470" i="1"/>
  <c r="P3469" i="1"/>
  <c r="J3469" i="1"/>
  <c r="G3469" i="1"/>
  <c r="P3468" i="1"/>
  <c r="J3468" i="1"/>
  <c r="G3468" i="1"/>
  <c r="P3467" i="1"/>
  <c r="J3467" i="1"/>
  <c r="G3467" i="1"/>
  <c r="P3466" i="1"/>
  <c r="J3466" i="1"/>
  <c r="G3466" i="1"/>
  <c r="P3465" i="1"/>
  <c r="J3465" i="1"/>
  <c r="G3465" i="1"/>
  <c r="P3464" i="1"/>
  <c r="J3464" i="1"/>
  <c r="G3464" i="1"/>
  <c r="P3463" i="1"/>
  <c r="J3463" i="1"/>
  <c r="G3463" i="1"/>
  <c r="P3462" i="1"/>
  <c r="J3462" i="1"/>
  <c r="G3462" i="1"/>
  <c r="P3461" i="1"/>
  <c r="J3461" i="1"/>
  <c r="G3461" i="1"/>
  <c r="P3460" i="1"/>
  <c r="J3460" i="1"/>
  <c r="G3460" i="1"/>
  <c r="P3459" i="1"/>
  <c r="J3459" i="1"/>
  <c r="G3459" i="1"/>
  <c r="P3458" i="1"/>
  <c r="J3458" i="1"/>
  <c r="G3458" i="1"/>
  <c r="P3457" i="1"/>
  <c r="J3457" i="1"/>
  <c r="G3457" i="1"/>
  <c r="P3456" i="1"/>
  <c r="J3456" i="1"/>
  <c r="G3456" i="1"/>
  <c r="P3455" i="1"/>
  <c r="J3455" i="1"/>
  <c r="G3455" i="1"/>
  <c r="P3454" i="1"/>
  <c r="J3454" i="1"/>
  <c r="G3454" i="1"/>
  <c r="P3453" i="1"/>
  <c r="J3453" i="1"/>
  <c r="G3453" i="1"/>
  <c r="P3452" i="1"/>
  <c r="J3452" i="1"/>
  <c r="G3452" i="1"/>
  <c r="P3451" i="1"/>
  <c r="J3451" i="1"/>
  <c r="G3451" i="1"/>
  <c r="P3450" i="1"/>
  <c r="J3450" i="1"/>
  <c r="G3450" i="1"/>
  <c r="P3449" i="1"/>
  <c r="J3449" i="1"/>
  <c r="G3449" i="1"/>
  <c r="P3448" i="1"/>
  <c r="J3448" i="1"/>
  <c r="G3448" i="1"/>
  <c r="P3447" i="1"/>
  <c r="J3447" i="1"/>
  <c r="G3447" i="1"/>
  <c r="P3446" i="1"/>
  <c r="J3446" i="1"/>
  <c r="G3446" i="1"/>
  <c r="AL3445" i="1"/>
  <c r="G3445" i="1"/>
  <c r="P3444" i="1"/>
  <c r="J3444" i="1"/>
  <c r="G3444" i="1"/>
  <c r="AL3443" i="1"/>
  <c r="P3443" i="1"/>
  <c r="J3443" i="1"/>
  <c r="G3443" i="1"/>
  <c r="P3442" i="1"/>
  <c r="J3442" i="1"/>
  <c r="G3442" i="1"/>
  <c r="AL3441" i="1"/>
  <c r="P3441" i="1"/>
  <c r="J3441" i="1"/>
  <c r="G3441" i="1"/>
  <c r="P3440" i="1"/>
  <c r="J3440" i="1"/>
  <c r="G3440" i="1"/>
  <c r="P3439" i="1"/>
  <c r="J3439" i="1"/>
  <c r="G3439" i="1"/>
  <c r="P3438" i="1"/>
  <c r="J3438" i="1"/>
  <c r="G3438" i="1"/>
  <c r="P3437" i="1"/>
  <c r="J3437" i="1"/>
  <c r="G3437" i="1"/>
  <c r="P3436" i="1"/>
  <c r="J3436" i="1"/>
  <c r="G3436" i="1"/>
  <c r="P3435" i="1"/>
  <c r="J3435" i="1"/>
  <c r="G3435" i="1"/>
  <c r="P3434" i="1"/>
  <c r="J3434" i="1"/>
  <c r="G3434" i="1"/>
  <c r="P3433" i="1"/>
  <c r="J3433" i="1"/>
  <c r="G3433" i="1"/>
  <c r="P3432" i="1"/>
  <c r="J3432" i="1"/>
  <c r="G3432" i="1"/>
  <c r="P3431" i="1"/>
  <c r="J3431" i="1"/>
  <c r="G3431" i="1"/>
  <c r="P3430" i="1"/>
  <c r="J3430" i="1"/>
  <c r="G3430" i="1"/>
  <c r="P3429" i="1"/>
  <c r="J3429" i="1"/>
  <c r="G3429" i="1"/>
  <c r="P3428" i="1"/>
  <c r="J3428" i="1"/>
  <c r="G3428" i="1"/>
  <c r="P3427" i="1"/>
  <c r="J3427" i="1"/>
  <c r="G3427" i="1"/>
  <c r="P3426" i="1"/>
  <c r="J3426" i="1"/>
  <c r="G3426" i="1"/>
  <c r="P3425" i="1"/>
  <c r="J3425" i="1"/>
  <c r="G3425" i="1"/>
  <c r="P3424" i="1"/>
  <c r="J3424" i="1"/>
  <c r="G3424" i="1"/>
  <c r="P3423" i="1"/>
  <c r="J3423" i="1"/>
  <c r="G3423" i="1"/>
  <c r="P3422" i="1"/>
  <c r="J3422" i="1"/>
  <c r="G3422" i="1"/>
  <c r="P3421" i="1"/>
  <c r="J3421" i="1"/>
  <c r="G3421" i="1"/>
  <c r="P3420" i="1"/>
  <c r="J3420" i="1"/>
  <c r="G3420" i="1"/>
  <c r="P3419" i="1"/>
  <c r="J3419" i="1"/>
  <c r="G3419" i="1"/>
  <c r="P3418" i="1"/>
  <c r="J3418" i="1"/>
  <c r="G3418" i="1"/>
  <c r="P3417" i="1"/>
  <c r="J3417" i="1"/>
  <c r="G3417" i="1"/>
  <c r="P3416" i="1"/>
  <c r="J3416" i="1"/>
  <c r="G3416" i="1"/>
  <c r="P3415" i="1"/>
  <c r="J3415" i="1"/>
  <c r="G3415" i="1"/>
  <c r="P3414" i="1"/>
  <c r="J3414" i="1"/>
  <c r="G3414" i="1"/>
  <c r="P3413" i="1"/>
  <c r="J3413" i="1"/>
  <c r="G3413" i="1"/>
  <c r="P3412" i="1"/>
  <c r="J3412" i="1"/>
  <c r="G3412" i="1"/>
  <c r="P3411" i="1"/>
  <c r="J3411" i="1"/>
  <c r="G3411" i="1"/>
  <c r="P3410" i="1"/>
  <c r="J3410" i="1"/>
  <c r="G3410" i="1"/>
  <c r="P3409" i="1"/>
  <c r="J3409" i="1"/>
  <c r="G3409" i="1"/>
  <c r="P3408" i="1"/>
  <c r="J3408" i="1"/>
  <c r="G3408" i="1"/>
  <c r="AL3407" i="1"/>
  <c r="P3407" i="1"/>
  <c r="J3407" i="1"/>
  <c r="G3407" i="1"/>
  <c r="P3406" i="1"/>
  <c r="J3406" i="1"/>
  <c r="G3406" i="1"/>
  <c r="P3405" i="1"/>
  <c r="J3405" i="1"/>
  <c r="G3405" i="1"/>
  <c r="P3404" i="1"/>
  <c r="J3404" i="1"/>
  <c r="G3404" i="1"/>
  <c r="P3403" i="1"/>
  <c r="J3403" i="1"/>
  <c r="G3403" i="1"/>
  <c r="P3402" i="1"/>
  <c r="J3402" i="1"/>
  <c r="G3402" i="1"/>
  <c r="P3401" i="1"/>
  <c r="J3401" i="1"/>
  <c r="G3401" i="1"/>
  <c r="P3400" i="1"/>
  <c r="J3400" i="1"/>
  <c r="G3400" i="1"/>
  <c r="P3399" i="1"/>
  <c r="J3399" i="1"/>
  <c r="G3399" i="1"/>
  <c r="P3398" i="1"/>
  <c r="J3398" i="1"/>
  <c r="G3398" i="1"/>
  <c r="P3397" i="1"/>
  <c r="J3397" i="1"/>
  <c r="G3397" i="1"/>
  <c r="P3396" i="1"/>
  <c r="J3396" i="1"/>
  <c r="G3396" i="1"/>
  <c r="P3395" i="1"/>
  <c r="J3395" i="1"/>
  <c r="G3395" i="1"/>
  <c r="P3394" i="1"/>
  <c r="J3394" i="1"/>
  <c r="G3394" i="1"/>
  <c r="P3393" i="1"/>
  <c r="J3393" i="1"/>
  <c r="G3393" i="1"/>
  <c r="P3392" i="1"/>
  <c r="J3392" i="1"/>
  <c r="G3392" i="1"/>
  <c r="P3391" i="1"/>
  <c r="J3391" i="1"/>
  <c r="G3391" i="1"/>
  <c r="P3390" i="1"/>
  <c r="J3390" i="1"/>
  <c r="G3390" i="1"/>
  <c r="P3389" i="1"/>
  <c r="J3389" i="1"/>
  <c r="G3389" i="1"/>
  <c r="P3388" i="1"/>
  <c r="J3388" i="1"/>
  <c r="G3388" i="1"/>
  <c r="AL3387" i="1"/>
  <c r="J3387" i="1"/>
  <c r="G3387" i="1"/>
  <c r="AL3386" i="1"/>
  <c r="P3386" i="1"/>
  <c r="J3386" i="1"/>
  <c r="G3386" i="1"/>
  <c r="P3385" i="1"/>
  <c r="J3385" i="1"/>
  <c r="G3385" i="1"/>
  <c r="P3384" i="1"/>
  <c r="J3384" i="1"/>
  <c r="G3384" i="1"/>
  <c r="P3383" i="1"/>
  <c r="J3383" i="1"/>
  <c r="G3383" i="1"/>
  <c r="P3382" i="1"/>
  <c r="J3382" i="1"/>
  <c r="G3382" i="1"/>
  <c r="P3381" i="1"/>
  <c r="J3381" i="1"/>
  <c r="G3381" i="1"/>
  <c r="AL3380" i="1"/>
  <c r="P3380" i="1"/>
  <c r="J3380" i="1"/>
  <c r="G3380" i="1"/>
  <c r="P3379" i="1"/>
  <c r="J3379" i="1"/>
  <c r="G3379" i="1"/>
  <c r="P3378" i="1"/>
  <c r="J3378" i="1"/>
  <c r="G3378" i="1"/>
  <c r="P3377" i="1"/>
  <c r="J3377" i="1"/>
  <c r="G3377" i="1"/>
  <c r="P3376" i="1"/>
  <c r="J3376" i="1"/>
  <c r="G3376" i="1"/>
  <c r="P3375" i="1"/>
  <c r="J3375" i="1"/>
  <c r="G3375" i="1"/>
  <c r="P3374" i="1"/>
  <c r="J3374" i="1"/>
  <c r="G3374" i="1"/>
  <c r="P3373" i="1"/>
  <c r="J3373" i="1"/>
  <c r="G3373" i="1"/>
  <c r="P3372" i="1"/>
  <c r="J3372" i="1"/>
  <c r="G3372" i="1"/>
  <c r="P3371" i="1"/>
  <c r="J3371" i="1"/>
  <c r="G3371" i="1"/>
  <c r="P3370" i="1"/>
  <c r="J3370" i="1"/>
  <c r="G3370" i="1"/>
  <c r="P3369" i="1"/>
  <c r="J3369" i="1"/>
  <c r="G3369" i="1"/>
  <c r="P3368" i="1"/>
  <c r="J3368" i="1"/>
  <c r="G3368" i="1"/>
  <c r="P3367" i="1"/>
  <c r="J3367" i="1"/>
  <c r="G3367" i="1"/>
  <c r="P3366" i="1"/>
  <c r="J3366" i="1"/>
  <c r="G3366" i="1"/>
  <c r="P3365" i="1"/>
  <c r="J3365" i="1"/>
  <c r="G3365" i="1"/>
  <c r="P3364" i="1"/>
  <c r="J3364" i="1"/>
  <c r="G3364" i="1"/>
  <c r="P3363" i="1"/>
  <c r="J3363" i="1"/>
  <c r="G3363" i="1"/>
  <c r="P3362" i="1"/>
  <c r="J3362" i="1"/>
  <c r="G3362" i="1"/>
  <c r="P3361" i="1"/>
  <c r="J3361" i="1"/>
  <c r="G3361" i="1"/>
  <c r="P3360" i="1"/>
  <c r="J3360" i="1"/>
  <c r="G3360" i="1"/>
  <c r="P3359" i="1"/>
  <c r="J3359" i="1"/>
  <c r="G3359" i="1"/>
  <c r="P3358" i="1"/>
  <c r="J3358" i="1"/>
  <c r="G3358" i="1"/>
  <c r="P3357" i="1"/>
  <c r="J3357" i="1"/>
  <c r="G3357" i="1"/>
  <c r="P3356" i="1"/>
  <c r="J3356" i="1"/>
  <c r="G3356" i="1"/>
  <c r="P3355" i="1"/>
  <c r="J3355" i="1"/>
  <c r="G3355" i="1"/>
  <c r="P3354" i="1"/>
  <c r="J3354" i="1"/>
  <c r="G3354" i="1"/>
  <c r="P3353" i="1"/>
  <c r="J3353" i="1"/>
  <c r="G3353" i="1"/>
  <c r="P3352" i="1"/>
  <c r="J3352" i="1"/>
  <c r="G3352" i="1"/>
  <c r="P3351" i="1"/>
  <c r="J3351" i="1"/>
  <c r="G3351" i="1"/>
  <c r="P3350" i="1"/>
  <c r="J3350" i="1"/>
  <c r="G3350" i="1"/>
  <c r="P3349" i="1"/>
  <c r="J3349" i="1"/>
  <c r="G3349" i="1"/>
  <c r="AL3348" i="1"/>
  <c r="G3348" i="1"/>
  <c r="J3347" i="1"/>
  <c r="G3347" i="1"/>
  <c r="P3346" i="1"/>
  <c r="J3346" i="1"/>
  <c r="G3346" i="1"/>
  <c r="P3345" i="1"/>
  <c r="J3345" i="1"/>
  <c r="G3345" i="1"/>
  <c r="P3344" i="1"/>
  <c r="J3344" i="1"/>
  <c r="G3344" i="1"/>
  <c r="P3343" i="1"/>
  <c r="J3343" i="1"/>
  <c r="G3343" i="1"/>
  <c r="P3342" i="1"/>
  <c r="J3342" i="1"/>
  <c r="G3342" i="1"/>
  <c r="P3341" i="1"/>
  <c r="J3341" i="1"/>
  <c r="G3341" i="1"/>
  <c r="P3340" i="1"/>
  <c r="J3340" i="1"/>
  <c r="G3340" i="1"/>
  <c r="P3339" i="1"/>
  <c r="J3339" i="1"/>
  <c r="G3339" i="1"/>
  <c r="P3338" i="1"/>
  <c r="J3338" i="1"/>
  <c r="G3338" i="1"/>
  <c r="P3337" i="1"/>
  <c r="J3337" i="1"/>
  <c r="G3337" i="1"/>
  <c r="P3336" i="1"/>
  <c r="J3336" i="1"/>
  <c r="G3336" i="1"/>
  <c r="P3335" i="1"/>
  <c r="J3335" i="1"/>
  <c r="G3335" i="1"/>
  <c r="P3334" i="1"/>
  <c r="J3334" i="1"/>
  <c r="G3334" i="1"/>
  <c r="P3333" i="1"/>
  <c r="J3333" i="1"/>
  <c r="G3333" i="1"/>
  <c r="P3332" i="1"/>
  <c r="J3332" i="1"/>
  <c r="G3332" i="1"/>
  <c r="P3331" i="1"/>
  <c r="J3331" i="1"/>
  <c r="G3331" i="1"/>
  <c r="P3330" i="1"/>
  <c r="J3330" i="1"/>
  <c r="G3330" i="1"/>
  <c r="P3329" i="1"/>
  <c r="J3329" i="1"/>
  <c r="G3329" i="1"/>
  <c r="P3328" i="1"/>
  <c r="J3328" i="1"/>
  <c r="G3328" i="1"/>
  <c r="P3327" i="1"/>
  <c r="J3327" i="1"/>
  <c r="G3327" i="1"/>
  <c r="P3326" i="1"/>
  <c r="J3326" i="1"/>
  <c r="G3326" i="1"/>
  <c r="AL3325" i="1"/>
  <c r="J3325" i="1"/>
  <c r="G3325" i="1"/>
  <c r="P3324" i="1"/>
  <c r="J3324" i="1"/>
  <c r="G3324" i="1"/>
  <c r="AL3323" i="1"/>
  <c r="P3323" i="1"/>
  <c r="J3323" i="1"/>
  <c r="G3323" i="1"/>
  <c r="P3322" i="1"/>
  <c r="J3322" i="1"/>
  <c r="G3322" i="1"/>
  <c r="P3321" i="1"/>
  <c r="J3321" i="1"/>
  <c r="G3321" i="1"/>
  <c r="AL3320" i="1"/>
  <c r="P3320" i="1"/>
  <c r="J3320" i="1"/>
  <c r="G3320" i="1"/>
  <c r="P3319" i="1"/>
  <c r="J3319" i="1"/>
  <c r="G3319" i="1"/>
  <c r="P3318" i="1"/>
  <c r="J3318" i="1"/>
  <c r="G3318" i="1"/>
  <c r="P3317" i="1"/>
  <c r="J3317" i="1"/>
  <c r="G3317" i="1"/>
  <c r="P3316" i="1"/>
  <c r="J3316" i="1"/>
  <c r="G3316" i="1"/>
  <c r="P3315" i="1"/>
  <c r="J3315" i="1"/>
  <c r="G3315" i="1"/>
  <c r="P3314" i="1"/>
  <c r="J3314" i="1"/>
  <c r="G3314" i="1"/>
  <c r="P3313" i="1"/>
  <c r="J3313" i="1"/>
  <c r="G3313" i="1"/>
  <c r="P3312" i="1"/>
  <c r="J3312" i="1"/>
  <c r="G3312" i="1"/>
  <c r="P3311" i="1"/>
  <c r="J3311" i="1"/>
  <c r="G3311" i="1"/>
  <c r="P3310" i="1"/>
  <c r="J3310" i="1"/>
  <c r="G3310" i="1"/>
  <c r="P3309" i="1"/>
  <c r="J3309" i="1"/>
  <c r="G3309" i="1"/>
  <c r="AL3308" i="1"/>
  <c r="P3308" i="1"/>
  <c r="J3308" i="1"/>
  <c r="G3308" i="1"/>
  <c r="P3307" i="1"/>
  <c r="J3307" i="1"/>
  <c r="G3307" i="1"/>
  <c r="P3306" i="1"/>
  <c r="J3306" i="1"/>
  <c r="G3306" i="1"/>
  <c r="P3305" i="1"/>
  <c r="J3305" i="1"/>
  <c r="G3305" i="1"/>
  <c r="P3304" i="1"/>
  <c r="J3304" i="1"/>
  <c r="G3304" i="1"/>
  <c r="P3303" i="1"/>
  <c r="J3303" i="1"/>
  <c r="G3303" i="1"/>
  <c r="P3302" i="1"/>
  <c r="J3302" i="1"/>
  <c r="G3302" i="1"/>
  <c r="P3301" i="1"/>
  <c r="J3301" i="1"/>
  <c r="G3301" i="1"/>
  <c r="P3300" i="1"/>
  <c r="J3300" i="1"/>
  <c r="G3300" i="1"/>
  <c r="P3299" i="1"/>
  <c r="J3299" i="1"/>
  <c r="G3299" i="1"/>
  <c r="P3298" i="1"/>
  <c r="J3298" i="1"/>
  <c r="G3298" i="1"/>
  <c r="P3297" i="1"/>
  <c r="J3297" i="1"/>
  <c r="G3297" i="1"/>
  <c r="P3296" i="1"/>
  <c r="J3296" i="1"/>
  <c r="G3296" i="1"/>
  <c r="P3295" i="1"/>
  <c r="J3295" i="1"/>
  <c r="G3295" i="1"/>
  <c r="P3294" i="1"/>
  <c r="J3294" i="1"/>
  <c r="G3294" i="1"/>
  <c r="P3293" i="1"/>
  <c r="J3293" i="1"/>
  <c r="G3293" i="1"/>
  <c r="AL3292" i="1"/>
  <c r="P3292" i="1"/>
  <c r="J3292" i="1"/>
  <c r="G3292" i="1"/>
  <c r="P3291" i="1"/>
  <c r="J3291" i="1"/>
  <c r="G3291" i="1"/>
  <c r="P3290" i="1"/>
  <c r="J3290" i="1"/>
  <c r="G3290" i="1"/>
  <c r="P3289" i="1"/>
  <c r="J3289" i="1"/>
  <c r="G3289" i="1"/>
  <c r="P3288" i="1"/>
  <c r="J3288" i="1"/>
  <c r="G3288" i="1"/>
  <c r="P3287" i="1"/>
  <c r="J3287" i="1"/>
  <c r="G3287" i="1"/>
  <c r="P3286" i="1"/>
  <c r="J3286" i="1"/>
  <c r="G3286" i="1"/>
  <c r="P3285" i="1"/>
  <c r="J3285" i="1"/>
  <c r="G3285" i="1"/>
  <c r="AL3284" i="1"/>
  <c r="P3284" i="1"/>
  <c r="J3284" i="1"/>
  <c r="G3284" i="1"/>
  <c r="P3283" i="1"/>
  <c r="J3283" i="1"/>
  <c r="G3283" i="1"/>
  <c r="P3282" i="1"/>
  <c r="J3282" i="1"/>
  <c r="G3282" i="1"/>
  <c r="P3281" i="1"/>
  <c r="J3281" i="1"/>
  <c r="G3281" i="1"/>
  <c r="P3280" i="1"/>
  <c r="J3280" i="1"/>
  <c r="G3280" i="1"/>
  <c r="P3279" i="1"/>
  <c r="J3279" i="1"/>
  <c r="G3279" i="1"/>
  <c r="P3278" i="1"/>
  <c r="J3278" i="1"/>
  <c r="G3278" i="1"/>
  <c r="P3277" i="1"/>
  <c r="J3277" i="1"/>
  <c r="G3277" i="1"/>
  <c r="P3276" i="1"/>
  <c r="J3276" i="1"/>
  <c r="G3276" i="1"/>
  <c r="P3275" i="1"/>
  <c r="J3275" i="1"/>
  <c r="G3275" i="1"/>
  <c r="P3274" i="1"/>
  <c r="J3274" i="1"/>
  <c r="G3274" i="1"/>
  <c r="P3273" i="1"/>
  <c r="J3273" i="1"/>
  <c r="G3273" i="1"/>
  <c r="P3272" i="1"/>
  <c r="J3272" i="1"/>
  <c r="G3272" i="1"/>
  <c r="P3271" i="1"/>
  <c r="J3271" i="1"/>
  <c r="G3271" i="1"/>
  <c r="P3270" i="1"/>
  <c r="J3270" i="1"/>
  <c r="G3270" i="1"/>
  <c r="P3269" i="1"/>
  <c r="J3269" i="1"/>
  <c r="G3269" i="1"/>
  <c r="P3268" i="1"/>
  <c r="J3268" i="1"/>
  <c r="G3268" i="1"/>
  <c r="P3267" i="1"/>
  <c r="J3267" i="1"/>
  <c r="G3267" i="1"/>
  <c r="P3266" i="1"/>
  <c r="J3266" i="1"/>
  <c r="G3266" i="1"/>
  <c r="P3265" i="1"/>
  <c r="J3265" i="1"/>
  <c r="G3265" i="1"/>
  <c r="P3264" i="1"/>
  <c r="J3264" i="1"/>
  <c r="G3264" i="1"/>
  <c r="P3263" i="1"/>
  <c r="J3263" i="1"/>
  <c r="G3263" i="1"/>
  <c r="P3262" i="1"/>
  <c r="J3262" i="1"/>
  <c r="G3262" i="1"/>
  <c r="P3261" i="1"/>
  <c r="J3261" i="1"/>
  <c r="G3261" i="1"/>
  <c r="P3260" i="1"/>
  <c r="J3260" i="1"/>
  <c r="G3260" i="1"/>
  <c r="P3259" i="1"/>
  <c r="J3259" i="1"/>
  <c r="G3259" i="1"/>
  <c r="P3258" i="1"/>
  <c r="J3258" i="1"/>
  <c r="G3258" i="1"/>
  <c r="P3257" i="1"/>
  <c r="J3257" i="1"/>
  <c r="G3257" i="1"/>
  <c r="P3256" i="1"/>
  <c r="J3256" i="1"/>
  <c r="G3256" i="1"/>
  <c r="P3255" i="1"/>
  <c r="J3255" i="1"/>
  <c r="G3255" i="1"/>
  <c r="P3254" i="1"/>
  <c r="J3254" i="1"/>
  <c r="G3254" i="1"/>
  <c r="P3253" i="1"/>
  <c r="J3253" i="1"/>
  <c r="G3253" i="1"/>
  <c r="P3252" i="1"/>
  <c r="J3252" i="1"/>
  <c r="G3252" i="1"/>
  <c r="P3251" i="1"/>
  <c r="J3251" i="1"/>
  <c r="G3251" i="1"/>
  <c r="P3250" i="1"/>
  <c r="J3250" i="1"/>
  <c r="G3250" i="1"/>
  <c r="P3249" i="1"/>
  <c r="J3249" i="1"/>
  <c r="G3249" i="1"/>
  <c r="P3248" i="1"/>
  <c r="J3248" i="1"/>
  <c r="G3248" i="1"/>
  <c r="AL3247" i="1"/>
  <c r="P3247" i="1"/>
  <c r="J3247" i="1"/>
  <c r="G3247" i="1"/>
  <c r="P3246" i="1"/>
  <c r="J3246" i="1"/>
  <c r="G3246" i="1"/>
  <c r="P3245" i="1"/>
  <c r="J3245" i="1"/>
  <c r="G3245" i="1"/>
  <c r="P3244" i="1"/>
  <c r="J3244" i="1"/>
  <c r="G3244" i="1"/>
  <c r="P3243" i="1"/>
  <c r="J3243" i="1"/>
  <c r="G3243" i="1"/>
  <c r="P3242" i="1"/>
  <c r="J3242" i="1"/>
  <c r="G3242" i="1"/>
  <c r="P3241" i="1"/>
  <c r="J3241" i="1"/>
  <c r="G3241" i="1"/>
  <c r="P3240" i="1"/>
  <c r="J3240" i="1"/>
  <c r="G3240" i="1"/>
  <c r="P3239" i="1"/>
  <c r="J3239" i="1"/>
  <c r="G3239" i="1"/>
  <c r="P3238" i="1"/>
  <c r="J3238" i="1"/>
  <c r="G3238" i="1"/>
  <c r="P3237" i="1"/>
  <c r="J3237" i="1"/>
  <c r="G3237" i="1"/>
  <c r="P3236" i="1"/>
  <c r="J3236" i="1"/>
  <c r="G3236" i="1"/>
  <c r="P3235" i="1"/>
  <c r="J3235" i="1"/>
  <c r="G3235" i="1"/>
  <c r="P3234" i="1"/>
  <c r="J3234" i="1"/>
  <c r="G3234" i="1"/>
  <c r="P3233" i="1"/>
  <c r="J3233" i="1"/>
  <c r="G3233" i="1"/>
  <c r="P3232" i="1"/>
  <c r="J3232" i="1"/>
  <c r="G3232" i="1"/>
  <c r="P3231" i="1"/>
  <c r="J3231" i="1"/>
  <c r="G3231" i="1"/>
  <c r="P3230" i="1"/>
  <c r="J3230" i="1"/>
  <c r="G3230" i="1"/>
  <c r="P3229" i="1"/>
  <c r="J3229" i="1"/>
  <c r="G3229" i="1"/>
  <c r="P3228" i="1"/>
  <c r="J3228" i="1"/>
  <c r="G3228" i="1"/>
  <c r="P3227" i="1"/>
  <c r="J3227" i="1"/>
  <c r="G3227" i="1"/>
  <c r="P3226" i="1"/>
  <c r="J3226" i="1"/>
  <c r="G3226" i="1"/>
  <c r="P3225" i="1"/>
  <c r="J3225" i="1"/>
  <c r="G3225" i="1"/>
  <c r="P3224" i="1"/>
  <c r="J3224" i="1"/>
  <c r="G3224" i="1"/>
  <c r="P3223" i="1"/>
  <c r="J3223" i="1"/>
  <c r="G3223" i="1"/>
  <c r="P3222" i="1"/>
  <c r="J3222" i="1"/>
  <c r="G3222" i="1"/>
  <c r="P3221" i="1"/>
  <c r="J3221" i="1"/>
  <c r="G3221" i="1"/>
  <c r="P3220" i="1"/>
  <c r="J3220" i="1"/>
  <c r="G3220" i="1"/>
  <c r="P3219" i="1"/>
  <c r="J3219" i="1"/>
  <c r="G3219" i="1"/>
  <c r="P3218" i="1"/>
  <c r="J3218" i="1"/>
  <c r="G3218" i="1"/>
  <c r="P3217" i="1"/>
  <c r="J3217" i="1"/>
  <c r="G3217" i="1"/>
  <c r="P3216" i="1"/>
  <c r="J3216" i="1"/>
  <c r="G3216" i="1"/>
  <c r="P3215" i="1"/>
  <c r="J3215" i="1"/>
  <c r="G3215" i="1"/>
  <c r="P3214" i="1"/>
  <c r="J3214" i="1"/>
  <c r="G3214" i="1"/>
  <c r="P3213" i="1"/>
  <c r="J3213" i="1"/>
  <c r="G3213" i="1"/>
  <c r="AL3212" i="1"/>
  <c r="P3212" i="1"/>
  <c r="J3212" i="1"/>
  <c r="G3212" i="1"/>
  <c r="P3211" i="1"/>
  <c r="J3211" i="1"/>
  <c r="G3211" i="1"/>
  <c r="P3210" i="1"/>
  <c r="J3210" i="1"/>
  <c r="G3210" i="1"/>
  <c r="P3209" i="1"/>
  <c r="J3209" i="1"/>
  <c r="G3209" i="1"/>
  <c r="P3208" i="1"/>
  <c r="J3208" i="1"/>
  <c r="G3208" i="1"/>
  <c r="P3207" i="1"/>
  <c r="J3207" i="1"/>
  <c r="G3207" i="1"/>
  <c r="P3206" i="1"/>
  <c r="J3206" i="1"/>
  <c r="G3206" i="1"/>
  <c r="P3205" i="1"/>
  <c r="J3205" i="1"/>
  <c r="G3205" i="1"/>
  <c r="P3204" i="1"/>
  <c r="J3204" i="1"/>
  <c r="G3204" i="1"/>
  <c r="P3203" i="1"/>
  <c r="J3203" i="1"/>
  <c r="G3203" i="1"/>
  <c r="P3202" i="1"/>
  <c r="J3202" i="1"/>
  <c r="G3202" i="1"/>
  <c r="P3201" i="1"/>
  <c r="J3201" i="1"/>
  <c r="G3201" i="1"/>
  <c r="P3200" i="1"/>
  <c r="J3200" i="1"/>
  <c r="G3200" i="1"/>
  <c r="P3199" i="1"/>
  <c r="J3199" i="1"/>
  <c r="G3199" i="1"/>
  <c r="P3198" i="1"/>
  <c r="J3198" i="1"/>
  <c r="G3198" i="1"/>
  <c r="P3197" i="1"/>
  <c r="J3197" i="1"/>
  <c r="G3197" i="1"/>
  <c r="P3196" i="1"/>
  <c r="J3196" i="1"/>
  <c r="G3196" i="1"/>
  <c r="P3195" i="1"/>
  <c r="J3195" i="1"/>
  <c r="G3195" i="1"/>
  <c r="P3194" i="1"/>
  <c r="J3194" i="1"/>
  <c r="G3194" i="1"/>
  <c r="P3193" i="1"/>
  <c r="J3193" i="1"/>
  <c r="G3193" i="1"/>
  <c r="P3192" i="1"/>
  <c r="J3192" i="1"/>
  <c r="G3192" i="1"/>
  <c r="P3191" i="1"/>
  <c r="J3191" i="1"/>
  <c r="G3191" i="1"/>
  <c r="P3190" i="1"/>
  <c r="J3190" i="1"/>
  <c r="G3190" i="1"/>
  <c r="P3189" i="1"/>
  <c r="J3189" i="1"/>
  <c r="G3189" i="1"/>
  <c r="P3188" i="1"/>
  <c r="J3188" i="1"/>
  <c r="G3188" i="1"/>
  <c r="P3187" i="1"/>
  <c r="J3187" i="1"/>
  <c r="G3187" i="1"/>
  <c r="P3186" i="1"/>
  <c r="J3186" i="1"/>
  <c r="G3186" i="1"/>
  <c r="P3185" i="1"/>
  <c r="J3185" i="1"/>
  <c r="G3185" i="1"/>
  <c r="P3184" i="1"/>
  <c r="J3184" i="1"/>
  <c r="G3184" i="1"/>
  <c r="P3183" i="1"/>
  <c r="J3183" i="1"/>
  <c r="G3183" i="1"/>
  <c r="P3182" i="1"/>
  <c r="J3182" i="1"/>
  <c r="G3182" i="1"/>
  <c r="P3181" i="1"/>
  <c r="J3181" i="1"/>
  <c r="G3181" i="1"/>
  <c r="P3180" i="1"/>
  <c r="J3180" i="1"/>
  <c r="G3180" i="1"/>
  <c r="P3179" i="1"/>
  <c r="J3179" i="1"/>
  <c r="G3179" i="1"/>
  <c r="P3178" i="1"/>
  <c r="J3178" i="1"/>
  <c r="G3178" i="1"/>
  <c r="P3177" i="1"/>
  <c r="J3177" i="1"/>
  <c r="G3177" i="1"/>
  <c r="P3176" i="1"/>
  <c r="J3176" i="1"/>
  <c r="G3176" i="1"/>
  <c r="P3175" i="1"/>
  <c r="J3175" i="1"/>
  <c r="G3175" i="1"/>
  <c r="P3174" i="1"/>
  <c r="J3174" i="1"/>
  <c r="G3174" i="1"/>
  <c r="P3173" i="1"/>
  <c r="J3173" i="1"/>
  <c r="G3173" i="1"/>
  <c r="P3172" i="1"/>
  <c r="J3172" i="1"/>
  <c r="G3172" i="1"/>
  <c r="P3171" i="1"/>
  <c r="J3171" i="1"/>
  <c r="G3171" i="1"/>
  <c r="P3170" i="1"/>
  <c r="J3170" i="1"/>
  <c r="G3170" i="1"/>
  <c r="P3169" i="1"/>
  <c r="J3169" i="1"/>
  <c r="G3169" i="1"/>
  <c r="P3168" i="1"/>
  <c r="J3168" i="1"/>
  <c r="G3168" i="1"/>
  <c r="P3167" i="1"/>
  <c r="J3167" i="1"/>
  <c r="G3167" i="1"/>
  <c r="P3166" i="1"/>
  <c r="J3166" i="1"/>
  <c r="G3166" i="1"/>
  <c r="P3165" i="1"/>
  <c r="J3165" i="1"/>
  <c r="G3165" i="1"/>
  <c r="P3164" i="1"/>
  <c r="J3164" i="1"/>
  <c r="G3164" i="1"/>
  <c r="P3163" i="1"/>
  <c r="J3163" i="1"/>
  <c r="G3163" i="1"/>
  <c r="AL3162" i="1"/>
  <c r="P3162" i="1"/>
  <c r="J3162" i="1"/>
  <c r="G3162" i="1"/>
  <c r="P3161" i="1"/>
  <c r="J3161" i="1"/>
  <c r="G3161" i="1"/>
  <c r="P3160" i="1"/>
  <c r="J3160" i="1"/>
  <c r="G3160" i="1"/>
  <c r="P3159" i="1"/>
  <c r="J3159" i="1"/>
  <c r="G3159" i="1"/>
  <c r="AL3158" i="1"/>
  <c r="P3158" i="1"/>
  <c r="J3158" i="1"/>
  <c r="G3158" i="1"/>
  <c r="P3157" i="1"/>
  <c r="J3157" i="1"/>
  <c r="G3157" i="1"/>
  <c r="P3156" i="1"/>
  <c r="J3156" i="1"/>
  <c r="G3156" i="1"/>
  <c r="P3155" i="1"/>
  <c r="J3155" i="1"/>
  <c r="G3155" i="1"/>
  <c r="P3154" i="1"/>
  <c r="J3154" i="1"/>
  <c r="G3154" i="1"/>
  <c r="P3153" i="1"/>
  <c r="J3153" i="1"/>
  <c r="G3153" i="1"/>
  <c r="P3152" i="1"/>
  <c r="J3152" i="1"/>
  <c r="G3152" i="1"/>
  <c r="P3151" i="1"/>
  <c r="J3151" i="1"/>
  <c r="G3151" i="1"/>
  <c r="P3150" i="1"/>
  <c r="J3150" i="1"/>
  <c r="G3150" i="1"/>
  <c r="P3149" i="1"/>
  <c r="J3149" i="1"/>
  <c r="G3149" i="1"/>
  <c r="P3148" i="1"/>
  <c r="J3148" i="1"/>
  <c r="G3148" i="1"/>
  <c r="P3147" i="1"/>
  <c r="J3147" i="1"/>
  <c r="G3147" i="1"/>
  <c r="P3146" i="1"/>
  <c r="J3146" i="1"/>
  <c r="G3146" i="1"/>
  <c r="P3145" i="1"/>
  <c r="J3145" i="1"/>
  <c r="G3145" i="1"/>
  <c r="P3144" i="1"/>
  <c r="J3144" i="1"/>
  <c r="G3144" i="1"/>
  <c r="P3143" i="1"/>
  <c r="J3143" i="1"/>
  <c r="G3143" i="1"/>
  <c r="P3142" i="1"/>
  <c r="J3142" i="1"/>
  <c r="G3142" i="1"/>
  <c r="P3141" i="1"/>
  <c r="J3141" i="1"/>
  <c r="G3141" i="1"/>
  <c r="P3140" i="1"/>
  <c r="J3140" i="1"/>
  <c r="G3140" i="1"/>
  <c r="P3139" i="1"/>
  <c r="J3139" i="1"/>
  <c r="G3139" i="1"/>
  <c r="P3138" i="1"/>
  <c r="J3138" i="1"/>
  <c r="G3138" i="1"/>
  <c r="P3137" i="1"/>
  <c r="J3137" i="1"/>
  <c r="G3137" i="1"/>
  <c r="P3136" i="1"/>
  <c r="J3136" i="1"/>
  <c r="G3136" i="1"/>
  <c r="P3135" i="1"/>
  <c r="J3135" i="1"/>
  <c r="G3135" i="1"/>
  <c r="AL3134" i="1"/>
  <c r="P3134" i="1"/>
  <c r="J3134" i="1"/>
  <c r="G3134" i="1"/>
  <c r="P3133" i="1"/>
  <c r="J3133" i="1"/>
  <c r="G3133" i="1"/>
  <c r="AL3132" i="1"/>
  <c r="P3132" i="1"/>
  <c r="J3132" i="1"/>
  <c r="G3132" i="1"/>
  <c r="P3131" i="1"/>
  <c r="J3131" i="1"/>
  <c r="G3131" i="1"/>
  <c r="P3130" i="1"/>
  <c r="J3130" i="1"/>
  <c r="G3130" i="1"/>
  <c r="P3129" i="1"/>
  <c r="J3129" i="1"/>
  <c r="G3129" i="1"/>
  <c r="P3128" i="1"/>
  <c r="J3128" i="1"/>
  <c r="G3128" i="1"/>
  <c r="P3127" i="1"/>
  <c r="J3127" i="1"/>
  <c r="G3127" i="1"/>
  <c r="P3126" i="1"/>
  <c r="J3126" i="1"/>
  <c r="G3126" i="1"/>
  <c r="P3125" i="1"/>
  <c r="J3125" i="1"/>
  <c r="G3125" i="1"/>
  <c r="P3124" i="1"/>
  <c r="J3124" i="1"/>
  <c r="G3124" i="1"/>
  <c r="P3123" i="1"/>
  <c r="J3123" i="1"/>
  <c r="G3123" i="1"/>
  <c r="P3122" i="1"/>
  <c r="J3122" i="1"/>
  <c r="G3122" i="1"/>
  <c r="P3121" i="1"/>
  <c r="J3121" i="1"/>
  <c r="G3121" i="1"/>
  <c r="P3120" i="1"/>
  <c r="J3120" i="1"/>
  <c r="G3120" i="1"/>
  <c r="P3119" i="1"/>
  <c r="J3119" i="1"/>
  <c r="G3119" i="1"/>
  <c r="P3118" i="1"/>
  <c r="J3118" i="1"/>
  <c r="G3118" i="1"/>
  <c r="P3117" i="1"/>
  <c r="J3117" i="1"/>
  <c r="G3117" i="1"/>
  <c r="P3116" i="1"/>
  <c r="J3116" i="1"/>
  <c r="G3116" i="1"/>
  <c r="P3115" i="1"/>
  <c r="J3115" i="1"/>
  <c r="G3115" i="1"/>
  <c r="P3114" i="1"/>
  <c r="J3114" i="1"/>
  <c r="G3114" i="1"/>
  <c r="P3113" i="1"/>
  <c r="J3113" i="1"/>
  <c r="G3113" i="1"/>
  <c r="P3112" i="1"/>
  <c r="J3112" i="1"/>
  <c r="G3112" i="1"/>
  <c r="AL3111" i="1"/>
  <c r="P3111" i="1"/>
  <c r="J3111" i="1"/>
  <c r="G3111" i="1"/>
  <c r="P3110" i="1"/>
  <c r="J3110" i="1"/>
  <c r="G3110" i="1"/>
  <c r="P3109" i="1"/>
  <c r="J3109" i="1"/>
  <c r="G3109" i="1"/>
  <c r="P3108" i="1"/>
  <c r="J3108" i="1"/>
  <c r="G3108" i="1"/>
  <c r="P3107" i="1"/>
  <c r="J3107" i="1"/>
  <c r="G3107" i="1"/>
  <c r="P3106" i="1"/>
  <c r="J3106" i="1"/>
  <c r="G3106" i="1"/>
  <c r="P3105" i="1"/>
  <c r="J3105" i="1"/>
  <c r="G3105" i="1"/>
  <c r="P3104" i="1"/>
  <c r="J3104" i="1"/>
  <c r="G3104" i="1"/>
  <c r="P3103" i="1"/>
  <c r="J3103" i="1"/>
  <c r="G3103" i="1"/>
  <c r="P3102" i="1"/>
  <c r="J3102" i="1"/>
  <c r="G3102" i="1"/>
  <c r="P3101" i="1"/>
  <c r="J3101" i="1"/>
  <c r="G3101" i="1"/>
  <c r="AL3100" i="1"/>
  <c r="P3100" i="1"/>
  <c r="J3100" i="1"/>
  <c r="G3100" i="1"/>
  <c r="P3099" i="1"/>
  <c r="J3099" i="1"/>
  <c r="G3099" i="1"/>
  <c r="P3098" i="1"/>
  <c r="J3098" i="1"/>
  <c r="G3098" i="1"/>
  <c r="P3097" i="1"/>
  <c r="J3097" i="1"/>
  <c r="G3097" i="1"/>
  <c r="P3096" i="1"/>
  <c r="J3096" i="1"/>
  <c r="G3096" i="1"/>
  <c r="P3095" i="1"/>
  <c r="J3095" i="1"/>
  <c r="G3095" i="1"/>
  <c r="P3094" i="1"/>
  <c r="J3094" i="1"/>
  <c r="G3094" i="1"/>
  <c r="P3093" i="1"/>
  <c r="J3093" i="1"/>
  <c r="G3093" i="1"/>
  <c r="P3092" i="1"/>
  <c r="J3092" i="1"/>
  <c r="G3092" i="1"/>
  <c r="P3091" i="1"/>
  <c r="J3091" i="1"/>
  <c r="G3091" i="1"/>
  <c r="P3090" i="1"/>
  <c r="J3090" i="1"/>
  <c r="G3090" i="1"/>
  <c r="P3089" i="1"/>
  <c r="J3089" i="1"/>
  <c r="G3089" i="1"/>
  <c r="P3088" i="1"/>
  <c r="J3088" i="1"/>
  <c r="G3088" i="1"/>
  <c r="P3087" i="1"/>
  <c r="J3087" i="1"/>
  <c r="G3087" i="1"/>
  <c r="P3086" i="1"/>
  <c r="J3086" i="1"/>
  <c r="G3086" i="1"/>
  <c r="P3085" i="1"/>
  <c r="J3085" i="1"/>
  <c r="G3085" i="1"/>
  <c r="P3084" i="1"/>
  <c r="J3084" i="1"/>
  <c r="G3084" i="1"/>
  <c r="P3083" i="1"/>
  <c r="J3083" i="1"/>
  <c r="G3083" i="1"/>
  <c r="P3082" i="1"/>
  <c r="J3082" i="1"/>
  <c r="G3082" i="1"/>
  <c r="P3081" i="1"/>
  <c r="J3081" i="1"/>
  <c r="G3081" i="1"/>
  <c r="P3080" i="1"/>
  <c r="J3080" i="1"/>
  <c r="G3080" i="1"/>
  <c r="P3079" i="1"/>
  <c r="J3079" i="1"/>
  <c r="G3079" i="1"/>
  <c r="P3078" i="1"/>
  <c r="J3078" i="1"/>
  <c r="G3078" i="1"/>
  <c r="AL3077" i="1"/>
  <c r="P3077" i="1"/>
  <c r="J3077" i="1"/>
  <c r="G3077" i="1"/>
  <c r="AL3076" i="1"/>
  <c r="P3076" i="1"/>
  <c r="J3076" i="1"/>
  <c r="G3076" i="1"/>
  <c r="P3075" i="1"/>
  <c r="J3075" i="1"/>
  <c r="G3075" i="1"/>
  <c r="P3074" i="1"/>
  <c r="J3074" i="1"/>
  <c r="G3074" i="1"/>
  <c r="P3073" i="1"/>
  <c r="J3073" i="1"/>
  <c r="G3073" i="1"/>
  <c r="P3072" i="1"/>
  <c r="J3072" i="1"/>
  <c r="G3072" i="1"/>
  <c r="P3071" i="1"/>
  <c r="J3071" i="1"/>
  <c r="G3071" i="1"/>
  <c r="P3070" i="1"/>
  <c r="J3070" i="1"/>
  <c r="G3070" i="1"/>
  <c r="P3069" i="1"/>
  <c r="J3069" i="1"/>
  <c r="G3069" i="1"/>
  <c r="P3068" i="1"/>
  <c r="J3068" i="1"/>
  <c r="G3068" i="1"/>
  <c r="P3067" i="1"/>
  <c r="J3067" i="1"/>
  <c r="G3067" i="1"/>
  <c r="P3066" i="1"/>
  <c r="J3066" i="1"/>
  <c r="G3066" i="1"/>
  <c r="P3065" i="1"/>
  <c r="J3065" i="1"/>
  <c r="G3065" i="1"/>
  <c r="P3064" i="1"/>
  <c r="J3064" i="1"/>
  <c r="G3064" i="1"/>
  <c r="P3063" i="1"/>
  <c r="J3063" i="1"/>
  <c r="G3063" i="1"/>
  <c r="P3062" i="1"/>
  <c r="J3062" i="1"/>
  <c r="G3062" i="1"/>
  <c r="P3061" i="1"/>
  <c r="J3061" i="1"/>
  <c r="G3061" i="1"/>
  <c r="P3060" i="1"/>
  <c r="J3060" i="1"/>
  <c r="G3060" i="1"/>
  <c r="P3059" i="1"/>
  <c r="J3059" i="1"/>
  <c r="G3059" i="1"/>
  <c r="AL3058" i="1"/>
  <c r="P3058" i="1"/>
  <c r="J3058" i="1"/>
  <c r="G3058" i="1"/>
  <c r="P3057" i="1"/>
  <c r="J3057" i="1"/>
  <c r="G3057" i="1"/>
  <c r="P3056" i="1"/>
  <c r="J3056" i="1"/>
  <c r="G3056" i="1"/>
  <c r="P3055" i="1"/>
  <c r="J3055" i="1"/>
  <c r="G3055" i="1"/>
  <c r="J3054" i="1"/>
  <c r="G3054" i="1"/>
  <c r="P3053" i="1"/>
  <c r="J3053" i="1"/>
  <c r="G3053" i="1"/>
  <c r="P3052" i="1"/>
  <c r="J3052" i="1"/>
  <c r="G3052" i="1"/>
  <c r="P3051" i="1"/>
  <c r="J3051" i="1"/>
  <c r="G3051" i="1"/>
  <c r="P3050" i="1"/>
  <c r="J3050" i="1"/>
  <c r="G3050" i="1"/>
  <c r="P3049" i="1"/>
  <c r="J3049" i="1"/>
  <c r="G3049" i="1"/>
  <c r="P3048" i="1"/>
  <c r="J3048" i="1"/>
  <c r="G3048" i="1"/>
  <c r="P3047" i="1"/>
  <c r="J3047" i="1"/>
  <c r="G3047" i="1"/>
  <c r="P3046" i="1"/>
  <c r="J3046" i="1"/>
  <c r="G3046" i="1"/>
  <c r="P3045" i="1"/>
  <c r="J3045" i="1"/>
  <c r="G3045" i="1"/>
  <c r="P3044" i="1"/>
  <c r="J3044" i="1"/>
  <c r="G3044" i="1"/>
  <c r="P3043" i="1"/>
  <c r="J3043" i="1"/>
  <c r="G3043" i="1"/>
  <c r="P3042" i="1"/>
  <c r="J3042" i="1"/>
  <c r="G3042" i="1"/>
  <c r="P3041" i="1"/>
  <c r="J3041" i="1"/>
  <c r="G3041" i="1"/>
  <c r="P3040" i="1"/>
  <c r="J3040" i="1"/>
  <c r="G3040" i="1"/>
  <c r="P3039" i="1"/>
  <c r="J3039" i="1"/>
  <c r="G3039" i="1"/>
  <c r="P3038" i="1"/>
  <c r="J3038" i="1"/>
  <c r="G3038" i="1"/>
  <c r="P3037" i="1"/>
  <c r="J3037" i="1"/>
  <c r="G3037" i="1"/>
  <c r="P3036" i="1"/>
  <c r="J3036" i="1"/>
  <c r="G3036" i="1"/>
  <c r="P3035" i="1"/>
  <c r="J3035" i="1"/>
  <c r="G3035" i="1"/>
  <c r="P3034" i="1"/>
  <c r="J3034" i="1"/>
  <c r="G3034" i="1"/>
  <c r="P3033" i="1"/>
  <c r="J3033" i="1"/>
  <c r="G3033" i="1"/>
  <c r="P3032" i="1"/>
  <c r="J3032" i="1"/>
  <c r="G3032" i="1"/>
  <c r="P3031" i="1"/>
  <c r="J3031" i="1"/>
  <c r="G3031" i="1"/>
  <c r="P3030" i="1"/>
  <c r="J3030" i="1"/>
  <c r="G3030" i="1"/>
  <c r="P3029" i="1"/>
  <c r="J3029" i="1"/>
  <c r="G3029" i="1"/>
  <c r="AL3028" i="1"/>
  <c r="P3028" i="1"/>
  <c r="J3028" i="1"/>
  <c r="G3028" i="1"/>
  <c r="P3027" i="1"/>
  <c r="J3027" i="1"/>
  <c r="G3027" i="1"/>
  <c r="P3026" i="1"/>
  <c r="J3026" i="1"/>
  <c r="G3026" i="1"/>
  <c r="J3025" i="1"/>
  <c r="G3025" i="1"/>
  <c r="P3024" i="1"/>
  <c r="J3024" i="1"/>
  <c r="G3024" i="1"/>
  <c r="P3023" i="1"/>
  <c r="J3023" i="1"/>
  <c r="G3023" i="1"/>
  <c r="P3022" i="1"/>
  <c r="J3022" i="1"/>
  <c r="G3022" i="1"/>
  <c r="P3021" i="1"/>
  <c r="J3021" i="1"/>
  <c r="G3021" i="1"/>
  <c r="P3020" i="1"/>
  <c r="J3020" i="1"/>
  <c r="G3020" i="1"/>
  <c r="P3019" i="1"/>
  <c r="J3019" i="1"/>
  <c r="G3019" i="1"/>
  <c r="P3018" i="1"/>
  <c r="J3018" i="1"/>
  <c r="G3018" i="1"/>
  <c r="P3017" i="1"/>
  <c r="J3017" i="1"/>
  <c r="G3017" i="1"/>
  <c r="P3016" i="1"/>
  <c r="J3016" i="1"/>
  <c r="G3016" i="1"/>
  <c r="P3015" i="1"/>
  <c r="J3015" i="1"/>
  <c r="G3015" i="1"/>
  <c r="P3014" i="1"/>
  <c r="J3014" i="1"/>
  <c r="G3014" i="1"/>
  <c r="P3013" i="1"/>
  <c r="J3013" i="1"/>
  <c r="G3013" i="1"/>
  <c r="P3012" i="1"/>
  <c r="J3012" i="1"/>
  <c r="G3012" i="1"/>
  <c r="P3011" i="1"/>
  <c r="J3011" i="1"/>
  <c r="G3011" i="1"/>
  <c r="P3010" i="1"/>
  <c r="J3010" i="1"/>
  <c r="G3010" i="1"/>
  <c r="P3009" i="1"/>
  <c r="J3009" i="1"/>
  <c r="G3009" i="1"/>
  <c r="P3008" i="1"/>
  <c r="J3008" i="1"/>
  <c r="G3008" i="1"/>
  <c r="P3007" i="1"/>
  <c r="J3007" i="1"/>
  <c r="G3007" i="1"/>
  <c r="P3006" i="1"/>
  <c r="J3006" i="1"/>
  <c r="G3006" i="1"/>
  <c r="P3005" i="1"/>
  <c r="J3005" i="1"/>
  <c r="G3005" i="1"/>
  <c r="P3004" i="1"/>
  <c r="J3004" i="1"/>
  <c r="G3004" i="1"/>
  <c r="P3003" i="1"/>
  <c r="J3003" i="1"/>
  <c r="G3003" i="1"/>
  <c r="P3002" i="1"/>
  <c r="J3002" i="1"/>
  <c r="G3002" i="1"/>
  <c r="P3001" i="1"/>
  <c r="J3001" i="1"/>
  <c r="G3001" i="1"/>
  <c r="P3000" i="1"/>
  <c r="J3000" i="1"/>
  <c r="G3000" i="1"/>
  <c r="P2999" i="1"/>
  <c r="J2999" i="1"/>
  <c r="G2999" i="1"/>
  <c r="P2998" i="1"/>
  <c r="J2998" i="1"/>
  <c r="G2998" i="1"/>
  <c r="P2997" i="1"/>
  <c r="J2997" i="1"/>
  <c r="G2997" i="1"/>
  <c r="P2996" i="1"/>
  <c r="J2996" i="1"/>
  <c r="G2996" i="1"/>
  <c r="P2995" i="1"/>
  <c r="J2995" i="1"/>
  <c r="G2995" i="1"/>
  <c r="P2994" i="1"/>
  <c r="J2994" i="1"/>
  <c r="G2994" i="1"/>
  <c r="P2993" i="1"/>
  <c r="J2993" i="1"/>
  <c r="G2993" i="1"/>
  <c r="AL2992" i="1"/>
  <c r="P2992" i="1"/>
  <c r="J2992" i="1"/>
  <c r="G2992" i="1"/>
  <c r="P2991" i="1"/>
  <c r="J2991" i="1"/>
  <c r="G2991" i="1"/>
  <c r="P2990" i="1"/>
  <c r="J2990" i="1"/>
  <c r="G2990" i="1"/>
  <c r="P2989" i="1"/>
  <c r="J2989" i="1"/>
  <c r="G2989" i="1"/>
  <c r="P2988" i="1"/>
  <c r="J2988" i="1"/>
  <c r="G2988" i="1"/>
  <c r="P2987" i="1"/>
  <c r="J2987" i="1"/>
  <c r="G2987" i="1"/>
  <c r="P2986" i="1"/>
  <c r="J2986" i="1"/>
  <c r="G2986" i="1"/>
  <c r="P2985" i="1"/>
  <c r="J2985" i="1"/>
  <c r="G2985" i="1"/>
  <c r="P2984" i="1"/>
  <c r="J2984" i="1"/>
  <c r="G2984" i="1"/>
  <c r="P2983" i="1"/>
  <c r="J2983" i="1"/>
  <c r="G2983" i="1"/>
  <c r="P2982" i="1"/>
  <c r="J2982" i="1"/>
  <c r="G2982" i="1"/>
  <c r="P2981" i="1"/>
  <c r="J2981" i="1"/>
  <c r="G2981" i="1"/>
  <c r="P2980" i="1"/>
  <c r="J2980" i="1"/>
  <c r="G2980" i="1"/>
  <c r="AL2979" i="1"/>
  <c r="P2979" i="1"/>
  <c r="J2979" i="1"/>
  <c r="G2979" i="1"/>
  <c r="P2978" i="1"/>
  <c r="J2978" i="1"/>
  <c r="G2978" i="1"/>
  <c r="P2977" i="1"/>
  <c r="J2977" i="1"/>
  <c r="G2977" i="1"/>
  <c r="P2976" i="1"/>
  <c r="J2976" i="1"/>
  <c r="G2976" i="1"/>
  <c r="P2975" i="1"/>
  <c r="J2975" i="1"/>
  <c r="G2975" i="1"/>
  <c r="P2974" i="1"/>
  <c r="J2974" i="1"/>
  <c r="G2974" i="1"/>
  <c r="P2973" i="1"/>
  <c r="J2973" i="1"/>
  <c r="G2973" i="1"/>
  <c r="P2972" i="1"/>
  <c r="J2972" i="1"/>
  <c r="G2972" i="1"/>
  <c r="P2971" i="1"/>
  <c r="J2971" i="1"/>
  <c r="G2971" i="1"/>
  <c r="P2970" i="1"/>
  <c r="J2970" i="1"/>
  <c r="G2970" i="1"/>
  <c r="P2969" i="1"/>
  <c r="J2969" i="1"/>
  <c r="G2969" i="1"/>
  <c r="P2968" i="1"/>
  <c r="J2968" i="1"/>
  <c r="G2968" i="1"/>
  <c r="P2967" i="1"/>
  <c r="J2967" i="1"/>
  <c r="G2967" i="1"/>
  <c r="P2966" i="1"/>
  <c r="J2966" i="1"/>
  <c r="G2966" i="1"/>
  <c r="P2965" i="1"/>
  <c r="J2965" i="1"/>
  <c r="G2965" i="1"/>
  <c r="P2964" i="1"/>
  <c r="J2964" i="1"/>
  <c r="G2964" i="1"/>
  <c r="P2963" i="1"/>
  <c r="J2963" i="1"/>
  <c r="G2963" i="1"/>
  <c r="P2962" i="1"/>
  <c r="J2962" i="1"/>
  <c r="G2962" i="1"/>
  <c r="P2961" i="1"/>
  <c r="J2961" i="1"/>
  <c r="G2961" i="1"/>
  <c r="P2960" i="1"/>
  <c r="J2960" i="1"/>
  <c r="G2960" i="1"/>
  <c r="G2959" i="1"/>
  <c r="P2958" i="1"/>
  <c r="J2958" i="1"/>
  <c r="G2958" i="1"/>
  <c r="AL2957" i="1"/>
  <c r="P2957" i="1"/>
  <c r="J2957" i="1"/>
  <c r="G2957" i="1"/>
  <c r="P2956" i="1"/>
  <c r="J2956" i="1"/>
  <c r="G2956" i="1"/>
  <c r="P2955" i="1"/>
  <c r="J2955" i="1"/>
  <c r="G2955" i="1"/>
  <c r="P2954" i="1"/>
  <c r="J2954" i="1"/>
  <c r="G2954" i="1"/>
  <c r="AL2953" i="1"/>
  <c r="P2953" i="1"/>
  <c r="J2953" i="1"/>
  <c r="G2953" i="1"/>
  <c r="P2952" i="1"/>
  <c r="J2952" i="1"/>
  <c r="G2952" i="1"/>
  <c r="P2951" i="1"/>
  <c r="J2951" i="1"/>
  <c r="G2951" i="1"/>
  <c r="P2950" i="1"/>
  <c r="J2950" i="1"/>
  <c r="G2950" i="1"/>
  <c r="P2949" i="1"/>
  <c r="J2949" i="1"/>
  <c r="G2949" i="1"/>
  <c r="P2948" i="1"/>
  <c r="J2948" i="1"/>
  <c r="G2948" i="1"/>
  <c r="AL2947" i="1"/>
  <c r="P2947" i="1"/>
  <c r="J2947" i="1"/>
  <c r="G2947" i="1"/>
  <c r="AL2946" i="1"/>
  <c r="P2946" i="1"/>
  <c r="J2946" i="1"/>
  <c r="G2946" i="1"/>
  <c r="P2945" i="1"/>
  <c r="J2945" i="1"/>
  <c r="G2945" i="1"/>
  <c r="P2944" i="1"/>
  <c r="J2944" i="1"/>
  <c r="G2944" i="1"/>
  <c r="P2943" i="1"/>
  <c r="J2943" i="1"/>
  <c r="G2943" i="1"/>
  <c r="P2942" i="1"/>
  <c r="J2942" i="1"/>
  <c r="G2942" i="1"/>
  <c r="P2941" i="1"/>
  <c r="J2941" i="1"/>
  <c r="G2941" i="1"/>
  <c r="P2940" i="1"/>
  <c r="J2940" i="1"/>
  <c r="G2940" i="1"/>
  <c r="P2939" i="1"/>
  <c r="J2939" i="1"/>
  <c r="G2939" i="1"/>
  <c r="P2938" i="1"/>
  <c r="J2938" i="1"/>
  <c r="G2938" i="1"/>
  <c r="P2937" i="1"/>
  <c r="J2937" i="1"/>
  <c r="G2937" i="1"/>
  <c r="P2936" i="1"/>
  <c r="J2936" i="1"/>
  <c r="G2936" i="1"/>
  <c r="P2935" i="1"/>
  <c r="J2935" i="1"/>
  <c r="G2935" i="1"/>
  <c r="P2934" i="1"/>
  <c r="J2934" i="1"/>
  <c r="G2934" i="1"/>
  <c r="P2933" i="1"/>
  <c r="J2933" i="1"/>
  <c r="G2933" i="1"/>
  <c r="P2932" i="1"/>
  <c r="J2932" i="1"/>
  <c r="G2932" i="1"/>
  <c r="P2931" i="1"/>
  <c r="J2931" i="1"/>
  <c r="G2931" i="1"/>
  <c r="P2930" i="1"/>
  <c r="J2930" i="1"/>
  <c r="G2930" i="1"/>
  <c r="P2929" i="1"/>
  <c r="J2929" i="1"/>
  <c r="G2929" i="1"/>
  <c r="P2928" i="1"/>
  <c r="J2928" i="1"/>
  <c r="G2928" i="1"/>
  <c r="P2927" i="1"/>
  <c r="J2927" i="1"/>
  <c r="G2927" i="1"/>
  <c r="P2926" i="1"/>
  <c r="J2926" i="1"/>
  <c r="G2926" i="1"/>
  <c r="P2925" i="1"/>
  <c r="J2925" i="1"/>
  <c r="G2925" i="1"/>
  <c r="P2924" i="1"/>
  <c r="J2924" i="1"/>
  <c r="G2924" i="1"/>
  <c r="P2923" i="1"/>
  <c r="J2923" i="1"/>
  <c r="G2923" i="1"/>
  <c r="P2922" i="1"/>
  <c r="J2922" i="1"/>
  <c r="G2922" i="1"/>
  <c r="P2921" i="1"/>
  <c r="J2921" i="1"/>
  <c r="G2921" i="1"/>
  <c r="P2920" i="1"/>
  <c r="J2920" i="1"/>
  <c r="G2920" i="1"/>
  <c r="P2919" i="1"/>
  <c r="J2919" i="1"/>
  <c r="G2919" i="1"/>
  <c r="P2918" i="1"/>
  <c r="J2918" i="1"/>
  <c r="G2918" i="1"/>
  <c r="P2917" i="1"/>
  <c r="J2917" i="1"/>
  <c r="G2917" i="1"/>
  <c r="P2916" i="1"/>
  <c r="J2916" i="1"/>
  <c r="G2916" i="1"/>
  <c r="P2915" i="1"/>
  <c r="J2915" i="1"/>
  <c r="G2915" i="1"/>
  <c r="P2914" i="1"/>
  <c r="J2914" i="1"/>
  <c r="G2914" i="1"/>
  <c r="P2913" i="1"/>
  <c r="J2913" i="1"/>
  <c r="G2913" i="1"/>
  <c r="P2912" i="1"/>
  <c r="J2912" i="1"/>
  <c r="G2912" i="1"/>
  <c r="P2911" i="1"/>
  <c r="J2911" i="1"/>
  <c r="G2911" i="1"/>
  <c r="P2910" i="1"/>
  <c r="J2910" i="1"/>
  <c r="G2910" i="1"/>
  <c r="AL2909" i="1"/>
  <c r="P2909" i="1"/>
  <c r="J2909" i="1"/>
  <c r="G2909" i="1"/>
  <c r="P2908" i="1"/>
  <c r="J2908" i="1"/>
  <c r="G2908" i="1"/>
  <c r="P2907" i="1"/>
  <c r="J2907" i="1"/>
  <c r="G2907" i="1"/>
  <c r="P2906" i="1"/>
  <c r="J2906" i="1"/>
  <c r="G2906" i="1"/>
  <c r="P2905" i="1"/>
  <c r="J2905" i="1"/>
  <c r="G2905" i="1"/>
  <c r="P2904" i="1"/>
  <c r="J2904" i="1"/>
  <c r="G2904" i="1"/>
  <c r="P2903" i="1"/>
  <c r="J2903" i="1"/>
  <c r="G2903" i="1"/>
  <c r="P2902" i="1"/>
  <c r="J2902" i="1"/>
  <c r="G2902" i="1"/>
  <c r="P2901" i="1"/>
  <c r="J2901" i="1"/>
  <c r="G2901" i="1"/>
  <c r="P2900" i="1"/>
  <c r="J2900" i="1"/>
  <c r="G2900" i="1"/>
  <c r="P2899" i="1"/>
  <c r="J2899" i="1"/>
  <c r="G2899" i="1"/>
  <c r="P2898" i="1"/>
  <c r="J2898" i="1"/>
  <c r="G2898" i="1"/>
  <c r="P2897" i="1"/>
  <c r="J2897" i="1"/>
  <c r="G2897" i="1"/>
  <c r="P2896" i="1"/>
  <c r="J2896" i="1"/>
  <c r="G2896" i="1"/>
  <c r="AL2895" i="1"/>
  <c r="P2895" i="1"/>
  <c r="J2895" i="1"/>
  <c r="G2895" i="1"/>
  <c r="P2894" i="1"/>
  <c r="J2894" i="1"/>
  <c r="G2894" i="1"/>
  <c r="P2893" i="1"/>
  <c r="J2893" i="1"/>
  <c r="G2893" i="1"/>
  <c r="P2892" i="1"/>
  <c r="J2892" i="1"/>
  <c r="G2892" i="1"/>
  <c r="P2891" i="1"/>
  <c r="J2891" i="1"/>
  <c r="G2891" i="1"/>
  <c r="P2890" i="1"/>
  <c r="J2890" i="1"/>
  <c r="G2890" i="1"/>
  <c r="P2889" i="1"/>
  <c r="J2889" i="1"/>
  <c r="G2889" i="1"/>
  <c r="P2888" i="1"/>
  <c r="J2888" i="1"/>
  <c r="G2888" i="1"/>
  <c r="P2887" i="1"/>
  <c r="J2887" i="1"/>
  <c r="G2887" i="1"/>
  <c r="P2886" i="1"/>
  <c r="J2886" i="1"/>
  <c r="G2886" i="1"/>
  <c r="P2885" i="1"/>
  <c r="J2885" i="1"/>
  <c r="G2885" i="1"/>
  <c r="P2884" i="1"/>
  <c r="J2884" i="1"/>
  <c r="G2884" i="1"/>
  <c r="P2883" i="1"/>
  <c r="J2883" i="1"/>
  <c r="G2883" i="1"/>
  <c r="P2882" i="1"/>
  <c r="J2882" i="1"/>
  <c r="G2882" i="1"/>
  <c r="P2881" i="1"/>
  <c r="J2881" i="1"/>
  <c r="G2881" i="1"/>
  <c r="P2880" i="1"/>
  <c r="J2880" i="1"/>
  <c r="G2880" i="1"/>
  <c r="P2879" i="1"/>
  <c r="J2879" i="1"/>
  <c r="G2879" i="1"/>
  <c r="P2878" i="1"/>
  <c r="J2878" i="1"/>
  <c r="G2878" i="1"/>
  <c r="P2877" i="1"/>
  <c r="J2877" i="1"/>
  <c r="G2877" i="1"/>
  <c r="P2876" i="1"/>
  <c r="J2876" i="1"/>
  <c r="G2876" i="1"/>
  <c r="P2875" i="1"/>
  <c r="J2875" i="1"/>
  <c r="G2875" i="1"/>
  <c r="P2874" i="1"/>
  <c r="J2874" i="1"/>
  <c r="G2874" i="1"/>
  <c r="P2873" i="1"/>
  <c r="J2873" i="1"/>
  <c r="G2873" i="1"/>
  <c r="P2872" i="1"/>
  <c r="J2872" i="1"/>
  <c r="G2872" i="1"/>
  <c r="P2871" i="1"/>
  <c r="J2871" i="1"/>
  <c r="G2871" i="1"/>
  <c r="P2870" i="1"/>
  <c r="J2870" i="1"/>
  <c r="G2870" i="1"/>
  <c r="P2869" i="1"/>
  <c r="J2869" i="1"/>
  <c r="G2869" i="1"/>
  <c r="P2868" i="1"/>
  <c r="J2868" i="1"/>
  <c r="G2868" i="1"/>
  <c r="P2867" i="1"/>
  <c r="J2867" i="1"/>
  <c r="G2867" i="1"/>
  <c r="P2866" i="1"/>
  <c r="J2866" i="1"/>
  <c r="G2866" i="1"/>
  <c r="P2865" i="1"/>
  <c r="J2865" i="1"/>
  <c r="G2865" i="1"/>
  <c r="P2864" i="1"/>
  <c r="J2864" i="1"/>
  <c r="G2864" i="1"/>
  <c r="P2863" i="1"/>
  <c r="J2863" i="1"/>
  <c r="G2863" i="1"/>
  <c r="P2862" i="1"/>
  <c r="J2862" i="1"/>
  <c r="G2862" i="1"/>
  <c r="P2861" i="1"/>
  <c r="J2861" i="1"/>
  <c r="G2861" i="1"/>
  <c r="P2860" i="1"/>
  <c r="J2860" i="1"/>
  <c r="G2860" i="1"/>
  <c r="P2859" i="1"/>
  <c r="J2859" i="1"/>
  <c r="G2859" i="1"/>
  <c r="P2858" i="1"/>
  <c r="J2858" i="1"/>
  <c r="G2858" i="1"/>
  <c r="P2857" i="1"/>
  <c r="J2857" i="1"/>
  <c r="G2857" i="1"/>
  <c r="AL2856" i="1"/>
  <c r="P2856" i="1"/>
  <c r="J2856" i="1"/>
  <c r="G2856" i="1"/>
  <c r="P2855" i="1"/>
  <c r="J2855" i="1"/>
  <c r="G2855" i="1"/>
  <c r="P2854" i="1"/>
  <c r="J2854" i="1"/>
  <c r="G2854" i="1"/>
  <c r="P2853" i="1"/>
  <c r="J2853" i="1"/>
  <c r="G2853" i="1"/>
  <c r="AL2852" i="1"/>
  <c r="P2852" i="1"/>
  <c r="J2852" i="1"/>
  <c r="G2852" i="1"/>
  <c r="P2851" i="1"/>
  <c r="J2851" i="1"/>
  <c r="G2851" i="1"/>
  <c r="AL2850" i="1"/>
  <c r="G2850" i="1"/>
  <c r="G2849" i="1"/>
  <c r="P2848" i="1"/>
  <c r="J2848" i="1"/>
  <c r="G2848" i="1"/>
  <c r="P2847" i="1"/>
  <c r="J2847" i="1"/>
  <c r="G2847" i="1"/>
  <c r="P2846" i="1"/>
  <c r="J2846" i="1"/>
  <c r="G2846" i="1"/>
  <c r="P2845" i="1"/>
  <c r="J2845" i="1"/>
  <c r="G2845" i="1"/>
  <c r="P2844" i="1"/>
  <c r="J2844" i="1"/>
  <c r="G2844" i="1"/>
  <c r="P2843" i="1"/>
  <c r="J2843" i="1"/>
  <c r="G2843" i="1"/>
  <c r="AL2842" i="1"/>
  <c r="P2842" i="1"/>
  <c r="J2842" i="1"/>
  <c r="G2842" i="1"/>
  <c r="P2841" i="1"/>
  <c r="J2841" i="1"/>
  <c r="G2841" i="1"/>
  <c r="P2840" i="1"/>
  <c r="J2840" i="1"/>
  <c r="G2840" i="1"/>
  <c r="P2839" i="1"/>
  <c r="J2839" i="1"/>
  <c r="G2839" i="1"/>
  <c r="P2838" i="1"/>
  <c r="J2838" i="1"/>
  <c r="G2838" i="1"/>
  <c r="P2837" i="1"/>
  <c r="J2837" i="1"/>
  <c r="G2837" i="1"/>
  <c r="P2836" i="1"/>
  <c r="J2836" i="1"/>
  <c r="G2836" i="1"/>
  <c r="P2835" i="1"/>
  <c r="J2835" i="1"/>
  <c r="G2835" i="1"/>
  <c r="P2834" i="1"/>
  <c r="J2834" i="1"/>
  <c r="G2834" i="1"/>
  <c r="P2833" i="1"/>
  <c r="J2833" i="1"/>
  <c r="G2833" i="1"/>
  <c r="P2832" i="1"/>
  <c r="J2832" i="1"/>
  <c r="G2832" i="1"/>
  <c r="P2831" i="1"/>
  <c r="J2831" i="1"/>
  <c r="G2831" i="1"/>
  <c r="P2830" i="1"/>
  <c r="J2830" i="1"/>
  <c r="G2830" i="1"/>
  <c r="P2829" i="1"/>
  <c r="J2829" i="1"/>
  <c r="G2829" i="1"/>
  <c r="P2828" i="1"/>
  <c r="J2828" i="1"/>
  <c r="G2828" i="1"/>
  <c r="P2827" i="1"/>
  <c r="J2827" i="1"/>
  <c r="G2827" i="1"/>
  <c r="P2826" i="1"/>
  <c r="J2826" i="1"/>
  <c r="G2826" i="1"/>
  <c r="P2825" i="1"/>
  <c r="J2825" i="1"/>
  <c r="G2825" i="1"/>
  <c r="P2824" i="1"/>
  <c r="J2824" i="1"/>
  <c r="G2824" i="1"/>
  <c r="P2823" i="1"/>
  <c r="J2823" i="1"/>
  <c r="G2823" i="1"/>
  <c r="P2822" i="1"/>
  <c r="J2822" i="1"/>
  <c r="G2822" i="1"/>
  <c r="P2821" i="1"/>
  <c r="J2821" i="1"/>
  <c r="G2821" i="1"/>
  <c r="P2820" i="1"/>
  <c r="J2820" i="1"/>
  <c r="G2820" i="1"/>
  <c r="P2819" i="1"/>
  <c r="J2819" i="1"/>
  <c r="G2819" i="1"/>
  <c r="P2818" i="1"/>
  <c r="J2818" i="1"/>
  <c r="G2818" i="1"/>
  <c r="P2817" i="1"/>
  <c r="J2817" i="1"/>
  <c r="G2817" i="1"/>
  <c r="P2816" i="1"/>
  <c r="J2816" i="1"/>
  <c r="G2816" i="1"/>
  <c r="AL2815" i="1"/>
  <c r="P2815" i="1"/>
  <c r="J2815" i="1"/>
  <c r="G2815" i="1"/>
  <c r="P2814" i="1"/>
  <c r="J2814" i="1"/>
  <c r="G2814" i="1"/>
  <c r="P2813" i="1"/>
  <c r="J2813" i="1"/>
  <c r="G2813" i="1"/>
  <c r="P2812" i="1"/>
  <c r="J2812" i="1"/>
  <c r="G2812" i="1"/>
  <c r="AL2811" i="1"/>
  <c r="P2811" i="1"/>
  <c r="J2811" i="1"/>
  <c r="G2811" i="1"/>
  <c r="P2810" i="1"/>
  <c r="J2810" i="1"/>
  <c r="G2810" i="1"/>
  <c r="P2809" i="1"/>
  <c r="J2809" i="1"/>
  <c r="G2809" i="1"/>
  <c r="P2808" i="1"/>
  <c r="J2808" i="1"/>
  <c r="G2808" i="1"/>
  <c r="P2807" i="1"/>
  <c r="J2807" i="1"/>
  <c r="G2807" i="1"/>
  <c r="P2806" i="1"/>
  <c r="J2806" i="1"/>
  <c r="G2806" i="1"/>
  <c r="P2805" i="1"/>
  <c r="J2805" i="1"/>
  <c r="G2805" i="1"/>
  <c r="P2804" i="1"/>
  <c r="J2804" i="1"/>
  <c r="G2804" i="1"/>
  <c r="P2803" i="1"/>
  <c r="J2803" i="1"/>
  <c r="G2803" i="1"/>
  <c r="P2802" i="1"/>
  <c r="J2802" i="1"/>
  <c r="G2802" i="1"/>
  <c r="P2801" i="1"/>
  <c r="J2801" i="1"/>
  <c r="G2801" i="1"/>
  <c r="P2800" i="1"/>
  <c r="J2800" i="1"/>
  <c r="G2800" i="1"/>
  <c r="P2799" i="1"/>
  <c r="J2799" i="1"/>
  <c r="G2799" i="1"/>
  <c r="P2798" i="1"/>
  <c r="J2798" i="1"/>
  <c r="G2798" i="1"/>
  <c r="P2797" i="1"/>
  <c r="J2797" i="1"/>
  <c r="G2797" i="1"/>
  <c r="P2796" i="1"/>
  <c r="J2796" i="1"/>
  <c r="G2796" i="1"/>
  <c r="P2795" i="1"/>
  <c r="J2795" i="1"/>
  <c r="G2795" i="1"/>
  <c r="P2794" i="1"/>
  <c r="J2794" i="1"/>
  <c r="G2794" i="1"/>
  <c r="P2793" i="1"/>
  <c r="J2793" i="1"/>
  <c r="G2793" i="1"/>
  <c r="P2792" i="1"/>
  <c r="J2792" i="1"/>
  <c r="G2792" i="1"/>
  <c r="P2791" i="1"/>
  <c r="J2791" i="1"/>
  <c r="G2791" i="1"/>
  <c r="P2790" i="1"/>
  <c r="J2790" i="1"/>
  <c r="G2790" i="1"/>
  <c r="AL2789" i="1"/>
  <c r="J2789" i="1"/>
  <c r="G2789" i="1"/>
  <c r="P2788" i="1"/>
  <c r="J2788" i="1"/>
  <c r="G2788" i="1"/>
  <c r="P2787" i="1"/>
  <c r="J2787" i="1"/>
  <c r="G2787" i="1"/>
  <c r="P2786" i="1"/>
  <c r="J2786" i="1"/>
  <c r="G2786" i="1"/>
  <c r="P2785" i="1"/>
  <c r="J2785" i="1"/>
  <c r="G2785" i="1"/>
  <c r="P2784" i="1"/>
  <c r="J2784" i="1"/>
  <c r="G2784" i="1"/>
  <c r="P2783" i="1"/>
  <c r="J2783" i="1"/>
  <c r="G2783" i="1"/>
  <c r="P2782" i="1"/>
  <c r="J2782" i="1"/>
  <c r="G2782" i="1"/>
  <c r="P2781" i="1"/>
  <c r="J2781" i="1"/>
  <c r="G2781" i="1"/>
  <c r="P2780" i="1"/>
  <c r="J2780" i="1"/>
  <c r="G2780" i="1"/>
  <c r="P2779" i="1"/>
  <c r="J2779" i="1"/>
  <c r="G2779" i="1"/>
  <c r="P2778" i="1"/>
  <c r="J2778" i="1"/>
  <c r="G2778" i="1"/>
  <c r="P2777" i="1"/>
  <c r="J2777" i="1"/>
  <c r="G2777" i="1"/>
  <c r="AL2776" i="1"/>
  <c r="P2776" i="1"/>
  <c r="J2776" i="1"/>
  <c r="G2776" i="1"/>
  <c r="P2775" i="1"/>
  <c r="J2775" i="1"/>
  <c r="G2775" i="1"/>
  <c r="AL2774" i="1"/>
  <c r="P2774" i="1"/>
  <c r="J2774" i="1"/>
  <c r="G2774" i="1"/>
  <c r="P2773" i="1"/>
  <c r="J2773" i="1"/>
  <c r="G2773" i="1"/>
  <c r="P2772" i="1"/>
  <c r="J2772" i="1"/>
  <c r="G2772" i="1"/>
  <c r="P2771" i="1"/>
  <c r="J2771" i="1"/>
  <c r="G2771" i="1"/>
  <c r="P2770" i="1"/>
  <c r="J2770" i="1"/>
  <c r="G2770" i="1"/>
  <c r="AL2769" i="1"/>
  <c r="P2769" i="1"/>
  <c r="J2769" i="1"/>
  <c r="G2769" i="1"/>
  <c r="P2768" i="1"/>
  <c r="J2768" i="1"/>
  <c r="G2768" i="1"/>
  <c r="P2767" i="1"/>
  <c r="J2767" i="1"/>
  <c r="G2767" i="1"/>
  <c r="P2766" i="1"/>
  <c r="J2766" i="1"/>
  <c r="G2766" i="1"/>
  <c r="P2765" i="1"/>
  <c r="J2765" i="1"/>
  <c r="G2765" i="1"/>
  <c r="P2764" i="1"/>
  <c r="J2764" i="1"/>
  <c r="G2764" i="1"/>
  <c r="P2763" i="1"/>
  <c r="J2763" i="1"/>
  <c r="G2763" i="1"/>
  <c r="P2762" i="1"/>
  <c r="J2762" i="1"/>
  <c r="G2762" i="1"/>
  <c r="P2761" i="1"/>
  <c r="J2761" i="1"/>
  <c r="G2761" i="1"/>
  <c r="P2760" i="1"/>
  <c r="J2760" i="1"/>
  <c r="G2760" i="1"/>
  <c r="P2759" i="1"/>
  <c r="J2759" i="1"/>
  <c r="G2759" i="1"/>
  <c r="P2758" i="1"/>
  <c r="J2758" i="1"/>
  <c r="G2758" i="1"/>
  <c r="P2757" i="1"/>
  <c r="J2757" i="1"/>
  <c r="G2757" i="1"/>
  <c r="P2756" i="1"/>
  <c r="J2756" i="1"/>
  <c r="G2756" i="1"/>
  <c r="P2755" i="1"/>
  <c r="J2755" i="1"/>
  <c r="G2755" i="1"/>
  <c r="AL2754" i="1"/>
  <c r="P2754" i="1"/>
  <c r="J2754" i="1"/>
  <c r="G2754" i="1"/>
  <c r="P2753" i="1"/>
  <c r="J2753" i="1"/>
  <c r="G2753" i="1"/>
  <c r="P2752" i="1"/>
  <c r="J2752" i="1"/>
  <c r="G2752" i="1"/>
  <c r="P2751" i="1"/>
  <c r="J2751" i="1"/>
  <c r="G2751" i="1"/>
  <c r="P2750" i="1"/>
  <c r="J2750" i="1"/>
  <c r="G2750" i="1"/>
  <c r="P2749" i="1"/>
  <c r="J2749" i="1"/>
  <c r="G2749" i="1"/>
  <c r="P2748" i="1"/>
  <c r="J2748" i="1"/>
  <c r="G2748" i="1"/>
  <c r="P2747" i="1"/>
  <c r="J2747" i="1"/>
  <c r="G2747" i="1"/>
  <c r="P2746" i="1"/>
  <c r="J2746" i="1"/>
  <c r="G2746" i="1"/>
  <c r="P2745" i="1"/>
  <c r="J2745" i="1"/>
  <c r="G2745" i="1"/>
  <c r="P2744" i="1"/>
  <c r="J2744" i="1"/>
  <c r="G2744" i="1"/>
  <c r="P2743" i="1"/>
  <c r="J2743" i="1"/>
  <c r="G2743" i="1"/>
  <c r="P2742" i="1"/>
  <c r="J2742" i="1"/>
  <c r="G2742" i="1"/>
  <c r="P2741" i="1"/>
  <c r="J2741" i="1"/>
  <c r="G2741" i="1"/>
  <c r="P2740" i="1"/>
  <c r="J2740" i="1"/>
  <c r="G2740" i="1"/>
  <c r="P2739" i="1"/>
  <c r="J2739" i="1"/>
  <c r="G2739" i="1"/>
  <c r="P2738" i="1"/>
  <c r="J2738" i="1"/>
  <c r="G2738" i="1"/>
  <c r="P2737" i="1"/>
  <c r="J2737" i="1"/>
  <c r="G2737" i="1"/>
  <c r="P2736" i="1"/>
  <c r="J2736" i="1"/>
  <c r="G2736" i="1"/>
  <c r="P2735" i="1"/>
  <c r="J2735" i="1"/>
  <c r="G2735" i="1"/>
  <c r="P2734" i="1"/>
  <c r="J2734" i="1"/>
  <c r="G2734" i="1"/>
  <c r="P2733" i="1"/>
  <c r="J2733" i="1"/>
  <c r="G2733" i="1"/>
  <c r="P2732" i="1"/>
  <c r="J2732" i="1"/>
  <c r="G2732" i="1"/>
  <c r="P2731" i="1"/>
  <c r="J2731" i="1"/>
  <c r="G2731" i="1"/>
  <c r="AL2730" i="1"/>
  <c r="P2730" i="1"/>
  <c r="J2730" i="1"/>
  <c r="G2730" i="1"/>
  <c r="P2729" i="1"/>
  <c r="J2729" i="1"/>
  <c r="G2729" i="1"/>
  <c r="P2728" i="1"/>
  <c r="J2728" i="1"/>
  <c r="G2728" i="1"/>
  <c r="P2727" i="1"/>
  <c r="J2727" i="1"/>
  <c r="G2727" i="1"/>
  <c r="P2726" i="1"/>
  <c r="J2726" i="1"/>
  <c r="G2726" i="1"/>
  <c r="P2725" i="1"/>
  <c r="J2725" i="1"/>
  <c r="G2725" i="1"/>
  <c r="P2724" i="1"/>
  <c r="J2724" i="1"/>
  <c r="G2724" i="1"/>
  <c r="P2723" i="1"/>
  <c r="J2723" i="1"/>
  <c r="G2723" i="1"/>
  <c r="P2722" i="1"/>
  <c r="J2722" i="1"/>
  <c r="G2722" i="1"/>
  <c r="P2721" i="1"/>
  <c r="J2721" i="1"/>
  <c r="G2721" i="1"/>
  <c r="P2720" i="1"/>
  <c r="J2720" i="1"/>
  <c r="G2720" i="1"/>
  <c r="P2719" i="1"/>
  <c r="J2719" i="1"/>
  <c r="G2719" i="1"/>
  <c r="P2718" i="1"/>
  <c r="J2718" i="1"/>
  <c r="G2718" i="1"/>
  <c r="P2717" i="1"/>
  <c r="J2717" i="1"/>
  <c r="G2717" i="1"/>
  <c r="P2716" i="1"/>
  <c r="J2716" i="1"/>
  <c r="G2716" i="1"/>
  <c r="P2715" i="1"/>
  <c r="J2715" i="1"/>
  <c r="G2715" i="1"/>
  <c r="P2714" i="1"/>
  <c r="J2714" i="1"/>
  <c r="G2714" i="1"/>
  <c r="P2713" i="1"/>
  <c r="J2713" i="1"/>
  <c r="G2713" i="1"/>
  <c r="P2712" i="1"/>
  <c r="J2712" i="1"/>
  <c r="G2712" i="1"/>
  <c r="P2711" i="1"/>
  <c r="J2711" i="1"/>
  <c r="G2711" i="1"/>
  <c r="P2710" i="1"/>
  <c r="J2710" i="1"/>
  <c r="G2710" i="1"/>
  <c r="P2709" i="1"/>
  <c r="J2709" i="1"/>
  <c r="G2709" i="1"/>
  <c r="P2708" i="1"/>
  <c r="J2708" i="1"/>
  <c r="G2708" i="1"/>
  <c r="P2707" i="1"/>
  <c r="J2707" i="1"/>
  <c r="G2707" i="1"/>
  <c r="P2706" i="1"/>
  <c r="J2706" i="1"/>
  <c r="G2706" i="1"/>
  <c r="P2705" i="1"/>
  <c r="J2705" i="1"/>
  <c r="G2705" i="1"/>
  <c r="P2704" i="1"/>
  <c r="J2704" i="1"/>
  <c r="G2704" i="1"/>
  <c r="P2703" i="1"/>
  <c r="J2703" i="1"/>
  <c r="G2703" i="1"/>
  <c r="AL2702" i="1"/>
  <c r="P2702" i="1"/>
  <c r="J2702" i="1"/>
  <c r="G2702" i="1"/>
  <c r="P2701" i="1"/>
  <c r="J2701" i="1"/>
  <c r="G2701" i="1"/>
  <c r="P2700" i="1"/>
  <c r="J2700" i="1"/>
  <c r="G2700" i="1"/>
  <c r="P2699" i="1"/>
  <c r="J2699" i="1"/>
  <c r="G2699" i="1"/>
  <c r="P2698" i="1"/>
  <c r="J2698" i="1"/>
  <c r="G2698" i="1"/>
  <c r="AL2697" i="1"/>
  <c r="G2697" i="1"/>
  <c r="P2696" i="1"/>
  <c r="J2696" i="1"/>
  <c r="G2696" i="1"/>
  <c r="AL2695" i="1"/>
  <c r="P2695" i="1"/>
  <c r="J2695" i="1"/>
  <c r="G2695" i="1"/>
  <c r="P2694" i="1"/>
  <c r="J2694" i="1"/>
  <c r="G2694" i="1"/>
  <c r="P2693" i="1"/>
  <c r="J2693" i="1"/>
  <c r="G2693" i="1"/>
  <c r="P2692" i="1"/>
  <c r="J2692" i="1"/>
  <c r="G2692" i="1"/>
  <c r="P2691" i="1"/>
  <c r="J2691" i="1"/>
  <c r="G2691" i="1"/>
  <c r="P2690" i="1"/>
  <c r="J2690" i="1"/>
  <c r="G2690" i="1"/>
  <c r="P2689" i="1"/>
  <c r="J2689" i="1"/>
  <c r="G2689" i="1"/>
  <c r="G2688" i="1"/>
  <c r="AL2687" i="1"/>
  <c r="P2687" i="1"/>
  <c r="J2687" i="1"/>
  <c r="G2687" i="1"/>
  <c r="P2686" i="1"/>
  <c r="J2686" i="1"/>
  <c r="G2686" i="1"/>
  <c r="P2685" i="1"/>
  <c r="J2685" i="1"/>
  <c r="G2685" i="1"/>
  <c r="P2684" i="1"/>
  <c r="J2684" i="1"/>
  <c r="G2684" i="1"/>
  <c r="P2683" i="1"/>
  <c r="J2683" i="1"/>
  <c r="G2683" i="1"/>
  <c r="AL2682" i="1"/>
  <c r="P2682" i="1"/>
  <c r="J2682" i="1"/>
  <c r="G2682" i="1"/>
  <c r="AL2681" i="1"/>
  <c r="J2681" i="1"/>
  <c r="G2681" i="1"/>
  <c r="P2680" i="1"/>
  <c r="J2680" i="1"/>
  <c r="G2680" i="1"/>
  <c r="P2679" i="1"/>
  <c r="J2679" i="1"/>
  <c r="G2679" i="1"/>
  <c r="P2678" i="1"/>
  <c r="J2678" i="1"/>
  <c r="G2678" i="1"/>
  <c r="P2677" i="1"/>
  <c r="J2677" i="1"/>
  <c r="G2677" i="1"/>
  <c r="P2676" i="1"/>
  <c r="J2676" i="1"/>
  <c r="G2676" i="1"/>
  <c r="P2675" i="1"/>
  <c r="J2675" i="1"/>
  <c r="G2675" i="1"/>
  <c r="P2674" i="1"/>
  <c r="J2674" i="1"/>
  <c r="G2674" i="1"/>
  <c r="P2673" i="1"/>
  <c r="J2673" i="1"/>
  <c r="G2673" i="1"/>
  <c r="P2672" i="1"/>
  <c r="J2672" i="1"/>
  <c r="G2672" i="1"/>
  <c r="P2671" i="1"/>
  <c r="J2671" i="1"/>
  <c r="G2671" i="1"/>
  <c r="P2670" i="1"/>
  <c r="J2670" i="1"/>
  <c r="G2670" i="1"/>
  <c r="P2669" i="1"/>
  <c r="J2669" i="1"/>
  <c r="G2669" i="1"/>
  <c r="AL2668" i="1"/>
  <c r="P2668" i="1"/>
  <c r="J2668" i="1"/>
  <c r="G2668" i="1"/>
  <c r="P2667" i="1"/>
  <c r="J2667" i="1"/>
  <c r="G2667" i="1"/>
  <c r="P2666" i="1"/>
  <c r="J2666" i="1"/>
  <c r="G2666" i="1"/>
  <c r="P2665" i="1"/>
  <c r="J2665" i="1"/>
  <c r="G2665" i="1"/>
  <c r="P2664" i="1"/>
  <c r="J2664" i="1"/>
  <c r="G2664" i="1"/>
  <c r="P2663" i="1"/>
  <c r="J2663" i="1"/>
  <c r="G2663" i="1"/>
  <c r="P2662" i="1"/>
  <c r="J2662" i="1"/>
  <c r="G2662" i="1"/>
  <c r="P2661" i="1"/>
  <c r="J2661" i="1"/>
  <c r="G2661" i="1"/>
  <c r="P2660" i="1"/>
  <c r="J2660" i="1"/>
  <c r="G2660" i="1"/>
  <c r="P2659" i="1"/>
  <c r="J2659" i="1"/>
  <c r="G2659" i="1"/>
  <c r="P2658" i="1"/>
  <c r="J2658" i="1"/>
  <c r="G2658" i="1"/>
  <c r="P2657" i="1"/>
  <c r="J2657" i="1"/>
  <c r="G2657" i="1"/>
  <c r="G2656" i="1"/>
  <c r="P2655" i="1"/>
  <c r="J2655" i="1"/>
  <c r="G2655" i="1"/>
  <c r="P2654" i="1"/>
  <c r="J2654" i="1"/>
  <c r="G2654" i="1"/>
  <c r="P2653" i="1"/>
  <c r="J2653" i="1"/>
  <c r="G2653" i="1"/>
  <c r="P2652" i="1"/>
  <c r="J2652" i="1"/>
  <c r="G2652" i="1"/>
  <c r="P2651" i="1"/>
  <c r="J2651" i="1"/>
  <c r="G2651" i="1"/>
  <c r="P2650" i="1"/>
  <c r="J2650" i="1"/>
  <c r="G2650" i="1"/>
  <c r="P2649" i="1"/>
  <c r="J2649" i="1"/>
  <c r="G2649" i="1"/>
  <c r="P2648" i="1"/>
  <c r="J2648" i="1"/>
  <c r="G2648" i="1"/>
  <c r="P2647" i="1"/>
  <c r="J2647" i="1"/>
  <c r="G2647" i="1"/>
  <c r="P2646" i="1"/>
  <c r="J2646" i="1"/>
  <c r="G2646" i="1"/>
  <c r="AL2645" i="1"/>
  <c r="P2645" i="1"/>
  <c r="J2645" i="1"/>
  <c r="G2645" i="1"/>
  <c r="P2644" i="1"/>
  <c r="J2644" i="1"/>
  <c r="G2644" i="1"/>
  <c r="P2643" i="1"/>
  <c r="J2643" i="1"/>
  <c r="G2643" i="1"/>
  <c r="AL2642" i="1"/>
  <c r="J2642" i="1"/>
  <c r="G2642" i="1"/>
  <c r="P2641" i="1"/>
  <c r="J2641" i="1"/>
  <c r="G2641" i="1"/>
  <c r="P2640" i="1"/>
  <c r="J2640" i="1"/>
  <c r="G2640" i="1"/>
  <c r="P2639" i="1"/>
  <c r="J2639" i="1"/>
  <c r="G2639" i="1"/>
  <c r="P2638" i="1"/>
  <c r="J2638" i="1"/>
  <c r="G2638" i="1"/>
  <c r="P2637" i="1"/>
  <c r="J2637" i="1"/>
  <c r="G2637" i="1"/>
  <c r="P2636" i="1"/>
  <c r="J2636" i="1"/>
  <c r="G2636" i="1"/>
  <c r="AL2635" i="1"/>
  <c r="P2635" i="1"/>
  <c r="J2635" i="1"/>
  <c r="G2635" i="1"/>
  <c r="P2634" i="1"/>
  <c r="J2634" i="1"/>
  <c r="G2634" i="1"/>
  <c r="P2633" i="1"/>
  <c r="J2633" i="1"/>
  <c r="G2633" i="1"/>
  <c r="P2632" i="1"/>
  <c r="J2632" i="1"/>
  <c r="G2632" i="1"/>
  <c r="P2631" i="1"/>
  <c r="J2631" i="1"/>
  <c r="G2631" i="1"/>
  <c r="P2630" i="1"/>
  <c r="J2630" i="1"/>
  <c r="G2630" i="1"/>
  <c r="P2629" i="1"/>
  <c r="J2629" i="1"/>
  <c r="G2629" i="1"/>
  <c r="P2628" i="1"/>
  <c r="J2628" i="1"/>
  <c r="G2628" i="1"/>
  <c r="P2627" i="1"/>
  <c r="J2627" i="1"/>
  <c r="G2627" i="1"/>
  <c r="P2626" i="1"/>
  <c r="J2626" i="1"/>
  <c r="G2626" i="1"/>
  <c r="P2625" i="1"/>
  <c r="J2625" i="1"/>
  <c r="G2625" i="1"/>
  <c r="P2624" i="1"/>
  <c r="J2624" i="1"/>
  <c r="G2624" i="1"/>
  <c r="P2623" i="1"/>
  <c r="J2623" i="1"/>
  <c r="G2623" i="1"/>
  <c r="P2622" i="1"/>
  <c r="J2622" i="1"/>
  <c r="G2622" i="1"/>
  <c r="P2621" i="1"/>
  <c r="J2621" i="1"/>
  <c r="G2621" i="1"/>
  <c r="AL2620" i="1"/>
  <c r="P2620" i="1"/>
  <c r="J2620" i="1"/>
  <c r="G2620" i="1"/>
  <c r="P2619" i="1"/>
  <c r="J2619" i="1"/>
  <c r="G2619" i="1"/>
  <c r="P2618" i="1"/>
  <c r="J2618" i="1"/>
  <c r="G2618" i="1"/>
  <c r="P2617" i="1"/>
  <c r="J2617" i="1"/>
  <c r="G2617" i="1"/>
  <c r="P2616" i="1"/>
  <c r="J2616" i="1"/>
  <c r="G2616" i="1"/>
  <c r="P2615" i="1"/>
  <c r="J2615" i="1"/>
  <c r="G2615" i="1"/>
  <c r="P2614" i="1"/>
  <c r="J2614" i="1"/>
  <c r="G2614" i="1"/>
  <c r="P2613" i="1"/>
  <c r="J2613" i="1"/>
  <c r="G2613" i="1"/>
  <c r="P2612" i="1"/>
  <c r="J2612" i="1"/>
  <c r="G2612" i="1"/>
  <c r="P2611" i="1"/>
  <c r="J2611" i="1"/>
  <c r="G2611" i="1"/>
  <c r="P2610" i="1"/>
  <c r="J2610" i="1"/>
  <c r="G2610" i="1"/>
  <c r="P2609" i="1"/>
  <c r="J2609" i="1"/>
  <c r="G2609" i="1"/>
  <c r="P2608" i="1"/>
  <c r="J2608" i="1"/>
  <c r="G2608" i="1"/>
  <c r="P2607" i="1"/>
  <c r="J2607" i="1"/>
  <c r="G2607" i="1"/>
  <c r="P2606" i="1"/>
  <c r="J2606" i="1"/>
  <c r="G2606" i="1"/>
  <c r="P2605" i="1"/>
  <c r="J2605" i="1"/>
  <c r="G2605" i="1"/>
  <c r="AL2604" i="1"/>
  <c r="P2604" i="1"/>
  <c r="J2604" i="1"/>
  <c r="G2604" i="1"/>
  <c r="P2603" i="1"/>
  <c r="J2603" i="1"/>
  <c r="G2603" i="1"/>
  <c r="P2602" i="1"/>
  <c r="J2602" i="1"/>
  <c r="G2602" i="1"/>
  <c r="P2601" i="1"/>
  <c r="J2601" i="1"/>
  <c r="G2601" i="1"/>
  <c r="P2600" i="1"/>
  <c r="J2600" i="1"/>
  <c r="G2600" i="1"/>
  <c r="P2599" i="1"/>
  <c r="J2599" i="1"/>
  <c r="G2599" i="1"/>
  <c r="P2598" i="1"/>
  <c r="J2598" i="1"/>
  <c r="G2598" i="1"/>
  <c r="P2597" i="1"/>
  <c r="J2597" i="1"/>
  <c r="G2597" i="1"/>
  <c r="P2596" i="1"/>
  <c r="J2596" i="1"/>
  <c r="G2596" i="1"/>
  <c r="P2595" i="1"/>
  <c r="J2595" i="1"/>
  <c r="G2595" i="1"/>
  <c r="P2594" i="1"/>
  <c r="J2594" i="1"/>
  <c r="G2594" i="1"/>
  <c r="AL2593" i="1"/>
  <c r="P2593" i="1"/>
  <c r="J2593" i="1"/>
  <c r="G2593" i="1"/>
  <c r="P2592" i="1"/>
  <c r="J2592" i="1"/>
  <c r="G2592" i="1"/>
  <c r="P2591" i="1"/>
  <c r="J2591" i="1"/>
  <c r="G2591" i="1"/>
  <c r="P2590" i="1"/>
  <c r="J2590" i="1"/>
  <c r="G2590" i="1"/>
  <c r="P2589" i="1"/>
  <c r="J2589" i="1"/>
  <c r="G2589" i="1"/>
  <c r="P2588" i="1"/>
  <c r="J2588" i="1"/>
  <c r="G2588" i="1"/>
  <c r="P2587" i="1"/>
  <c r="J2587" i="1"/>
  <c r="G2587" i="1"/>
  <c r="P2586" i="1"/>
  <c r="J2586" i="1"/>
  <c r="G2586" i="1"/>
  <c r="P2585" i="1"/>
  <c r="J2585" i="1"/>
  <c r="G2585" i="1"/>
  <c r="P2584" i="1"/>
  <c r="J2584" i="1"/>
  <c r="G2584" i="1"/>
  <c r="P2583" i="1"/>
  <c r="J2583" i="1"/>
  <c r="G2583" i="1"/>
  <c r="P2582" i="1"/>
  <c r="J2582" i="1"/>
  <c r="G2582" i="1"/>
  <c r="P2581" i="1"/>
  <c r="J2581" i="1"/>
  <c r="G2581" i="1"/>
  <c r="P2580" i="1"/>
  <c r="J2580" i="1"/>
  <c r="G2580" i="1"/>
  <c r="P2579" i="1"/>
  <c r="J2579" i="1"/>
  <c r="G2579" i="1"/>
  <c r="P2578" i="1"/>
  <c r="J2578" i="1"/>
  <c r="G2578" i="1"/>
  <c r="P2577" i="1"/>
  <c r="J2577" i="1"/>
  <c r="G2577" i="1"/>
  <c r="P2576" i="1"/>
  <c r="J2576" i="1"/>
  <c r="G2576" i="1"/>
  <c r="P2575" i="1"/>
  <c r="J2575" i="1"/>
  <c r="G2575" i="1"/>
  <c r="AL2574" i="1"/>
  <c r="P2574" i="1"/>
  <c r="J2574" i="1"/>
  <c r="G2574" i="1"/>
  <c r="P2573" i="1"/>
  <c r="J2573" i="1"/>
  <c r="G2573" i="1"/>
  <c r="P2572" i="1"/>
  <c r="J2572" i="1"/>
  <c r="G2572" i="1"/>
  <c r="P2571" i="1"/>
  <c r="J2571" i="1"/>
  <c r="G2571" i="1"/>
  <c r="P2570" i="1"/>
  <c r="J2570" i="1"/>
  <c r="G2570" i="1"/>
  <c r="P2569" i="1"/>
  <c r="J2569" i="1"/>
  <c r="G2569" i="1"/>
  <c r="P2568" i="1"/>
  <c r="J2568" i="1"/>
  <c r="G2568" i="1"/>
  <c r="P2567" i="1"/>
  <c r="J2567" i="1"/>
  <c r="G2567" i="1"/>
  <c r="P2566" i="1"/>
  <c r="J2566" i="1"/>
  <c r="G2566" i="1"/>
  <c r="P2565" i="1"/>
  <c r="J2565" i="1"/>
  <c r="G2565" i="1"/>
  <c r="P2564" i="1"/>
  <c r="J2564" i="1"/>
  <c r="G2564" i="1"/>
  <c r="P2563" i="1"/>
  <c r="J2563" i="1"/>
  <c r="G2563" i="1"/>
  <c r="P2562" i="1"/>
  <c r="J2562" i="1"/>
  <c r="G2562" i="1"/>
  <c r="P2561" i="1"/>
  <c r="J2561" i="1"/>
  <c r="G2561" i="1"/>
  <c r="P2560" i="1"/>
  <c r="J2560" i="1"/>
  <c r="G2560" i="1"/>
  <c r="P2559" i="1"/>
  <c r="J2559" i="1"/>
  <c r="G2559" i="1"/>
  <c r="P2558" i="1"/>
  <c r="J2558" i="1"/>
  <c r="G2558" i="1"/>
  <c r="P2557" i="1"/>
  <c r="J2557" i="1"/>
  <c r="G2557" i="1"/>
  <c r="P2556" i="1"/>
  <c r="J2556" i="1"/>
  <c r="G2556" i="1"/>
  <c r="P2555" i="1"/>
  <c r="J2555" i="1"/>
  <c r="G2555" i="1"/>
  <c r="P2554" i="1"/>
  <c r="J2554" i="1"/>
  <c r="G2554" i="1"/>
  <c r="P2553" i="1"/>
  <c r="J2553" i="1"/>
  <c r="G2553" i="1"/>
  <c r="AL2552" i="1"/>
  <c r="P2552" i="1"/>
  <c r="J2552" i="1"/>
  <c r="G2552" i="1"/>
  <c r="P2551" i="1"/>
  <c r="J2551" i="1"/>
  <c r="G2551" i="1"/>
  <c r="P2550" i="1"/>
  <c r="J2550" i="1"/>
  <c r="G2550" i="1"/>
  <c r="P2549" i="1"/>
  <c r="J2549" i="1"/>
  <c r="G2549" i="1"/>
  <c r="P2548" i="1"/>
  <c r="J2548" i="1"/>
  <c r="G2548" i="1"/>
  <c r="P2547" i="1"/>
  <c r="J2547" i="1"/>
  <c r="G2547" i="1"/>
  <c r="P2546" i="1"/>
  <c r="J2546" i="1"/>
  <c r="G2546" i="1"/>
  <c r="P2545" i="1"/>
  <c r="J2545" i="1"/>
  <c r="G2545" i="1"/>
  <c r="P2544" i="1"/>
  <c r="J2544" i="1"/>
  <c r="G2544" i="1"/>
  <c r="G2543" i="1"/>
  <c r="P2542" i="1"/>
  <c r="J2542" i="1"/>
  <c r="G2542" i="1"/>
  <c r="P2541" i="1"/>
  <c r="J2541" i="1"/>
  <c r="G2541" i="1"/>
  <c r="P2540" i="1"/>
  <c r="J2540" i="1"/>
  <c r="G2540" i="1"/>
  <c r="P2539" i="1"/>
  <c r="J2539" i="1"/>
  <c r="G2539" i="1"/>
  <c r="P2538" i="1"/>
  <c r="J2538" i="1"/>
  <c r="G2538" i="1"/>
  <c r="P2537" i="1"/>
  <c r="J2537" i="1"/>
  <c r="G2537" i="1"/>
  <c r="P2536" i="1"/>
  <c r="J2536" i="1"/>
  <c r="G2536" i="1"/>
  <c r="P2535" i="1"/>
  <c r="J2535" i="1"/>
  <c r="G2535" i="1"/>
  <c r="AL2534" i="1"/>
  <c r="P2534" i="1"/>
  <c r="J2534" i="1"/>
  <c r="G2534" i="1"/>
  <c r="P2533" i="1"/>
  <c r="J2533" i="1"/>
  <c r="G2533" i="1"/>
  <c r="P2532" i="1"/>
  <c r="J2532" i="1"/>
  <c r="G2532" i="1"/>
  <c r="P2531" i="1"/>
  <c r="J2531" i="1"/>
  <c r="G2531" i="1"/>
  <c r="P2530" i="1"/>
  <c r="J2530" i="1"/>
  <c r="G2530" i="1"/>
  <c r="P2529" i="1"/>
  <c r="J2529" i="1"/>
  <c r="G2529" i="1"/>
  <c r="P2528" i="1"/>
  <c r="J2528" i="1"/>
  <c r="G2528" i="1"/>
  <c r="P2527" i="1"/>
  <c r="J2527" i="1"/>
  <c r="G2527" i="1"/>
  <c r="P2526" i="1"/>
  <c r="J2526" i="1"/>
  <c r="G2526" i="1"/>
  <c r="P2525" i="1"/>
  <c r="J2525" i="1"/>
  <c r="G2525" i="1"/>
  <c r="P2524" i="1"/>
  <c r="J2524" i="1"/>
  <c r="G2524" i="1"/>
  <c r="P2523" i="1"/>
  <c r="J2523" i="1"/>
  <c r="G2523" i="1"/>
  <c r="P2522" i="1"/>
  <c r="J2522" i="1"/>
  <c r="G2522" i="1"/>
  <c r="P2521" i="1"/>
  <c r="J2521" i="1"/>
  <c r="G2521" i="1"/>
  <c r="P2520" i="1"/>
  <c r="J2520" i="1"/>
  <c r="G2520" i="1"/>
  <c r="P2519" i="1"/>
  <c r="J2519" i="1"/>
  <c r="G2519" i="1"/>
  <c r="P2518" i="1"/>
  <c r="J2518" i="1"/>
  <c r="G2518" i="1"/>
  <c r="P2517" i="1"/>
  <c r="J2517" i="1"/>
  <c r="G2517" i="1"/>
  <c r="P2516" i="1"/>
  <c r="J2516" i="1"/>
  <c r="G2516" i="1"/>
  <c r="P2515" i="1"/>
  <c r="J2515" i="1"/>
  <c r="G2515" i="1"/>
  <c r="P2514" i="1"/>
  <c r="J2514" i="1"/>
  <c r="G2514" i="1"/>
  <c r="P2513" i="1"/>
  <c r="J2513" i="1"/>
  <c r="G2513" i="1"/>
  <c r="P2512" i="1"/>
  <c r="J2512" i="1"/>
  <c r="G2512" i="1"/>
  <c r="P2511" i="1"/>
  <c r="J2511" i="1"/>
  <c r="G2511" i="1"/>
  <c r="P2510" i="1"/>
  <c r="J2510" i="1"/>
  <c r="G2510" i="1"/>
  <c r="P2509" i="1"/>
  <c r="J2509" i="1"/>
  <c r="G2509" i="1"/>
  <c r="P2508" i="1"/>
  <c r="J2508" i="1"/>
  <c r="G2508" i="1"/>
  <c r="P2507" i="1"/>
  <c r="J2507" i="1"/>
  <c r="G2507" i="1"/>
  <c r="P2506" i="1"/>
  <c r="J2506" i="1"/>
  <c r="G2506" i="1"/>
  <c r="P2505" i="1"/>
  <c r="J2505" i="1"/>
  <c r="G2505" i="1"/>
  <c r="P2504" i="1"/>
  <c r="J2504" i="1"/>
  <c r="G2504" i="1"/>
  <c r="P2503" i="1"/>
  <c r="J2503" i="1"/>
  <c r="G2503" i="1"/>
  <c r="P2502" i="1"/>
  <c r="J2502" i="1"/>
  <c r="G2502" i="1"/>
  <c r="P2501" i="1"/>
  <c r="J2501" i="1"/>
  <c r="G2501" i="1"/>
  <c r="P2500" i="1"/>
  <c r="J2500" i="1"/>
  <c r="G2500" i="1"/>
  <c r="P2499" i="1"/>
  <c r="J2499" i="1"/>
  <c r="G2499" i="1"/>
  <c r="P2498" i="1"/>
  <c r="J2498" i="1"/>
  <c r="G2498" i="1"/>
  <c r="P2497" i="1"/>
  <c r="J2497" i="1"/>
  <c r="G2497" i="1"/>
  <c r="P2496" i="1"/>
  <c r="J2496" i="1"/>
  <c r="G2496" i="1"/>
  <c r="J2495" i="1"/>
  <c r="G2495" i="1"/>
  <c r="P2494" i="1"/>
  <c r="J2494" i="1"/>
  <c r="G2494" i="1"/>
  <c r="P2493" i="1"/>
  <c r="J2493" i="1"/>
  <c r="G2493" i="1"/>
  <c r="J2492" i="1"/>
  <c r="G2492" i="1"/>
  <c r="P2491" i="1"/>
  <c r="J2491" i="1"/>
  <c r="G2491" i="1"/>
  <c r="P2490" i="1"/>
  <c r="J2490" i="1"/>
  <c r="G2490" i="1"/>
  <c r="P2489" i="1"/>
  <c r="J2489" i="1"/>
  <c r="G2489" i="1"/>
  <c r="P2488" i="1"/>
  <c r="J2488" i="1"/>
  <c r="G2488" i="1"/>
  <c r="P2487" i="1"/>
  <c r="J2487" i="1"/>
  <c r="G2487" i="1"/>
  <c r="P2486" i="1"/>
  <c r="J2486" i="1"/>
  <c r="G2486" i="1"/>
  <c r="P2485" i="1"/>
  <c r="J2485" i="1"/>
  <c r="G2485" i="1"/>
  <c r="P2484" i="1"/>
  <c r="J2484" i="1"/>
  <c r="G2484" i="1"/>
  <c r="P2483" i="1"/>
  <c r="J2483" i="1"/>
  <c r="G2483" i="1"/>
  <c r="P2482" i="1"/>
  <c r="J2482" i="1"/>
  <c r="G2482" i="1"/>
  <c r="P2481" i="1"/>
  <c r="J2481" i="1"/>
  <c r="G2481" i="1"/>
  <c r="P2480" i="1"/>
  <c r="J2480" i="1"/>
  <c r="G2480" i="1"/>
  <c r="P2479" i="1"/>
  <c r="J2479" i="1"/>
  <c r="G2479" i="1"/>
  <c r="P2478" i="1"/>
  <c r="J2478" i="1"/>
  <c r="G2478" i="1"/>
  <c r="AL2477" i="1"/>
  <c r="J2477" i="1"/>
  <c r="G2477" i="1"/>
  <c r="P2476" i="1"/>
  <c r="J2476" i="1"/>
  <c r="G2476" i="1"/>
  <c r="P2475" i="1"/>
  <c r="J2475" i="1"/>
  <c r="G2475" i="1"/>
  <c r="P2474" i="1"/>
  <c r="J2474" i="1"/>
  <c r="G2474" i="1"/>
  <c r="P2473" i="1"/>
  <c r="J2473" i="1"/>
  <c r="G2473" i="1"/>
  <c r="P2472" i="1"/>
  <c r="J2472" i="1"/>
  <c r="G2472" i="1"/>
  <c r="AL2471" i="1"/>
  <c r="P2471" i="1"/>
  <c r="J2471" i="1"/>
  <c r="G2471" i="1"/>
  <c r="P2470" i="1"/>
  <c r="J2470" i="1"/>
  <c r="G2470" i="1"/>
  <c r="P2469" i="1"/>
  <c r="J2469" i="1"/>
  <c r="G2469" i="1"/>
  <c r="P2468" i="1"/>
  <c r="J2468" i="1"/>
  <c r="G2468" i="1"/>
  <c r="P2467" i="1"/>
  <c r="J2467" i="1"/>
  <c r="G2467" i="1"/>
  <c r="J2466" i="1"/>
  <c r="G2466" i="1"/>
  <c r="P2465" i="1"/>
  <c r="J2465" i="1"/>
  <c r="G2465" i="1"/>
  <c r="AL2464" i="1"/>
  <c r="P2464" i="1"/>
  <c r="J2464" i="1"/>
  <c r="G2464" i="1"/>
  <c r="P2463" i="1"/>
  <c r="J2463" i="1"/>
  <c r="G2463" i="1"/>
  <c r="P2462" i="1"/>
  <c r="J2462" i="1"/>
  <c r="G2462" i="1"/>
  <c r="P2461" i="1"/>
  <c r="J2461" i="1"/>
  <c r="G2461" i="1"/>
  <c r="P2460" i="1"/>
  <c r="J2460" i="1"/>
  <c r="G2460" i="1"/>
  <c r="P2459" i="1"/>
  <c r="J2459" i="1"/>
  <c r="G2459" i="1"/>
  <c r="AL2458" i="1"/>
  <c r="G2458" i="1"/>
  <c r="P2457" i="1"/>
  <c r="J2457" i="1"/>
  <c r="G2457" i="1"/>
  <c r="P2456" i="1"/>
  <c r="J2456" i="1"/>
  <c r="G2456" i="1"/>
  <c r="P2455" i="1"/>
  <c r="J2455" i="1"/>
  <c r="G2455" i="1"/>
  <c r="P2454" i="1"/>
  <c r="J2454" i="1"/>
  <c r="G2454" i="1"/>
  <c r="P2453" i="1"/>
  <c r="J2453" i="1"/>
  <c r="G2453" i="1"/>
  <c r="P2452" i="1"/>
  <c r="J2452" i="1"/>
  <c r="G2452" i="1"/>
  <c r="P2451" i="1"/>
  <c r="J2451" i="1"/>
  <c r="G2451" i="1"/>
  <c r="P2450" i="1"/>
  <c r="J2450" i="1"/>
  <c r="G2450" i="1"/>
  <c r="P2449" i="1"/>
  <c r="J2449" i="1"/>
  <c r="G2449" i="1"/>
  <c r="AL2448" i="1"/>
  <c r="P2448" i="1"/>
  <c r="J2448" i="1"/>
  <c r="G2448" i="1"/>
  <c r="P2447" i="1"/>
  <c r="J2447" i="1"/>
  <c r="G2447" i="1"/>
  <c r="P2446" i="1"/>
  <c r="J2446" i="1"/>
  <c r="G2446" i="1"/>
  <c r="P2445" i="1"/>
  <c r="J2445" i="1"/>
  <c r="G2445" i="1"/>
  <c r="P2444" i="1"/>
  <c r="J2444" i="1"/>
  <c r="G2444" i="1"/>
  <c r="P2443" i="1"/>
  <c r="J2443" i="1"/>
  <c r="G2443" i="1"/>
  <c r="P2442" i="1"/>
  <c r="J2442" i="1"/>
  <c r="G2442" i="1"/>
  <c r="P2441" i="1"/>
  <c r="J2441" i="1"/>
  <c r="G2441" i="1"/>
  <c r="J2440" i="1"/>
  <c r="G2440" i="1"/>
  <c r="P2439" i="1"/>
  <c r="J2439" i="1"/>
  <c r="G2439" i="1"/>
  <c r="AL2438" i="1"/>
  <c r="G2438" i="1"/>
  <c r="P2437" i="1"/>
  <c r="J2437" i="1"/>
  <c r="G2437" i="1"/>
  <c r="P2436" i="1"/>
  <c r="J2436" i="1"/>
  <c r="G2436" i="1"/>
  <c r="P2435" i="1"/>
  <c r="J2435" i="1"/>
  <c r="G2435" i="1"/>
  <c r="P2434" i="1"/>
  <c r="J2434" i="1"/>
  <c r="G2434" i="1"/>
  <c r="P2433" i="1"/>
  <c r="J2433" i="1"/>
  <c r="G2433" i="1"/>
  <c r="P2432" i="1"/>
  <c r="J2432" i="1"/>
  <c r="G2432" i="1"/>
  <c r="P2431" i="1"/>
  <c r="J2431" i="1"/>
  <c r="G2431" i="1"/>
  <c r="P2430" i="1"/>
  <c r="J2430" i="1"/>
  <c r="G2430" i="1"/>
  <c r="P2429" i="1"/>
  <c r="J2429" i="1"/>
  <c r="G2429" i="1"/>
  <c r="AL2428" i="1"/>
  <c r="P2428" i="1"/>
  <c r="J2428" i="1"/>
  <c r="G2428" i="1"/>
  <c r="P2427" i="1"/>
  <c r="J2427" i="1"/>
  <c r="G2427" i="1"/>
  <c r="AL2426" i="1"/>
  <c r="G2426" i="1"/>
  <c r="P2425" i="1"/>
  <c r="J2425" i="1"/>
  <c r="G2425" i="1"/>
  <c r="P2424" i="1"/>
  <c r="J2424" i="1"/>
  <c r="G2424" i="1"/>
  <c r="P2423" i="1"/>
  <c r="J2423" i="1"/>
  <c r="G2423" i="1"/>
  <c r="P2422" i="1"/>
  <c r="J2422" i="1"/>
  <c r="G2422" i="1"/>
  <c r="P2421" i="1"/>
  <c r="J2421" i="1"/>
  <c r="G2421" i="1"/>
  <c r="P2420" i="1"/>
  <c r="J2420" i="1"/>
  <c r="G2420" i="1"/>
  <c r="P2419" i="1"/>
  <c r="J2419" i="1"/>
  <c r="G2419" i="1"/>
  <c r="P2418" i="1"/>
  <c r="J2418" i="1"/>
  <c r="G2418" i="1"/>
  <c r="P2417" i="1"/>
  <c r="J2417" i="1"/>
  <c r="G2417" i="1"/>
  <c r="P2416" i="1"/>
  <c r="J2416" i="1"/>
  <c r="G2416" i="1"/>
  <c r="P2415" i="1"/>
  <c r="J2415" i="1"/>
  <c r="G2415" i="1"/>
  <c r="P2414" i="1"/>
  <c r="J2414" i="1"/>
  <c r="G2414" i="1"/>
  <c r="P2413" i="1"/>
  <c r="J2413" i="1"/>
  <c r="G2413" i="1"/>
  <c r="P2412" i="1"/>
  <c r="J2412" i="1"/>
  <c r="G2412" i="1"/>
  <c r="P2411" i="1"/>
  <c r="J2411" i="1"/>
  <c r="G2411" i="1"/>
  <c r="P2410" i="1"/>
  <c r="J2410" i="1"/>
  <c r="G2410" i="1"/>
  <c r="AL2409" i="1"/>
  <c r="P2409" i="1"/>
  <c r="J2409" i="1"/>
  <c r="G2409" i="1"/>
  <c r="P2408" i="1"/>
  <c r="J2408" i="1"/>
  <c r="G2408" i="1"/>
  <c r="P2407" i="1"/>
  <c r="J2407" i="1"/>
  <c r="G2407" i="1"/>
  <c r="P2406" i="1"/>
  <c r="J2406" i="1"/>
  <c r="G2406" i="1"/>
  <c r="P2405" i="1"/>
  <c r="J2405" i="1"/>
  <c r="G2405" i="1"/>
  <c r="P2404" i="1"/>
  <c r="J2404" i="1"/>
  <c r="G2404" i="1"/>
  <c r="P2403" i="1"/>
  <c r="J2403" i="1"/>
  <c r="G2403" i="1"/>
  <c r="P2402" i="1"/>
  <c r="J2402" i="1"/>
  <c r="G2402" i="1"/>
  <c r="P2401" i="1"/>
  <c r="J2401" i="1"/>
  <c r="G2401" i="1"/>
  <c r="P2400" i="1"/>
  <c r="J2400" i="1"/>
  <c r="G2400" i="1"/>
  <c r="P2399" i="1"/>
  <c r="J2399" i="1"/>
  <c r="G2399" i="1"/>
  <c r="AL2398" i="1"/>
  <c r="P2398" i="1"/>
  <c r="J2398" i="1"/>
  <c r="G2398" i="1"/>
  <c r="P2397" i="1"/>
  <c r="J2397" i="1"/>
  <c r="G2397" i="1"/>
  <c r="P2396" i="1"/>
  <c r="J2396" i="1"/>
  <c r="G2396" i="1"/>
  <c r="P2395" i="1"/>
  <c r="J2395" i="1"/>
  <c r="G2395" i="1"/>
  <c r="P2394" i="1"/>
  <c r="J2394" i="1"/>
  <c r="G2394" i="1"/>
  <c r="P2393" i="1"/>
  <c r="J2393" i="1"/>
  <c r="G2393" i="1"/>
  <c r="P2392" i="1"/>
  <c r="J2392" i="1"/>
  <c r="G2392" i="1"/>
  <c r="P2391" i="1"/>
  <c r="J2391" i="1"/>
  <c r="G2391" i="1"/>
  <c r="P2390" i="1"/>
  <c r="J2390" i="1"/>
  <c r="G2390" i="1"/>
  <c r="P2389" i="1"/>
  <c r="J2389" i="1"/>
  <c r="G2389" i="1"/>
  <c r="P2388" i="1"/>
  <c r="J2388" i="1"/>
  <c r="G2388" i="1"/>
  <c r="AL2387" i="1"/>
  <c r="P2387" i="1"/>
  <c r="J2387" i="1"/>
  <c r="G2387" i="1"/>
  <c r="P2386" i="1"/>
  <c r="J2386" i="1"/>
  <c r="G2386" i="1"/>
  <c r="P2385" i="1"/>
  <c r="J2385" i="1"/>
  <c r="G2385" i="1"/>
  <c r="P2384" i="1"/>
  <c r="J2384" i="1"/>
  <c r="G2384" i="1"/>
  <c r="P2383" i="1"/>
  <c r="J2383" i="1"/>
  <c r="G2383" i="1"/>
  <c r="P2382" i="1"/>
  <c r="J2382" i="1"/>
  <c r="G2382" i="1"/>
  <c r="P2381" i="1"/>
  <c r="J2381" i="1"/>
  <c r="G2381" i="1"/>
  <c r="P2380" i="1"/>
  <c r="J2380" i="1"/>
  <c r="G2380" i="1"/>
  <c r="P2379" i="1"/>
  <c r="J2379" i="1"/>
  <c r="G2379" i="1"/>
  <c r="P2378" i="1"/>
  <c r="J2378" i="1"/>
  <c r="G2378" i="1"/>
  <c r="P2377" i="1"/>
  <c r="J2377" i="1"/>
  <c r="G2377" i="1"/>
  <c r="P2376" i="1"/>
  <c r="J2376" i="1"/>
  <c r="G2376" i="1"/>
  <c r="P2375" i="1"/>
  <c r="J2375" i="1"/>
  <c r="G2375" i="1"/>
  <c r="P2374" i="1"/>
  <c r="J2374" i="1"/>
  <c r="G2374" i="1"/>
  <c r="P2373" i="1"/>
  <c r="J2373" i="1"/>
  <c r="G2373" i="1"/>
  <c r="P2372" i="1"/>
  <c r="J2372" i="1"/>
  <c r="G2372" i="1"/>
  <c r="P2371" i="1"/>
  <c r="J2371" i="1"/>
  <c r="G2371" i="1"/>
  <c r="P2370" i="1"/>
  <c r="J2370" i="1"/>
  <c r="G2370" i="1"/>
  <c r="P2369" i="1"/>
  <c r="J2369" i="1"/>
  <c r="G2369" i="1"/>
  <c r="AL2368" i="1"/>
  <c r="G2368" i="1"/>
  <c r="P2367" i="1"/>
  <c r="J2367" i="1"/>
  <c r="G2367" i="1"/>
  <c r="P2366" i="1"/>
  <c r="J2366" i="1"/>
  <c r="G2366" i="1"/>
  <c r="P2365" i="1"/>
  <c r="J2365" i="1"/>
  <c r="G2365" i="1"/>
  <c r="P2364" i="1"/>
  <c r="J2364" i="1"/>
  <c r="G2364" i="1"/>
  <c r="AL2363" i="1"/>
  <c r="G2363" i="1"/>
  <c r="P2362" i="1"/>
  <c r="J2362" i="1"/>
  <c r="G2362" i="1"/>
  <c r="P2361" i="1"/>
  <c r="J2361" i="1"/>
  <c r="G2361" i="1"/>
  <c r="P2360" i="1"/>
  <c r="J2360" i="1"/>
  <c r="G2360" i="1"/>
  <c r="P2359" i="1"/>
  <c r="J2359" i="1"/>
  <c r="G2359" i="1"/>
  <c r="P2358" i="1"/>
  <c r="J2358" i="1"/>
  <c r="G2358" i="1"/>
  <c r="P2357" i="1"/>
  <c r="J2357" i="1"/>
  <c r="G2357" i="1"/>
  <c r="P2356" i="1"/>
  <c r="J2356" i="1"/>
  <c r="G2356" i="1"/>
  <c r="P2355" i="1"/>
  <c r="J2355" i="1"/>
  <c r="G2355" i="1"/>
  <c r="P2354" i="1"/>
  <c r="J2354" i="1"/>
  <c r="G2354" i="1"/>
  <c r="P2353" i="1"/>
  <c r="J2353" i="1"/>
  <c r="G2353" i="1"/>
  <c r="P2352" i="1"/>
  <c r="J2352" i="1"/>
  <c r="G2352" i="1"/>
  <c r="P2351" i="1"/>
  <c r="J2351" i="1"/>
  <c r="G2351" i="1"/>
  <c r="P2350" i="1"/>
  <c r="J2350" i="1"/>
  <c r="G2350" i="1"/>
  <c r="P2349" i="1"/>
  <c r="J2349" i="1"/>
  <c r="G2349" i="1"/>
  <c r="P2348" i="1"/>
  <c r="J2348" i="1"/>
  <c r="G2348" i="1"/>
  <c r="P2347" i="1"/>
  <c r="J2347" i="1"/>
  <c r="G2347" i="1"/>
  <c r="P2346" i="1"/>
  <c r="J2346" i="1"/>
  <c r="G2346" i="1"/>
  <c r="P2345" i="1"/>
  <c r="J2345" i="1"/>
  <c r="G2345" i="1"/>
  <c r="P2344" i="1"/>
  <c r="J2344" i="1"/>
  <c r="G2344" i="1"/>
  <c r="P2343" i="1"/>
  <c r="J2343" i="1"/>
  <c r="G2343" i="1"/>
  <c r="P2342" i="1"/>
  <c r="J2342" i="1"/>
  <c r="G2342" i="1"/>
  <c r="P2341" i="1"/>
  <c r="J2341" i="1"/>
  <c r="G2341" i="1"/>
  <c r="P2340" i="1"/>
  <c r="J2340" i="1"/>
  <c r="G2340" i="1"/>
  <c r="P2339" i="1"/>
  <c r="J2339" i="1"/>
  <c r="G2339" i="1"/>
  <c r="P2338" i="1"/>
  <c r="J2338" i="1"/>
  <c r="G2338" i="1"/>
  <c r="P2337" i="1"/>
  <c r="J2337" i="1"/>
  <c r="G2337" i="1"/>
  <c r="P2336" i="1"/>
  <c r="J2336" i="1"/>
  <c r="G2336" i="1"/>
  <c r="P2335" i="1"/>
  <c r="J2335" i="1"/>
  <c r="G2335" i="1"/>
  <c r="P2334" i="1"/>
  <c r="J2334" i="1"/>
  <c r="G2334" i="1"/>
  <c r="P2333" i="1"/>
  <c r="J2333" i="1"/>
  <c r="G2333" i="1"/>
  <c r="P2332" i="1"/>
  <c r="J2332" i="1"/>
  <c r="G2332" i="1"/>
  <c r="P2331" i="1"/>
  <c r="J2331" i="1"/>
  <c r="G2331" i="1"/>
  <c r="P2330" i="1"/>
  <c r="J2330" i="1"/>
  <c r="G2330" i="1"/>
  <c r="P2329" i="1"/>
  <c r="J2329" i="1"/>
  <c r="G2329" i="1"/>
  <c r="P2328" i="1"/>
  <c r="J2328" i="1"/>
  <c r="G2328" i="1"/>
  <c r="P2327" i="1"/>
  <c r="J2327" i="1"/>
  <c r="G2327" i="1"/>
  <c r="P2326" i="1"/>
  <c r="J2326" i="1"/>
  <c r="G2326" i="1"/>
  <c r="P2325" i="1"/>
  <c r="J2325" i="1"/>
  <c r="G2325" i="1"/>
  <c r="P2324" i="1"/>
  <c r="J2324" i="1"/>
  <c r="G2324" i="1"/>
  <c r="P2323" i="1"/>
  <c r="J2323" i="1"/>
  <c r="G2323" i="1"/>
  <c r="P2322" i="1"/>
  <c r="J2322" i="1"/>
  <c r="G2322" i="1"/>
  <c r="AL2321" i="1"/>
  <c r="P2321" i="1"/>
  <c r="J2321" i="1"/>
  <c r="G2321" i="1"/>
  <c r="P2320" i="1"/>
  <c r="J2320" i="1"/>
  <c r="G2320" i="1"/>
  <c r="P2319" i="1"/>
  <c r="J2319" i="1"/>
  <c r="G2319" i="1"/>
  <c r="P2318" i="1"/>
  <c r="J2318" i="1"/>
  <c r="G2318" i="1"/>
  <c r="P2317" i="1"/>
  <c r="J2317" i="1"/>
  <c r="G2317" i="1"/>
  <c r="P2316" i="1"/>
  <c r="J2316" i="1"/>
  <c r="G2316" i="1"/>
  <c r="P2315" i="1"/>
  <c r="J2315" i="1"/>
  <c r="G2315" i="1"/>
  <c r="AL2314" i="1"/>
  <c r="P2314" i="1"/>
  <c r="J2314" i="1"/>
  <c r="G2314" i="1"/>
  <c r="P2313" i="1"/>
  <c r="J2313" i="1"/>
  <c r="G2313" i="1"/>
  <c r="AL2312" i="1"/>
  <c r="P2312" i="1"/>
  <c r="J2312" i="1"/>
  <c r="G2312" i="1"/>
  <c r="P2311" i="1"/>
  <c r="J2311" i="1"/>
  <c r="G2311" i="1"/>
  <c r="P2310" i="1"/>
  <c r="J2310" i="1"/>
  <c r="G2310" i="1"/>
  <c r="P2309" i="1"/>
  <c r="J2309" i="1"/>
  <c r="G2309" i="1"/>
  <c r="P2308" i="1"/>
  <c r="J2308" i="1"/>
  <c r="G2308" i="1"/>
  <c r="AL2307" i="1"/>
  <c r="P2307" i="1"/>
  <c r="J2307" i="1"/>
  <c r="G2307" i="1"/>
  <c r="P2306" i="1"/>
  <c r="J2306" i="1"/>
  <c r="G2306" i="1"/>
  <c r="AL2305" i="1"/>
  <c r="J2305" i="1"/>
  <c r="G2305" i="1"/>
  <c r="P2304" i="1"/>
  <c r="J2304" i="1"/>
  <c r="G2304" i="1"/>
  <c r="P2303" i="1"/>
  <c r="J2303" i="1"/>
  <c r="G2303" i="1"/>
  <c r="P2302" i="1"/>
  <c r="J2302" i="1"/>
  <c r="G2302" i="1"/>
  <c r="P2301" i="1"/>
  <c r="J2301" i="1"/>
  <c r="G2301" i="1"/>
  <c r="P2300" i="1"/>
  <c r="J2300" i="1"/>
  <c r="G2300" i="1"/>
  <c r="P2299" i="1"/>
  <c r="J2299" i="1"/>
  <c r="G2299" i="1"/>
  <c r="P2298" i="1"/>
  <c r="J2298" i="1"/>
  <c r="G2298" i="1"/>
  <c r="P2297" i="1"/>
  <c r="J2297" i="1"/>
  <c r="G2297" i="1"/>
  <c r="P2296" i="1"/>
  <c r="J2296" i="1"/>
  <c r="G2296" i="1"/>
  <c r="P2295" i="1"/>
  <c r="J2295" i="1"/>
  <c r="G2295" i="1"/>
  <c r="P2294" i="1"/>
  <c r="J2294" i="1"/>
  <c r="G2294" i="1"/>
  <c r="P2293" i="1"/>
  <c r="J2293" i="1"/>
  <c r="G2293" i="1"/>
  <c r="P2292" i="1"/>
  <c r="J2292" i="1"/>
  <c r="G2292" i="1"/>
  <c r="P2291" i="1"/>
  <c r="J2291" i="1"/>
  <c r="G2291" i="1"/>
  <c r="P2290" i="1"/>
  <c r="J2290" i="1"/>
  <c r="G2290" i="1"/>
  <c r="P2289" i="1"/>
  <c r="J2289" i="1"/>
  <c r="G2289" i="1"/>
  <c r="P2288" i="1"/>
  <c r="J2288" i="1"/>
  <c r="G2288" i="1"/>
  <c r="P2287" i="1"/>
  <c r="J2287" i="1"/>
  <c r="G2287" i="1"/>
  <c r="P2286" i="1"/>
  <c r="J2286" i="1"/>
  <c r="G2286" i="1"/>
  <c r="P2285" i="1"/>
  <c r="J2285" i="1"/>
  <c r="G2285" i="1"/>
  <c r="P2284" i="1"/>
  <c r="J2284" i="1"/>
  <c r="G2284" i="1"/>
  <c r="AL2283" i="1"/>
  <c r="P2283" i="1"/>
  <c r="J2283" i="1"/>
  <c r="G2283" i="1"/>
  <c r="P2282" i="1"/>
  <c r="J2282" i="1"/>
  <c r="G2282" i="1"/>
  <c r="P2281" i="1"/>
  <c r="J2281" i="1"/>
  <c r="G2281" i="1"/>
  <c r="P2280" i="1"/>
  <c r="J2280" i="1"/>
  <c r="G2280" i="1"/>
  <c r="P2279" i="1"/>
  <c r="J2279" i="1"/>
  <c r="G2279" i="1"/>
  <c r="P2278" i="1"/>
  <c r="J2278" i="1"/>
  <c r="G2278" i="1"/>
  <c r="P2277" i="1"/>
  <c r="J2277" i="1"/>
  <c r="G2277" i="1"/>
  <c r="P2276" i="1"/>
  <c r="J2276" i="1"/>
  <c r="G2276" i="1"/>
  <c r="P2275" i="1"/>
  <c r="J2275" i="1"/>
  <c r="G2275" i="1"/>
  <c r="P2274" i="1"/>
  <c r="J2274" i="1"/>
  <c r="G2274" i="1"/>
  <c r="P2273" i="1"/>
  <c r="J2273" i="1"/>
  <c r="G2273" i="1"/>
  <c r="P2272" i="1"/>
  <c r="J2272" i="1"/>
  <c r="G2272" i="1"/>
  <c r="P2271" i="1"/>
  <c r="J2271" i="1"/>
  <c r="G2271" i="1"/>
  <c r="P2270" i="1"/>
  <c r="J2270" i="1"/>
  <c r="G2270" i="1"/>
  <c r="P2269" i="1"/>
  <c r="J2269" i="1"/>
  <c r="G2269" i="1"/>
  <c r="P2268" i="1"/>
  <c r="J2268" i="1"/>
  <c r="G2268" i="1"/>
  <c r="P2267" i="1"/>
  <c r="J2267" i="1"/>
  <c r="G2267" i="1"/>
  <c r="P2266" i="1"/>
  <c r="J2266" i="1"/>
  <c r="G2266" i="1"/>
  <c r="P2265" i="1"/>
  <c r="J2265" i="1"/>
  <c r="G2265" i="1"/>
  <c r="J2264" i="1"/>
  <c r="G2264" i="1"/>
  <c r="P2263" i="1"/>
  <c r="J2263" i="1"/>
  <c r="G2263" i="1"/>
  <c r="P2262" i="1"/>
  <c r="J2262" i="1"/>
  <c r="G2262" i="1"/>
  <c r="P2261" i="1"/>
  <c r="J2261" i="1"/>
  <c r="G2261" i="1"/>
  <c r="P2260" i="1"/>
  <c r="J2260" i="1"/>
  <c r="G2260" i="1"/>
  <c r="P2259" i="1"/>
  <c r="J2259" i="1"/>
  <c r="G2259" i="1"/>
  <c r="P2258" i="1"/>
  <c r="J2258" i="1"/>
  <c r="G2258" i="1"/>
  <c r="G2257" i="1"/>
  <c r="P2256" i="1"/>
  <c r="J2256" i="1"/>
  <c r="G2256" i="1"/>
  <c r="P2255" i="1"/>
  <c r="J2255" i="1"/>
  <c r="G2255" i="1"/>
  <c r="P2254" i="1"/>
  <c r="J2254" i="1"/>
  <c r="G2254" i="1"/>
  <c r="P2253" i="1"/>
  <c r="J2253" i="1"/>
  <c r="G2253" i="1"/>
  <c r="P2252" i="1"/>
  <c r="J2252" i="1"/>
  <c r="G2252" i="1"/>
  <c r="P2251" i="1"/>
  <c r="J2251" i="1"/>
  <c r="G2251" i="1"/>
  <c r="P2250" i="1"/>
  <c r="J2250" i="1"/>
  <c r="G2250" i="1"/>
  <c r="P2249" i="1"/>
  <c r="J2249" i="1"/>
  <c r="G2249" i="1"/>
  <c r="P2248" i="1"/>
  <c r="J2248" i="1"/>
  <c r="G2248" i="1"/>
  <c r="P2247" i="1"/>
  <c r="J2247" i="1"/>
  <c r="G2247" i="1"/>
  <c r="P2246" i="1"/>
  <c r="J2246" i="1"/>
  <c r="G2246" i="1"/>
  <c r="P2245" i="1"/>
  <c r="J2245" i="1"/>
  <c r="G2245" i="1"/>
  <c r="P2244" i="1"/>
  <c r="J2244" i="1"/>
  <c r="G2244" i="1"/>
  <c r="P2243" i="1"/>
  <c r="J2243" i="1"/>
  <c r="G2243" i="1"/>
  <c r="AL2242" i="1"/>
  <c r="P2242" i="1"/>
  <c r="J2242" i="1"/>
  <c r="G2242" i="1"/>
  <c r="P2241" i="1"/>
  <c r="J2241" i="1"/>
  <c r="G2241" i="1"/>
  <c r="P2240" i="1"/>
  <c r="J2240" i="1"/>
  <c r="G2240" i="1"/>
  <c r="P2239" i="1"/>
  <c r="J2239" i="1"/>
  <c r="G2239" i="1"/>
  <c r="P2238" i="1"/>
  <c r="J2238" i="1"/>
  <c r="G2238" i="1"/>
  <c r="P2237" i="1"/>
  <c r="J2237" i="1"/>
  <c r="G2237" i="1"/>
  <c r="P2236" i="1"/>
  <c r="J2236" i="1"/>
  <c r="G2236" i="1"/>
  <c r="P2235" i="1"/>
  <c r="J2235" i="1"/>
  <c r="G2235" i="1"/>
  <c r="P2234" i="1"/>
  <c r="J2234" i="1"/>
  <c r="G2234" i="1"/>
  <c r="P2233" i="1"/>
  <c r="J2233" i="1"/>
  <c r="G2233" i="1"/>
  <c r="P2232" i="1"/>
  <c r="J2232" i="1"/>
  <c r="G2232" i="1"/>
  <c r="P2231" i="1"/>
  <c r="J2231" i="1"/>
  <c r="G2231" i="1"/>
  <c r="P2230" i="1"/>
  <c r="J2230" i="1"/>
  <c r="G2230" i="1"/>
  <c r="P2229" i="1"/>
  <c r="J2229" i="1"/>
  <c r="G2229" i="1"/>
  <c r="P2228" i="1"/>
  <c r="J2228" i="1"/>
  <c r="G2228" i="1"/>
  <c r="P2227" i="1"/>
  <c r="J2227" i="1"/>
  <c r="G2227" i="1"/>
  <c r="P2226" i="1"/>
  <c r="J2226" i="1"/>
  <c r="G2226" i="1"/>
  <c r="P2225" i="1"/>
  <c r="J2225" i="1"/>
  <c r="G2225" i="1"/>
  <c r="P2224" i="1"/>
  <c r="J2224" i="1"/>
  <c r="G2224" i="1"/>
  <c r="P2223" i="1"/>
  <c r="J2223" i="1"/>
  <c r="G2223" i="1"/>
  <c r="AL2222" i="1"/>
  <c r="P2222" i="1"/>
  <c r="J2222" i="1"/>
  <c r="G2222" i="1"/>
  <c r="P2221" i="1"/>
  <c r="J2221" i="1"/>
  <c r="G2221" i="1"/>
  <c r="P2220" i="1"/>
  <c r="J2220" i="1"/>
  <c r="G2220" i="1"/>
  <c r="P2219" i="1"/>
  <c r="J2219" i="1"/>
  <c r="G2219" i="1"/>
  <c r="P2218" i="1"/>
  <c r="J2218" i="1"/>
  <c r="G2218" i="1"/>
  <c r="P2217" i="1"/>
  <c r="J2217" i="1"/>
  <c r="G2217" i="1"/>
  <c r="AL2216" i="1"/>
  <c r="P2216" i="1"/>
  <c r="J2216" i="1"/>
  <c r="G2216" i="1"/>
  <c r="P2215" i="1"/>
  <c r="J2215" i="1"/>
  <c r="G2215" i="1"/>
  <c r="P2214" i="1"/>
  <c r="J2214" i="1"/>
  <c r="G2214" i="1"/>
  <c r="P2213" i="1"/>
  <c r="J2213" i="1"/>
  <c r="G2213" i="1"/>
  <c r="P2212" i="1"/>
  <c r="J2212" i="1"/>
  <c r="G2212" i="1"/>
  <c r="P2211" i="1"/>
  <c r="J2211" i="1"/>
  <c r="G2211" i="1"/>
  <c r="P2210" i="1"/>
  <c r="J2210" i="1"/>
  <c r="G2210" i="1"/>
  <c r="P2209" i="1"/>
  <c r="J2209" i="1"/>
  <c r="G2209" i="1"/>
  <c r="P2208" i="1"/>
  <c r="J2208" i="1"/>
  <c r="G2208" i="1"/>
  <c r="P2207" i="1"/>
  <c r="J2207" i="1"/>
  <c r="G2207" i="1"/>
  <c r="P2206" i="1"/>
  <c r="J2206" i="1"/>
  <c r="G2206" i="1"/>
  <c r="P2205" i="1"/>
  <c r="J2205" i="1"/>
  <c r="G2205" i="1"/>
  <c r="P2204" i="1"/>
  <c r="J2204" i="1"/>
  <c r="G2204" i="1"/>
  <c r="P2203" i="1"/>
  <c r="J2203" i="1"/>
  <c r="G2203" i="1"/>
  <c r="P2202" i="1"/>
  <c r="J2202" i="1"/>
  <c r="G2202" i="1"/>
  <c r="P2201" i="1"/>
  <c r="J2201" i="1"/>
  <c r="G2201" i="1"/>
  <c r="P2200" i="1"/>
  <c r="J2200" i="1"/>
  <c r="G2200" i="1"/>
  <c r="AL2199" i="1"/>
  <c r="P2199" i="1"/>
  <c r="J2199" i="1"/>
  <c r="G2199" i="1"/>
  <c r="P2198" i="1"/>
  <c r="J2198" i="1"/>
  <c r="G2198" i="1"/>
  <c r="P2197" i="1"/>
  <c r="J2197" i="1"/>
  <c r="G2197" i="1"/>
  <c r="P2196" i="1"/>
  <c r="J2196" i="1"/>
  <c r="G2196" i="1"/>
  <c r="P2195" i="1"/>
  <c r="J2195" i="1"/>
  <c r="G2195" i="1"/>
  <c r="P2194" i="1"/>
  <c r="J2194" i="1"/>
  <c r="G2194" i="1"/>
  <c r="P2193" i="1"/>
  <c r="J2193" i="1"/>
  <c r="G2193" i="1"/>
  <c r="P2192" i="1"/>
  <c r="J2192" i="1"/>
  <c r="G2192" i="1"/>
  <c r="P2191" i="1"/>
  <c r="J2191" i="1"/>
  <c r="G2191" i="1"/>
  <c r="P2190" i="1"/>
  <c r="J2190" i="1"/>
  <c r="G2190" i="1"/>
  <c r="P2189" i="1"/>
  <c r="J2189" i="1"/>
  <c r="G2189" i="1"/>
  <c r="P2188" i="1"/>
  <c r="J2188" i="1"/>
  <c r="G2188" i="1"/>
  <c r="P2187" i="1"/>
  <c r="J2187" i="1"/>
  <c r="G2187" i="1"/>
  <c r="P2186" i="1"/>
  <c r="J2186" i="1"/>
  <c r="G2186" i="1"/>
  <c r="P2185" i="1"/>
  <c r="J2185" i="1"/>
  <c r="G2185" i="1"/>
  <c r="P2184" i="1"/>
  <c r="J2184" i="1"/>
  <c r="G2184" i="1"/>
  <c r="P2183" i="1"/>
  <c r="J2183" i="1"/>
  <c r="G2183" i="1"/>
  <c r="P2182" i="1"/>
  <c r="J2182" i="1"/>
  <c r="G2182" i="1"/>
  <c r="P2181" i="1"/>
  <c r="J2181" i="1"/>
  <c r="G2181" i="1"/>
  <c r="AL2180" i="1"/>
  <c r="G2180" i="1"/>
  <c r="P2179" i="1"/>
  <c r="J2179" i="1"/>
  <c r="G2179" i="1"/>
  <c r="P2178" i="1"/>
  <c r="J2178" i="1"/>
  <c r="G2178" i="1"/>
  <c r="P2177" i="1"/>
  <c r="J2177" i="1"/>
  <c r="G2177" i="1"/>
  <c r="P2176" i="1"/>
  <c r="J2176" i="1"/>
  <c r="G2176" i="1"/>
  <c r="P2175" i="1"/>
  <c r="J2175" i="1"/>
  <c r="G2175" i="1"/>
  <c r="P2174" i="1"/>
  <c r="J2174" i="1"/>
  <c r="G2174" i="1"/>
  <c r="P2173" i="1"/>
  <c r="J2173" i="1"/>
  <c r="G2173" i="1"/>
  <c r="P2172" i="1"/>
  <c r="J2172" i="1"/>
  <c r="G2172" i="1"/>
  <c r="P2171" i="1"/>
  <c r="J2171" i="1"/>
  <c r="G2171" i="1"/>
  <c r="P2170" i="1"/>
  <c r="J2170" i="1"/>
  <c r="G2170" i="1"/>
  <c r="P2169" i="1"/>
  <c r="J2169" i="1"/>
  <c r="G2169" i="1"/>
  <c r="P2168" i="1"/>
  <c r="J2168" i="1"/>
  <c r="G2168" i="1"/>
  <c r="P2167" i="1"/>
  <c r="J2167" i="1"/>
  <c r="G2167" i="1"/>
  <c r="P2166" i="1"/>
  <c r="J2166" i="1"/>
  <c r="G2166" i="1"/>
  <c r="P2165" i="1"/>
  <c r="J2165" i="1"/>
  <c r="G2165" i="1"/>
  <c r="AL2164" i="1"/>
  <c r="G2164" i="1"/>
  <c r="P2163" i="1"/>
  <c r="J2163" i="1"/>
  <c r="G2163" i="1"/>
  <c r="P2162" i="1"/>
  <c r="J2162" i="1"/>
  <c r="G2162" i="1"/>
  <c r="J2161" i="1"/>
  <c r="G2161" i="1"/>
  <c r="P2160" i="1"/>
  <c r="J2160" i="1"/>
  <c r="G2160" i="1"/>
  <c r="P2159" i="1"/>
  <c r="J2159" i="1"/>
  <c r="G2159" i="1"/>
  <c r="P2158" i="1"/>
  <c r="J2158" i="1"/>
  <c r="G2158" i="1"/>
  <c r="P2157" i="1"/>
  <c r="J2157" i="1"/>
  <c r="G2157" i="1"/>
  <c r="P2156" i="1"/>
  <c r="J2156" i="1"/>
  <c r="G2156" i="1"/>
  <c r="P2155" i="1"/>
  <c r="J2155" i="1"/>
  <c r="G2155" i="1"/>
  <c r="P2154" i="1"/>
  <c r="J2154" i="1"/>
  <c r="G2154" i="1"/>
  <c r="P2153" i="1"/>
  <c r="J2153" i="1"/>
  <c r="G2153" i="1"/>
  <c r="P2152" i="1"/>
  <c r="J2152" i="1"/>
  <c r="G2152" i="1"/>
  <c r="P2151" i="1"/>
  <c r="J2151" i="1"/>
  <c r="G2151" i="1"/>
  <c r="P2150" i="1"/>
  <c r="J2150" i="1"/>
  <c r="G2150" i="1"/>
  <c r="P2149" i="1"/>
  <c r="J2149" i="1"/>
  <c r="G2149" i="1"/>
  <c r="P2148" i="1"/>
  <c r="J2148" i="1"/>
  <c r="G2148" i="1"/>
  <c r="P2147" i="1"/>
  <c r="J2147" i="1"/>
  <c r="G2147" i="1"/>
  <c r="P2146" i="1"/>
  <c r="J2146" i="1"/>
  <c r="G2146" i="1"/>
  <c r="P2145" i="1"/>
  <c r="J2145" i="1"/>
  <c r="G2145" i="1"/>
  <c r="P2144" i="1"/>
  <c r="J2144" i="1"/>
  <c r="G2144" i="1"/>
  <c r="P2143" i="1"/>
  <c r="J2143" i="1"/>
  <c r="G2143" i="1"/>
  <c r="P2142" i="1"/>
  <c r="J2142" i="1"/>
  <c r="G2142" i="1"/>
  <c r="P2141" i="1"/>
  <c r="J2141" i="1"/>
  <c r="G2141" i="1"/>
  <c r="P2140" i="1"/>
  <c r="J2140" i="1"/>
  <c r="G2140" i="1"/>
  <c r="P2139" i="1"/>
  <c r="J2139" i="1"/>
  <c r="G2139" i="1"/>
  <c r="P2138" i="1"/>
  <c r="J2138" i="1"/>
  <c r="G2138" i="1"/>
  <c r="P2137" i="1"/>
  <c r="J2137" i="1"/>
  <c r="G2137" i="1"/>
  <c r="AL2136" i="1"/>
  <c r="P2136" i="1"/>
  <c r="J2136" i="1"/>
  <c r="G2136" i="1"/>
  <c r="P2135" i="1"/>
  <c r="J2135" i="1"/>
  <c r="G2135" i="1"/>
  <c r="P2134" i="1"/>
  <c r="J2134" i="1"/>
  <c r="G2134" i="1"/>
  <c r="P2133" i="1"/>
  <c r="J2133" i="1"/>
  <c r="G2133" i="1"/>
  <c r="P2132" i="1"/>
  <c r="J2132" i="1"/>
  <c r="G2132" i="1"/>
  <c r="P2131" i="1"/>
  <c r="J2131" i="1"/>
  <c r="G2131" i="1"/>
  <c r="P2130" i="1"/>
  <c r="J2130" i="1"/>
  <c r="G2130" i="1"/>
  <c r="P2129" i="1"/>
  <c r="J2129" i="1"/>
  <c r="G2129" i="1"/>
  <c r="J2128" i="1"/>
  <c r="G2128" i="1"/>
  <c r="P2127" i="1"/>
  <c r="J2127" i="1"/>
  <c r="G2127" i="1"/>
  <c r="P2126" i="1"/>
  <c r="J2126" i="1"/>
  <c r="G2126" i="1"/>
  <c r="P2125" i="1"/>
  <c r="J2125" i="1"/>
  <c r="G2125" i="1"/>
  <c r="J2124" i="1"/>
  <c r="G2124" i="1"/>
  <c r="P2123" i="1"/>
  <c r="J2123" i="1"/>
  <c r="G2123" i="1"/>
  <c r="P2122" i="1"/>
  <c r="J2122" i="1"/>
  <c r="G2122" i="1"/>
  <c r="P2121" i="1"/>
  <c r="J2121" i="1"/>
  <c r="G2121" i="1"/>
  <c r="P2120" i="1"/>
  <c r="J2120" i="1"/>
  <c r="G2120" i="1"/>
  <c r="AL2119" i="1"/>
  <c r="P2119" i="1"/>
  <c r="J2119" i="1"/>
  <c r="G2119" i="1"/>
  <c r="P2118" i="1"/>
  <c r="J2118" i="1"/>
  <c r="G2118" i="1"/>
  <c r="P2117" i="1"/>
  <c r="J2117" i="1"/>
  <c r="G2117" i="1"/>
  <c r="P2116" i="1"/>
  <c r="J2116" i="1"/>
  <c r="G2116" i="1"/>
  <c r="P2115" i="1"/>
  <c r="J2115" i="1"/>
  <c r="G2115" i="1"/>
  <c r="P2114" i="1"/>
  <c r="J2114" i="1"/>
  <c r="G2114" i="1"/>
  <c r="P2113" i="1"/>
  <c r="J2113" i="1"/>
  <c r="G2113" i="1"/>
  <c r="P2112" i="1"/>
  <c r="J2112" i="1"/>
  <c r="G2112" i="1"/>
  <c r="AL2111" i="1"/>
  <c r="P2111" i="1"/>
  <c r="J2111" i="1"/>
  <c r="G2111" i="1"/>
  <c r="P2110" i="1"/>
  <c r="J2110" i="1"/>
  <c r="G2110" i="1"/>
  <c r="P2109" i="1"/>
  <c r="J2109" i="1"/>
  <c r="G2109" i="1"/>
  <c r="AL2108" i="1"/>
  <c r="P2108" i="1"/>
  <c r="J2108" i="1"/>
  <c r="G2108" i="1"/>
  <c r="P2107" i="1"/>
  <c r="J2107" i="1"/>
  <c r="G2107" i="1"/>
  <c r="P2106" i="1"/>
  <c r="J2106" i="1"/>
  <c r="G2106" i="1"/>
  <c r="P2105" i="1"/>
  <c r="J2105" i="1"/>
  <c r="G2105" i="1"/>
  <c r="P2104" i="1"/>
  <c r="J2104" i="1"/>
  <c r="G2104" i="1"/>
  <c r="P2103" i="1"/>
  <c r="J2103" i="1"/>
  <c r="G2103" i="1"/>
  <c r="P2102" i="1"/>
  <c r="J2102" i="1"/>
  <c r="G2102" i="1"/>
  <c r="P2101" i="1"/>
  <c r="J2101" i="1"/>
  <c r="G2101" i="1"/>
  <c r="P2100" i="1"/>
  <c r="J2100" i="1"/>
  <c r="G2100" i="1"/>
  <c r="P2099" i="1"/>
  <c r="J2099" i="1"/>
  <c r="G2099" i="1"/>
  <c r="P2098" i="1"/>
  <c r="J2098" i="1"/>
  <c r="G2098" i="1"/>
  <c r="AL2097" i="1"/>
  <c r="P2097" i="1"/>
  <c r="J2097" i="1"/>
  <c r="G2097" i="1"/>
  <c r="P2096" i="1"/>
  <c r="J2096" i="1"/>
  <c r="G2096" i="1"/>
  <c r="P2095" i="1"/>
  <c r="J2095" i="1"/>
  <c r="G2095" i="1"/>
  <c r="P2094" i="1"/>
  <c r="J2094" i="1"/>
  <c r="G2094" i="1"/>
  <c r="P2093" i="1"/>
  <c r="J2093" i="1"/>
  <c r="G2093" i="1"/>
  <c r="P2092" i="1"/>
  <c r="J2092" i="1"/>
  <c r="G2092" i="1"/>
  <c r="AL2091" i="1"/>
  <c r="G2091" i="1"/>
  <c r="P2090" i="1"/>
  <c r="J2090" i="1"/>
  <c r="G2090" i="1"/>
  <c r="P2089" i="1"/>
  <c r="J2089" i="1"/>
  <c r="G2089" i="1"/>
  <c r="P2088" i="1"/>
  <c r="J2088" i="1"/>
  <c r="G2088" i="1"/>
  <c r="P2087" i="1"/>
  <c r="J2087" i="1"/>
  <c r="G2087" i="1"/>
  <c r="P2086" i="1"/>
  <c r="J2086" i="1"/>
  <c r="G2086" i="1"/>
  <c r="P2085" i="1"/>
  <c r="J2085" i="1"/>
  <c r="G2085" i="1"/>
  <c r="P2084" i="1"/>
  <c r="J2084" i="1"/>
  <c r="G2084" i="1"/>
  <c r="P2083" i="1"/>
  <c r="J2083" i="1"/>
  <c r="G2083" i="1"/>
  <c r="P2082" i="1"/>
  <c r="J2082" i="1"/>
  <c r="G2082" i="1"/>
  <c r="P2081" i="1"/>
  <c r="J2081" i="1"/>
  <c r="G2081" i="1"/>
  <c r="P2080" i="1"/>
  <c r="J2080" i="1"/>
  <c r="G2080" i="1"/>
  <c r="P2079" i="1"/>
  <c r="J2079" i="1"/>
  <c r="G2079" i="1"/>
  <c r="P2078" i="1"/>
  <c r="J2078" i="1"/>
  <c r="G2078" i="1"/>
  <c r="P2077" i="1"/>
  <c r="J2077" i="1"/>
  <c r="G2077" i="1"/>
  <c r="P2076" i="1"/>
  <c r="J2076" i="1"/>
  <c r="G2076" i="1"/>
  <c r="P2075" i="1"/>
  <c r="J2075" i="1"/>
  <c r="G2075" i="1"/>
  <c r="P2074" i="1"/>
  <c r="J2074" i="1"/>
  <c r="G2074" i="1"/>
  <c r="P2073" i="1"/>
  <c r="J2073" i="1"/>
  <c r="G2073" i="1"/>
  <c r="P2072" i="1"/>
  <c r="J2072" i="1"/>
  <c r="G2072" i="1"/>
  <c r="AL2071" i="1"/>
  <c r="P2071" i="1"/>
  <c r="J2071" i="1"/>
  <c r="G2071" i="1"/>
  <c r="P2070" i="1"/>
  <c r="J2070" i="1"/>
  <c r="G2070" i="1"/>
  <c r="P2069" i="1"/>
  <c r="J2069" i="1"/>
  <c r="G2069" i="1"/>
  <c r="P2068" i="1"/>
  <c r="J2068" i="1"/>
  <c r="G2068" i="1"/>
  <c r="P2067" i="1"/>
  <c r="J2067" i="1"/>
  <c r="G2067" i="1"/>
  <c r="P2066" i="1"/>
  <c r="J2066" i="1"/>
  <c r="G2066" i="1"/>
  <c r="P2065" i="1"/>
  <c r="J2065" i="1"/>
  <c r="G2065" i="1"/>
  <c r="P2064" i="1"/>
  <c r="J2064" i="1"/>
  <c r="G2064" i="1"/>
  <c r="P2063" i="1"/>
  <c r="J2063" i="1"/>
  <c r="G2063" i="1"/>
  <c r="P2062" i="1"/>
  <c r="J2062" i="1"/>
  <c r="G2062" i="1"/>
  <c r="P2061" i="1"/>
  <c r="J2061" i="1"/>
  <c r="G2061" i="1"/>
  <c r="P2060" i="1"/>
  <c r="J2060" i="1"/>
  <c r="G2060" i="1"/>
  <c r="P2059" i="1"/>
  <c r="J2059" i="1"/>
  <c r="G2059" i="1"/>
  <c r="P2058" i="1"/>
  <c r="J2058" i="1"/>
  <c r="G2058" i="1"/>
  <c r="P2057" i="1"/>
  <c r="J2057" i="1"/>
  <c r="G2057" i="1"/>
  <c r="P2056" i="1"/>
  <c r="J2056" i="1"/>
  <c r="G2056" i="1"/>
  <c r="P2055" i="1"/>
  <c r="J2055" i="1"/>
  <c r="G2055" i="1"/>
  <c r="P2054" i="1"/>
  <c r="J2054" i="1"/>
  <c r="G2054" i="1"/>
  <c r="P2053" i="1"/>
  <c r="J2053" i="1"/>
  <c r="G2053" i="1"/>
  <c r="P2052" i="1"/>
  <c r="J2052" i="1"/>
  <c r="G2052" i="1"/>
  <c r="P2051" i="1"/>
  <c r="J2051" i="1"/>
  <c r="G2051" i="1"/>
  <c r="P2050" i="1"/>
  <c r="J2050" i="1"/>
  <c r="G2050" i="1"/>
  <c r="P2049" i="1"/>
  <c r="J2049" i="1"/>
  <c r="G2049" i="1"/>
  <c r="P2048" i="1"/>
  <c r="J2048" i="1"/>
  <c r="G2048" i="1"/>
  <c r="P2047" i="1"/>
  <c r="J2047" i="1"/>
  <c r="G2047" i="1"/>
  <c r="P2046" i="1"/>
  <c r="J2046" i="1"/>
  <c r="G2046" i="1"/>
  <c r="P2045" i="1"/>
  <c r="J2045" i="1"/>
  <c r="G2045" i="1"/>
  <c r="P2044" i="1"/>
  <c r="J2044" i="1"/>
  <c r="G2044" i="1"/>
  <c r="P2043" i="1"/>
  <c r="J2043" i="1"/>
  <c r="G2043" i="1"/>
  <c r="P2042" i="1"/>
  <c r="J2042" i="1"/>
  <c r="G2042" i="1"/>
  <c r="P2041" i="1"/>
  <c r="J2041" i="1"/>
  <c r="G2041" i="1"/>
  <c r="P2040" i="1"/>
  <c r="J2040" i="1"/>
  <c r="G2040" i="1"/>
  <c r="P2039" i="1"/>
  <c r="J2039" i="1"/>
  <c r="G2039" i="1"/>
  <c r="P2038" i="1"/>
  <c r="J2038" i="1"/>
  <c r="G2038" i="1"/>
  <c r="P2037" i="1"/>
  <c r="J2037" i="1"/>
  <c r="G2037" i="1"/>
  <c r="P2036" i="1"/>
  <c r="J2036" i="1"/>
  <c r="G2036" i="1"/>
  <c r="P2035" i="1"/>
  <c r="J2035" i="1"/>
  <c r="G2035" i="1"/>
  <c r="P2034" i="1"/>
  <c r="J2034" i="1"/>
  <c r="G2034" i="1"/>
  <c r="P2033" i="1"/>
  <c r="J2033" i="1"/>
  <c r="G2033" i="1"/>
  <c r="P2032" i="1"/>
  <c r="J2032" i="1"/>
  <c r="G2032" i="1"/>
  <c r="P2031" i="1"/>
  <c r="J2031" i="1"/>
  <c r="G2031" i="1"/>
  <c r="P2030" i="1"/>
  <c r="J2030" i="1"/>
  <c r="G2030" i="1"/>
  <c r="P2029" i="1"/>
  <c r="J2029" i="1"/>
  <c r="G2029" i="1"/>
  <c r="P2028" i="1"/>
  <c r="J2028" i="1"/>
  <c r="G2028" i="1"/>
  <c r="P2027" i="1"/>
  <c r="J2027" i="1"/>
  <c r="G2027" i="1"/>
  <c r="P2026" i="1"/>
  <c r="J2026" i="1"/>
  <c r="G2026" i="1"/>
  <c r="P2025" i="1"/>
  <c r="J2025" i="1"/>
  <c r="G2025" i="1"/>
  <c r="P2024" i="1"/>
  <c r="J2024" i="1"/>
  <c r="G2024" i="1"/>
  <c r="P2023" i="1"/>
  <c r="J2023" i="1"/>
  <c r="G2023" i="1"/>
  <c r="P2022" i="1"/>
  <c r="J2022" i="1"/>
  <c r="G2022" i="1"/>
  <c r="P2021" i="1"/>
  <c r="J2021" i="1"/>
  <c r="G2021" i="1"/>
  <c r="P2020" i="1"/>
  <c r="J2020" i="1"/>
  <c r="G2020" i="1"/>
  <c r="P2019" i="1"/>
  <c r="J2019" i="1"/>
  <c r="G2019" i="1"/>
  <c r="P2018" i="1"/>
  <c r="J2018" i="1"/>
  <c r="G2018" i="1"/>
  <c r="J2017" i="1"/>
  <c r="G2017" i="1"/>
  <c r="J2016" i="1"/>
  <c r="G2016" i="1"/>
  <c r="J2015" i="1"/>
  <c r="G2015" i="1"/>
  <c r="P2014" i="1"/>
  <c r="J2014" i="1"/>
  <c r="G2014" i="1"/>
  <c r="P2013" i="1"/>
  <c r="J2013" i="1"/>
  <c r="G2013" i="1"/>
  <c r="AL2012" i="1"/>
  <c r="P2012" i="1"/>
  <c r="J2012" i="1"/>
  <c r="G2012" i="1"/>
  <c r="P2011" i="1"/>
  <c r="J2011" i="1"/>
  <c r="G2011" i="1"/>
  <c r="P2010" i="1"/>
  <c r="J2010" i="1"/>
  <c r="G2010" i="1"/>
  <c r="P2009" i="1"/>
  <c r="J2009" i="1"/>
  <c r="G2009" i="1"/>
  <c r="P2008" i="1"/>
  <c r="J2008" i="1"/>
  <c r="G2008" i="1"/>
  <c r="P2007" i="1"/>
  <c r="J2007" i="1"/>
  <c r="G2007" i="1"/>
  <c r="P2006" i="1"/>
  <c r="J2006" i="1"/>
  <c r="G2006" i="1"/>
  <c r="P2005" i="1"/>
  <c r="J2005" i="1"/>
  <c r="G2005" i="1"/>
  <c r="P2004" i="1"/>
  <c r="J2004" i="1"/>
  <c r="G2004" i="1"/>
  <c r="P2003" i="1"/>
  <c r="J2003" i="1"/>
  <c r="G2003" i="1"/>
  <c r="P2002" i="1"/>
  <c r="J2002" i="1"/>
  <c r="G2002" i="1"/>
  <c r="P2001" i="1"/>
  <c r="J2001" i="1"/>
  <c r="G2001" i="1"/>
  <c r="P2000" i="1"/>
  <c r="J2000" i="1"/>
  <c r="G2000" i="1"/>
  <c r="P1999" i="1"/>
  <c r="J1999" i="1"/>
  <c r="G1999" i="1"/>
  <c r="P1998" i="1"/>
  <c r="J1998" i="1"/>
  <c r="G1998" i="1"/>
  <c r="P1997" i="1"/>
  <c r="J1997" i="1"/>
  <c r="G1997" i="1"/>
  <c r="AL1996" i="1"/>
  <c r="G1996" i="1"/>
  <c r="P1995" i="1"/>
  <c r="J1995" i="1"/>
  <c r="G1995" i="1"/>
  <c r="P1994" i="1"/>
  <c r="J1994" i="1"/>
  <c r="G1994" i="1"/>
  <c r="P1993" i="1"/>
  <c r="J1993" i="1"/>
  <c r="G1993" i="1"/>
  <c r="P1992" i="1"/>
  <c r="J1992" i="1"/>
  <c r="G1992" i="1"/>
  <c r="P1991" i="1"/>
  <c r="J1991" i="1"/>
  <c r="G1991" i="1"/>
  <c r="P1990" i="1"/>
  <c r="J1990" i="1"/>
  <c r="G1990" i="1"/>
  <c r="P1989" i="1"/>
  <c r="J1989" i="1"/>
  <c r="G1989" i="1"/>
  <c r="P1988" i="1"/>
  <c r="J1988" i="1"/>
  <c r="G1988" i="1"/>
  <c r="P1987" i="1"/>
  <c r="J1987" i="1"/>
  <c r="G1987" i="1"/>
  <c r="P1986" i="1"/>
  <c r="J1986" i="1"/>
  <c r="G1986" i="1"/>
  <c r="P1985" i="1"/>
  <c r="J1985" i="1"/>
  <c r="G1985" i="1"/>
  <c r="P1984" i="1"/>
  <c r="J1984" i="1"/>
  <c r="G1984" i="1"/>
  <c r="P1983" i="1"/>
  <c r="J1983" i="1"/>
  <c r="G1983" i="1"/>
  <c r="AL1982" i="1"/>
  <c r="P1982" i="1"/>
  <c r="J1982" i="1"/>
  <c r="G1982" i="1"/>
  <c r="P1981" i="1"/>
  <c r="J1981" i="1"/>
  <c r="G1981" i="1"/>
  <c r="P1980" i="1"/>
  <c r="J1980" i="1"/>
  <c r="G1980" i="1"/>
  <c r="P1979" i="1"/>
  <c r="J1979" i="1"/>
  <c r="G1979" i="1"/>
  <c r="P1978" i="1"/>
  <c r="J1978" i="1"/>
  <c r="G1978" i="1"/>
  <c r="AL1977" i="1"/>
  <c r="G1977" i="1"/>
  <c r="P1976" i="1"/>
  <c r="J1976" i="1"/>
  <c r="G1976" i="1"/>
  <c r="P1975" i="1"/>
  <c r="J1975" i="1"/>
  <c r="G1975" i="1"/>
  <c r="P1974" i="1"/>
  <c r="J1974" i="1"/>
  <c r="G1974" i="1"/>
  <c r="P1973" i="1"/>
  <c r="J1973" i="1"/>
  <c r="G1973" i="1"/>
  <c r="P1972" i="1"/>
  <c r="J1972" i="1"/>
  <c r="G1972" i="1"/>
  <c r="P1971" i="1"/>
  <c r="J1971" i="1"/>
  <c r="G1971" i="1"/>
  <c r="P1970" i="1"/>
  <c r="J1970" i="1"/>
  <c r="G1970" i="1"/>
  <c r="P1969" i="1"/>
  <c r="J1969" i="1"/>
  <c r="G1969" i="1"/>
  <c r="P1968" i="1"/>
  <c r="J1968" i="1"/>
  <c r="G1968" i="1"/>
  <c r="AL1967" i="1"/>
  <c r="G1967" i="1"/>
  <c r="P1966" i="1"/>
  <c r="J1966" i="1"/>
  <c r="G1966" i="1"/>
  <c r="P1965" i="1"/>
  <c r="J1965" i="1"/>
  <c r="G1965" i="1"/>
  <c r="P1964" i="1"/>
  <c r="J1964" i="1"/>
  <c r="G1964" i="1"/>
  <c r="P1963" i="1"/>
  <c r="J1963" i="1"/>
  <c r="G1963" i="1"/>
  <c r="P1962" i="1"/>
  <c r="J1962" i="1"/>
  <c r="G1962" i="1"/>
  <c r="P1961" i="1"/>
  <c r="J1961" i="1"/>
  <c r="G1961" i="1"/>
  <c r="P1960" i="1"/>
  <c r="J1960" i="1"/>
  <c r="G1960" i="1"/>
  <c r="P1959" i="1"/>
  <c r="J1959" i="1"/>
  <c r="G1959" i="1"/>
  <c r="P1958" i="1"/>
  <c r="J1958" i="1"/>
  <c r="G1958" i="1"/>
  <c r="P1957" i="1"/>
  <c r="J1957" i="1"/>
  <c r="G1957" i="1"/>
  <c r="P1956" i="1"/>
  <c r="J1956" i="1"/>
  <c r="G1956" i="1"/>
  <c r="P1955" i="1"/>
  <c r="J1955" i="1"/>
  <c r="G1955" i="1"/>
  <c r="P1954" i="1"/>
  <c r="J1954" i="1"/>
  <c r="G1954" i="1"/>
  <c r="J1953" i="1"/>
  <c r="G1953" i="1"/>
  <c r="P1952" i="1"/>
  <c r="J1952" i="1"/>
  <c r="G1952" i="1"/>
  <c r="P1951" i="1"/>
  <c r="J1951" i="1"/>
  <c r="G1951" i="1"/>
  <c r="AL1950" i="1"/>
  <c r="P1950" i="1"/>
  <c r="J1950" i="1"/>
  <c r="G1950" i="1"/>
  <c r="P1949" i="1"/>
  <c r="J1949" i="1"/>
  <c r="G1949" i="1"/>
  <c r="P1948" i="1"/>
  <c r="J1948" i="1"/>
  <c r="G1948" i="1"/>
  <c r="P1947" i="1"/>
  <c r="J1947" i="1"/>
  <c r="G1947" i="1"/>
  <c r="P1946" i="1"/>
  <c r="J1946" i="1"/>
  <c r="G1946" i="1"/>
  <c r="P1945" i="1"/>
  <c r="J1945" i="1"/>
  <c r="G1945" i="1"/>
  <c r="P1944" i="1"/>
  <c r="J1944" i="1"/>
  <c r="G1944" i="1"/>
  <c r="G1943" i="1"/>
  <c r="P1942" i="1"/>
  <c r="J1942" i="1"/>
  <c r="G1942" i="1"/>
  <c r="P1941" i="1"/>
  <c r="J1941" i="1"/>
  <c r="G1941" i="1"/>
  <c r="P1940" i="1"/>
  <c r="J1940" i="1"/>
  <c r="G1940" i="1"/>
  <c r="P1939" i="1"/>
  <c r="J1939" i="1"/>
  <c r="G1939" i="1"/>
  <c r="P1938" i="1"/>
  <c r="J1938" i="1"/>
  <c r="G1938" i="1"/>
  <c r="P1937" i="1"/>
  <c r="J1937" i="1"/>
  <c r="G1937" i="1"/>
  <c r="P1936" i="1"/>
  <c r="J1936" i="1"/>
  <c r="G1936" i="1"/>
  <c r="P1935" i="1"/>
  <c r="J1935" i="1"/>
  <c r="G1935" i="1"/>
  <c r="P1934" i="1"/>
  <c r="J1934" i="1"/>
  <c r="G1934" i="1"/>
  <c r="P1933" i="1"/>
  <c r="J1933" i="1"/>
  <c r="G1933" i="1"/>
  <c r="P1932" i="1"/>
  <c r="J1932" i="1"/>
  <c r="G1932" i="1"/>
  <c r="P1931" i="1"/>
  <c r="J1931" i="1"/>
  <c r="G1931" i="1"/>
  <c r="P1930" i="1"/>
  <c r="J1930" i="1"/>
  <c r="G1930" i="1"/>
  <c r="AL1929" i="1"/>
  <c r="P1929" i="1"/>
  <c r="J1929" i="1"/>
  <c r="G1929" i="1"/>
  <c r="P1928" i="1"/>
  <c r="J1928" i="1"/>
  <c r="G1928" i="1"/>
  <c r="P1927" i="1"/>
  <c r="J1927" i="1"/>
  <c r="G1927" i="1"/>
  <c r="P1926" i="1"/>
  <c r="J1926" i="1"/>
  <c r="G1926" i="1"/>
  <c r="P1925" i="1"/>
  <c r="J1925" i="1"/>
  <c r="G1925" i="1"/>
  <c r="P1924" i="1"/>
  <c r="J1924" i="1"/>
  <c r="G1924" i="1"/>
  <c r="P1923" i="1"/>
  <c r="J1923" i="1"/>
  <c r="G1923" i="1"/>
  <c r="AL1922" i="1"/>
  <c r="G1922" i="1"/>
  <c r="AL1921" i="1"/>
  <c r="G1921" i="1"/>
  <c r="P1920" i="1"/>
  <c r="J1920" i="1"/>
  <c r="G1920" i="1"/>
  <c r="P1919" i="1"/>
  <c r="J1919" i="1"/>
  <c r="G1919" i="1"/>
  <c r="P1918" i="1"/>
  <c r="J1918" i="1"/>
  <c r="G1918" i="1"/>
  <c r="P1917" i="1"/>
  <c r="J1917" i="1"/>
  <c r="G1917" i="1"/>
  <c r="P1916" i="1"/>
  <c r="J1916" i="1"/>
  <c r="G1916" i="1"/>
  <c r="P1915" i="1"/>
  <c r="J1915" i="1"/>
  <c r="G1915" i="1"/>
  <c r="P1914" i="1"/>
  <c r="J1914" i="1"/>
  <c r="G1914" i="1"/>
  <c r="P1913" i="1"/>
  <c r="J1913" i="1"/>
  <c r="G1913" i="1"/>
  <c r="P1912" i="1"/>
  <c r="J1912" i="1"/>
  <c r="G1912" i="1"/>
  <c r="J1911" i="1"/>
  <c r="G1911" i="1"/>
  <c r="P1910" i="1"/>
  <c r="J1910" i="1"/>
  <c r="G1910" i="1"/>
  <c r="P1909" i="1"/>
  <c r="J1909" i="1"/>
  <c r="G1909" i="1"/>
  <c r="P1908" i="1"/>
  <c r="J1908" i="1"/>
  <c r="G1908" i="1"/>
  <c r="P1907" i="1"/>
  <c r="J1907" i="1"/>
  <c r="G1907" i="1"/>
  <c r="P1906" i="1"/>
  <c r="J1906" i="1"/>
  <c r="G1906" i="1"/>
  <c r="P1905" i="1"/>
  <c r="J1905" i="1"/>
  <c r="G1905" i="1"/>
  <c r="P1904" i="1"/>
  <c r="J1904" i="1"/>
  <c r="G1904" i="1"/>
  <c r="P1903" i="1"/>
  <c r="J1903" i="1"/>
  <c r="G1903" i="1"/>
  <c r="AL1902" i="1"/>
  <c r="P1902" i="1"/>
  <c r="J1902" i="1"/>
  <c r="G1902" i="1"/>
  <c r="J1901" i="1"/>
  <c r="G1901" i="1"/>
  <c r="P1900" i="1"/>
  <c r="J1900" i="1"/>
  <c r="G1900" i="1"/>
  <c r="P1899" i="1"/>
  <c r="J1899" i="1"/>
  <c r="G1899" i="1"/>
  <c r="AL1898" i="1"/>
  <c r="P1898" i="1"/>
  <c r="J1898" i="1"/>
  <c r="G1898" i="1"/>
  <c r="P1897" i="1"/>
  <c r="J1897" i="1"/>
  <c r="G1897" i="1"/>
  <c r="P1896" i="1"/>
  <c r="J1896" i="1"/>
  <c r="G1896" i="1"/>
  <c r="P1895" i="1"/>
  <c r="J1895" i="1"/>
  <c r="G1895" i="1"/>
  <c r="P1894" i="1"/>
  <c r="J1894" i="1"/>
  <c r="G1894" i="1"/>
  <c r="P1893" i="1"/>
  <c r="J1893" i="1"/>
  <c r="G1893" i="1"/>
  <c r="AL1892" i="1"/>
  <c r="P1892" i="1"/>
  <c r="J1892" i="1"/>
  <c r="G1892" i="1"/>
  <c r="P1891" i="1"/>
  <c r="J1891" i="1"/>
  <c r="G1891" i="1"/>
  <c r="P1890" i="1"/>
  <c r="J1890" i="1"/>
  <c r="G1890" i="1"/>
  <c r="P1889" i="1"/>
  <c r="J1889" i="1"/>
  <c r="G1889" i="1"/>
  <c r="P1888" i="1"/>
  <c r="J1888" i="1"/>
  <c r="G1888" i="1"/>
  <c r="P1887" i="1"/>
  <c r="J1887" i="1"/>
  <c r="G1887" i="1"/>
  <c r="P1886" i="1"/>
  <c r="J1886" i="1"/>
  <c r="G1886" i="1"/>
  <c r="AL1885" i="1"/>
  <c r="P1885" i="1"/>
  <c r="J1885" i="1"/>
  <c r="G1885" i="1"/>
  <c r="AL1884" i="1"/>
  <c r="J1884" i="1"/>
  <c r="G1884" i="1"/>
  <c r="P1883" i="1"/>
  <c r="J1883" i="1"/>
  <c r="G1883" i="1"/>
  <c r="P1882" i="1"/>
  <c r="J1882" i="1"/>
  <c r="G1882" i="1"/>
  <c r="P1881" i="1"/>
  <c r="J1881" i="1"/>
  <c r="G1881" i="1"/>
  <c r="P1880" i="1"/>
  <c r="J1880" i="1"/>
  <c r="G1880" i="1"/>
  <c r="P1879" i="1"/>
  <c r="J1879" i="1"/>
  <c r="G1879" i="1"/>
  <c r="P1878" i="1"/>
  <c r="J1878" i="1"/>
  <c r="G1878" i="1"/>
  <c r="P1877" i="1"/>
  <c r="J1877" i="1"/>
  <c r="G1877" i="1"/>
  <c r="P1876" i="1"/>
  <c r="J1876" i="1"/>
  <c r="G1876" i="1"/>
  <c r="P1875" i="1"/>
  <c r="J1875" i="1"/>
  <c r="G1875" i="1"/>
  <c r="P1874" i="1"/>
  <c r="J1874" i="1"/>
  <c r="G1874" i="1"/>
  <c r="P1873" i="1"/>
  <c r="J1873" i="1"/>
  <c r="G1873" i="1"/>
  <c r="P1872" i="1"/>
  <c r="J1872" i="1"/>
  <c r="G1872" i="1"/>
  <c r="P1871" i="1"/>
  <c r="J1871" i="1"/>
  <c r="G1871" i="1"/>
  <c r="P1870" i="1"/>
  <c r="J1870" i="1"/>
  <c r="G1870" i="1"/>
  <c r="AL1869" i="1"/>
  <c r="P1869" i="1"/>
  <c r="J1869" i="1"/>
  <c r="G1869" i="1"/>
  <c r="P1868" i="1"/>
  <c r="J1868" i="1"/>
  <c r="G1868" i="1"/>
  <c r="G1867" i="1"/>
  <c r="P1866" i="1"/>
  <c r="J1866" i="1"/>
  <c r="G1866" i="1"/>
  <c r="AL1865" i="1"/>
  <c r="P1865" i="1"/>
  <c r="J1865" i="1"/>
  <c r="G1865" i="1"/>
  <c r="P1864" i="1"/>
  <c r="J1864" i="1"/>
  <c r="G1864" i="1"/>
  <c r="AL1863" i="1"/>
  <c r="P1863" i="1"/>
  <c r="J1863" i="1"/>
  <c r="G1863" i="1"/>
  <c r="P1862" i="1"/>
  <c r="J1862" i="1"/>
  <c r="G1862" i="1"/>
  <c r="P1861" i="1"/>
  <c r="J1861" i="1"/>
  <c r="G1861" i="1"/>
  <c r="P1860" i="1"/>
  <c r="J1860" i="1"/>
  <c r="G1860" i="1"/>
  <c r="P1859" i="1"/>
  <c r="J1859" i="1"/>
  <c r="G1859" i="1"/>
  <c r="G1858" i="1"/>
  <c r="P1857" i="1"/>
  <c r="J1857" i="1"/>
  <c r="G1857" i="1"/>
  <c r="P1856" i="1"/>
  <c r="J1856" i="1"/>
  <c r="G1856" i="1"/>
  <c r="G1855" i="1"/>
  <c r="P1854" i="1"/>
  <c r="J1854" i="1"/>
  <c r="G1854" i="1"/>
  <c r="P1853" i="1"/>
  <c r="J1853" i="1"/>
  <c r="G1853" i="1"/>
  <c r="AL1852" i="1"/>
  <c r="G1852" i="1"/>
  <c r="P1851" i="1"/>
  <c r="J1851" i="1"/>
  <c r="G1851" i="1"/>
  <c r="P1850" i="1"/>
  <c r="J1850" i="1"/>
  <c r="G1850" i="1"/>
  <c r="P1849" i="1"/>
  <c r="J1849" i="1"/>
  <c r="G1849" i="1"/>
  <c r="P1848" i="1"/>
  <c r="J1848" i="1"/>
  <c r="G1848" i="1"/>
  <c r="P1847" i="1"/>
  <c r="J1847" i="1"/>
  <c r="G1847" i="1"/>
  <c r="P1846" i="1"/>
  <c r="J1846" i="1"/>
  <c r="G1846" i="1"/>
  <c r="AL1845" i="1"/>
  <c r="J1845" i="1"/>
  <c r="G1845" i="1"/>
  <c r="AL1844" i="1"/>
  <c r="P1844" i="1"/>
  <c r="J1844" i="1"/>
  <c r="G1844" i="1"/>
  <c r="P1843" i="1"/>
  <c r="J1843" i="1"/>
  <c r="G1843" i="1"/>
  <c r="P1842" i="1"/>
  <c r="J1842" i="1"/>
  <c r="G1842" i="1"/>
  <c r="P1841" i="1"/>
  <c r="J1841" i="1"/>
  <c r="G1841" i="1"/>
  <c r="P1840" i="1"/>
  <c r="J1840" i="1"/>
  <c r="G1840" i="1"/>
  <c r="P1839" i="1"/>
  <c r="J1839" i="1"/>
  <c r="G1839" i="1"/>
  <c r="P1838" i="1"/>
  <c r="J1838" i="1"/>
  <c r="G1838" i="1"/>
  <c r="P1837" i="1"/>
  <c r="J1837" i="1"/>
  <c r="G1837" i="1"/>
  <c r="P1836" i="1"/>
  <c r="J1836" i="1"/>
  <c r="G1836" i="1"/>
  <c r="P1835" i="1"/>
  <c r="J1835" i="1"/>
  <c r="G1835" i="1"/>
  <c r="AL1834" i="1"/>
  <c r="P1834" i="1"/>
  <c r="J1834" i="1"/>
  <c r="G1834" i="1"/>
  <c r="AL1833" i="1"/>
  <c r="P1833" i="1"/>
  <c r="J1833" i="1"/>
  <c r="G1833" i="1"/>
  <c r="P1832" i="1"/>
  <c r="J1832" i="1"/>
  <c r="G1832" i="1"/>
  <c r="P1831" i="1"/>
  <c r="J1831" i="1"/>
  <c r="G1831" i="1"/>
  <c r="P1830" i="1"/>
  <c r="J1830" i="1"/>
  <c r="G1830" i="1"/>
  <c r="P1829" i="1"/>
  <c r="J1829" i="1"/>
  <c r="G1829" i="1"/>
  <c r="G1828" i="1"/>
  <c r="P1827" i="1"/>
  <c r="J1827" i="1"/>
  <c r="G1827" i="1"/>
  <c r="P1826" i="1"/>
  <c r="J1826" i="1"/>
  <c r="G1826" i="1"/>
  <c r="P1825" i="1"/>
  <c r="J1825" i="1"/>
  <c r="G1825" i="1"/>
  <c r="P1824" i="1"/>
  <c r="J1824" i="1"/>
  <c r="G1824" i="1"/>
  <c r="P1823" i="1"/>
  <c r="J1823" i="1"/>
  <c r="G1823" i="1"/>
  <c r="P1822" i="1"/>
  <c r="J1822" i="1"/>
  <c r="G1822" i="1"/>
  <c r="P1821" i="1"/>
  <c r="J1821" i="1"/>
  <c r="G1821" i="1"/>
  <c r="P1820" i="1"/>
  <c r="J1820" i="1"/>
  <c r="G1820" i="1"/>
  <c r="P1819" i="1"/>
  <c r="J1819" i="1"/>
  <c r="G1819" i="1"/>
  <c r="AL1818" i="1"/>
  <c r="P1818" i="1"/>
  <c r="J1818" i="1"/>
  <c r="G1818" i="1"/>
  <c r="P1817" i="1"/>
  <c r="J1817" i="1"/>
  <c r="G1817" i="1"/>
  <c r="P1816" i="1"/>
  <c r="J1816" i="1"/>
  <c r="G1816" i="1"/>
  <c r="P1815" i="1"/>
  <c r="J1815" i="1"/>
  <c r="G1815" i="1"/>
  <c r="P1814" i="1"/>
  <c r="J1814" i="1"/>
  <c r="G1814" i="1"/>
  <c r="P1813" i="1"/>
  <c r="J1813" i="1"/>
  <c r="G1813" i="1"/>
  <c r="J1812" i="1"/>
  <c r="G1812" i="1"/>
  <c r="P1811" i="1"/>
  <c r="J1811" i="1"/>
  <c r="G1811" i="1"/>
  <c r="P1810" i="1"/>
  <c r="J1810" i="1"/>
  <c r="G1810" i="1"/>
  <c r="P1809" i="1"/>
  <c r="J1809" i="1"/>
  <c r="G1809" i="1"/>
  <c r="J1808" i="1"/>
  <c r="G1808" i="1"/>
  <c r="P1807" i="1"/>
  <c r="J1807" i="1"/>
  <c r="G1807" i="1"/>
  <c r="J1806" i="1"/>
  <c r="G1806" i="1"/>
  <c r="J1805" i="1"/>
  <c r="G1805" i="1"/>
  <c r="G1804" i="1"/>
  <c r="AL1803" i="1"/>
  <c r="G1803" i="1"/>
  <c r="AL1802" i="1"/>
  <c r="G1802" i="1"/>
  <c r="J1801" i="1"/>
  <c r="G1801" i="1"/>
  <c r="P1800" i="1"/>
  <c r="J1800" i="1"/>
  <c r="G1800" i="1"/>
  <c r="P1799" i="1"/>
  <c r="J1799" i="1"/>
  <c r="G1799" i="1"/>
  <c r="P1798" i="1"/>
  <c r="J1798" i="1"/>
  <c r="G1798" i="1"/>
  <c r="P1797" i="1"/>
  <c r="J1797" i="1"/>
  <c r="G1797" i="1"/>
  <c r="P1796" i="1"/>
  <c r="J1796" i="1"/>
  <c r="G1796" i="1"/>
  <c r="P1795" i="1"/>
  <c r="J1795" i="1"/>
  <c r="G1795" i="1"/>
  <c r="P1794" i="1"/>
  <c r="J1794" i="1"/>
  <c r="G1794" i="1"/>
  <c r="P1793" i="1"/>
  <c r="J1793" i="1"/>
  <c r="G1793" i="1"/>
  <c r="P1792" i="1"/>
  <c r="J1792" i="1"/>
  <c r="G1792" i="1"/>
  <c r="P1791" i="1"/>
  <c r="J1791" i="1"/>
  <c r="G1791" i="1"/>
  <c r="P1790" i="1"/>
  <c r="J1790" i="1"/>
  <c r="G1790" i="1"/>
  <c r="P1789" i="1"/>
  <c r="J1789" i="1"/>
  <c r="G1789" i="1"/>
  <c r="P1788" i="1"/>
  <c r="J1788" i="1"/>
  <c r="G1788" i="1"/>
  <c r="P1787" i="1"/>
  <c r="J1787" i="1"/>
  <c r="G1787" i="1"/>
  <c r="P1786" i="1"/>
  <c r="J1786" i="1"/>
  <c r="G1786" i="1"/>
  <c r="P1785" i="1"/>
  <c r="J1785" i="1"/>
  <c r="G1785" i="1"/>
  <c r="P1784" i="1"/>
  <c r="J1784" i="1"/>
  <c r="G1784" i="1"/>
  <c r="P1783" i="1"/>
  <c r="J1783" i="1"/>
  <c r="G1783" i="1"/>
  <c r="P1782" i="1"/>
  <c r="J1782" i="1"/>
  <c r="G1782" i="1"/>
  <c r="P1781" i="1"/>
  <c r="J1781" i="1"/>
  <c r="G1781" i="1"/>
  <c r="P1780" i="1"/>
  <c r="J1780" i="1"/>
  <c r="G1780" i="1"/>
  <c r="P1779" i="1"/>
  <c r="J1779" i="1"/>
  <c r="G1779" i="1"/>
  <c r="P1778" i="1"/>
  <c r="J1778" i="1"/>
  <c r="G1778" i="1"/>
  <c r="P1777" i="1"/>
  <c r="J1777" i="1"/>
  <c r="G1777" i="1"/>
  <c r="P1776" i="1"/>
  <c r="J1776" i="1"/>
  <c r="G1776" i="1"/>
  <c r="P1775" i="1"/>
  <c r="J1775" i="1"/>
  <c r="G1775" i="1"/>
  <c r="AL1774" i="1"/>
  <c r="P1774" i="1"/>
  <c r="J1774" i="1"/>
  <c r="G1774" i="1"/>
  <c r="P1773" i="1"/>
  <c r="J1773" i="1"/>
  <c r="G1773" i="1"/>
  <c r="P1772" i="1"/>
  <c r="J1772" i="1"/>
  <c r="G1772" i="1"/>
  <c r="P1771" i="1"/>
  <c r="J1771" i="1"/>
  <c r="G1771" i="1"/>
  <c r="P1770" i="1"/>
  <c r="J1770" i="1"/>
  <c r="G1770" i="1"/>
  <c r="P1769" i="1"/>
  <c r="J1769" i="1"/>
  <c r="G1769" i="1"/>
  <c r="P1768" i="1"/>
  <c r="J1768" i="1"/>
  <c r="G1768" i="1"/>
  <c r="P1767" i="1"/>
  <c r="J1767" i="1"/>
  <c r="G1767" i="1"/>
  <c r="P1766" i="1"/>
  <c r="J1766" i="1"/>
  <c r="G1766" i="1"/>
  <c r="P1765" i="1"/>
  <c r="J1765" i="1"/>
  <c r="G1765" i="1"/>
  <c r="P1764" i="1"/>
  <c r="J1764" i="1"/>
  <c r="G1764" i="1"/>
  <c r="P1763" i="1"/>
  <c r="J1763" i="1"/>
  <c r="G1763" i="1"/>
  <c r="P1762" i="1"/>
  <c r="J1762" i="1"/>
  <c r="G1762" i="1"/>
  <c r="P1761" i="1"/>
  <c r="J1761" i="1"/>
  <c r="G1761" i="1"/>
  <c r="P1760" i="1"/>
  <c r="J1760" i="1"/>
  <c r="G1760" i="1"/>
  <c r="P1759" i="1"/>
  <c r="J1759" i="1"/>
  <c r="G1759" i="1"/>
  <c r="P1758" i="1"/>
  <c r="J1758" i="1"/>
  <c r="G1758" i="1"/>
  <c r="P1757" i="1"/>
  <c r="J1757" i="1"/>
  <c r="G1757" i="1"/>
  <c r="P1756" i="1"/>
  <c r="J1756" i="1"/>
  <c r="G1756" i="1"/>
  <c r="P1755" i="1"/>
  <c r="J1755" i="1"/>
  <c r="G1755" i="1"/>
  <c r="P1754" i="1"/>
  <c r="J1754" i="1"/>
  <c r="G1754" i="1"/>
  <c r="P1753" i="1"/>
  <c r="J1753" i="1"/>
  <c r="G1753" i="1"/>
  <c r="P1752" i="1"/>
  <c r="J1752" i="1"/>
  <c r="G1752" i="1"/>
  <c r="P1751" i="1"/>
  <c r="J1751" i="1"/>
  <c r="G1751" i="1"/>
  <c r="P1750" i="1"/>
  <c r="J1750" i="1"/>
  <c r="G1750" i="1"/>
  <c r="P1749" i="1"/>
  <c r="J1749" i="1"/>
  <c r="G1749" i="1"/>
  <c r="P1748" i="1"/>
  <c r="J1748" i="1"/>
  <c r="G1748" i="1"/>
  <c r="P1747" i="1"/>
  <c r="J1747" i="1"/>
  <c r="G1747" i="1"/>
  <c r="P1746" i="1"/>
  <c r="J1746" i="1"/>
  <c r="G1746" i="1"/>
  <c r="P1745" i="1"/>
  <c r="J1745" i="1"/>
  <c r="G1745" i="1"/>
  <c r="P1744" i="1"/>
  <c r="J1744" i="1"/>
  <c r="G1744" i="1"/>
  <c r="P1743" i="1"/>
  <c r="J1743" i="1"/>
  <c r="G1743" i="1"/>
  <c r="P1742" i="1"/>
  <c r="J1742" i="1"/>
  <c r="G1742" i="1"/>
  <c r="P1741" i="1"/>
  <c r="J1741" i="1"/>
  <c r="G1741" i="1"/>
  <c r="P1740" i="1"/>
  <c r="J1740" i="1"/>
  <c r="G1740" i="1"/>
  <c r="P1739" i="1"/>
  <c r="J1739" i="1"/>
  <c r="G1739" i="1"/>
  <c r="P1738" i="1"/>
  <c r="J1738" i="1"/>
  <c r="G1738" i="1"/>
  <c r="P1737" i="1"/>
  <c r="J1737" i="1"/>
  <c r="G1737" i="1"/>
  <c r="P1736" i="1"/>
  <c r="J1736" i="1"/>
  <c r="G1736" i="1"/>
  <c r="P1735" i="1"/>
  <c r="J1735" i="1"/>
  <c r="G1735" i="1"/>
  <c r="P1734" i="1"/>
  <c r="J1734" i="1"/>
  <c r="G1734" i="1"/>
  <c r="P1733" i="1"/>
  <c r="J1733" i="1"/>
  <c r="G1733" i="1"/>
  <c r="P1732" i="1"/>
  <c r="J1732" i="1"/>
  <c r="G1732" i="1"/>
  <c r="P1731" i="1"/>
  <c r="J1731" i="1"/>
  <c r="G1731" i="1"/>
  <c r="P1730" i="1"/>
  <c r="J1730" i="1"/>
  <c r="G1730" i="1"/>
  <c r="P1729" i="1"/>
  <c r="J1729" i="1"/>
  <c r="G1729" i="1"/>
  <c r="P1728" i="1"/>
  <c r="J1728" i="1"/>
  <c r="G1728" i="1"/>
  <c r="P1727" i="1"/>
  <c r="J1727" i="1"/>
  <c r="G1727" i="1"/>
  <c r="P1726" i="1"/>
  <c r="J1726" i="1"/>
  <c r="G1726" i="1"/>
  <c r="P1725" i="1"/>
  <c r="J1725" i="1"/>
  <c r="G1725" i="1"/>
  <c r="P1724" i="1"/>
  <c r="J1724" i="1"/>
  <c r="G1724" i="1"/>
  <c r="P1723" i="1"/>
  <c r="J1723" i="1"/>
  <c r="G1723" i="1"/>
  <c r="P1722" i="1"/>
  <c r="J1722" i="1"/>
  <c r="G1722" i="1"/>
  <c r="P1721" i="1"/>
  <c r="J1721" i="1"/>
  <c r="G1721" i="1"/>
  <c r="P1720" i="1"/>
  <c r="J1720" i="1"/>
  <c r="G1720" i="1"/>
  <c r="P1719" i="1"/>
  <c r="J1719" i="1"/>
  <c r="G1719" i="1"/>
  <c r="P1718" i="1"/>
  <c r="J1718" i="1"/>
  <c r="G1718" i="1"/>
  <c r="P1717" i="1"/>
  <c r="J1717" i="1"/>
  <c r="G1717" i="1"/>
  <c r="P1716" i="1"/>
  <c r="J1716" i="1"/>
  <c r="G1716" i="1"/>
  <c r="P1715" i="1"/>
  <c r="J1715" i="1"/>
  <c r="G1715" i="1"/>
  <c r="P1714" i="1"/>
  <c r="J1714" i="1"/>
  <c r="G1714" i="1"/>
  <c r="P1713" i="1"/>
  <c r="J1713" i="1"/>
  <c r="G1713" i="1"/>
  <c r="P1712" i="1"/>
  <c r="J1712" i="1"/>
  <c r="G1712" i="1"/>
  <c r="P1711" i="1"/>
  <c r="J1711" i="1"/>
  <c r="G1711" i="1"/>
  <c r="P1710" i="1"/>
  <c r="J1710" i="1"/>
  <c r="G1710" i="1"/>
  <c r="P1709" i="1"/>
  <c r="J1709" i="1"/>
  <c r="G1709" i="1"/>
  <c r="P1708" i="1"/>
  <c r="J1708" i="1"/>
  <c r="G1708" i="1"/>
  <c r="P1707" i="1"/>
  <c r="J1707" i="1"/>
  <c r="G1707" i="1"/>
  <c r="P1706" i="1"/>
  <c r="J1706" i="1"/>
  <c r="G1706" i="1"/>
  <c r="J1705" i="1"/>
  <c r="G1705" i="1"/>
  <c r="P1704" i="1"/>
  <c r="J1704" i="1"/>
  <c r="G1704" i="1"/>
  <c r="P1703" i="1"/>
  <c r="J1703" i="1"/>
  <c r="G1703" i="1"/>
  <c r="P1702" i="1"/>
  <c r="J1702" i="1"/>
  <c r="G1702" i="1"/>
  <c r="P1701" i="1"/>
  <c r="J1701" i="1"/>
  <c r="G1701" i="1"/>
  <c r="P1700" i="1"/>
  <c r="J1700" i="1"/>
  <c r="G1700" i="1"/>
  <c r="G1699" i="1"/>
  <c r="P1698" i="1"/>
  <c r="J1698" i="1"/>
  <c r="G1698" i="1"/>
  <c r="P1697" i="1"/>
  <c r="J1697" i="1"/>
  <c r="G1697" i="1"/>
  <c r="P1696" i="1"/>
  <c r="J1696" i="1"/>
  <c r="G1696" i="1"/>
  <c r="P1695" i="1"/>
  <c r="J1695" i="1"/>
  <c r="G1695" i="1"/>
  <c r="P1694" i="1"/>
  <c r="J1694" i="1"/>
  <c r="G1694" i="1"/>
  <c r="AL1693" i="1"/>
  <c r="G1693" i="1"/>
  <c r="P1692" i="1"/>
  <c r="J1692" i="1"/>
  <c r="G1692" i="1"/>
  <c r="P1691" i="1"/>
  <c r="J1691" i="1"/>
  <c r="G1691" i="1"/>
  <c r="P1690" i="1"/>
  <c r="J1690" i="1"/>
  <c r="G1690" i="1"/>
  <c r="P1689" i="1"/>
  <c r="J1689" i="1"/>
  <c r="G1689" i="1"/>
  <c r="P1688" i="1"/>
  <c r="J1688" i="1"/>
  <c r="G1688" i="1"/>
  <c r="P1687" i="1"/>
  <c r="J1687" i="1"/>
  <c r="G1687" i="1"/>
  <c r="P1686" i="1"/>
  <c r="J1686" i="1"/>
  <c r="G1686" i="1"/>
  <c r="P1685" i="1"/>
  <c r="J1685" i="1"/>
  <c r="G1685" i="1"/>
  <c r="P1684" i="1"/>
  <c r="J1684" i="1"/>
  <c r="G1684" i="1"/>
  <c r="P1683" i="1"/>
  <c r="J1683" i="1"/>
  <c r="G1683" i="1"/>
  <c r="P1682" i="1"/>
  <c r="J1682" i="1"/>
  <c r="G1682" i="1"/>
  <c r="P1681" i="1"/>
  <c r="J1681" i="1"/>
  <c r="G1681" i="1"/>
  <c r="P1680" i="1"/>
  <c r="J1680" i="1"/>
  <c r="G1680" i="1"/>
  <c r="P1679" i="1"/>
  <c r="J1679" i="1"/>
  <c r="G1679" i="1"/>
  <c r="P1678" i="1"/>
  <c r="J1678" i="1"/>
  <c r="G1678" i="1"/>
  <c r="P1677" i="1"/>
  <c r="J1677" i="1"/>
  <c r="G1677" i="1"/>
  <c r="P1676" i="1"/>
  <c r="J1676" i="1"/>
  <c r="G1676" i="1"/>
  <c r="P1675" i="1"/>
  <c r="J1675" i="1"/>
  <c r="G1675" i="1"/>
  <c r="P1674" i="1"/>
  <c r="J1674" i="1"/>
  <c r="G1674" i="1"/>
  <c r="P1673" i="1"/>
  <c r="J1673" i="1"/>
  <c r="G1673" i="1"/>
  <c r="P1672" i="1"/>
  <c r="J1672" i="1"/>
  <c r="G1672" i="1"/>
  <c r="P1671" i="1"/>
  <c r="J1671" i="1"/>
  <c r="G1671" i="1"/>
  <c r="P1670" i="1"/>
  <c r="J1670" i="1"/>
  <c r="G1670" i="1"/>
  <c r="P1669" i="1"/>
  <c r="J1669" i="1"/>
  <c r="G1669" i="1"/>
  <c r="P1668" i="1"/>
  <c r="J1668" i="1"/>
  <c r="G1668" i="1"/>
  <c r="P1667" i="1"/>
  <c r="J1667" i="1"/>
  <c r="G1667" i="1"/>
  <c r="P1666" i="1"/>
  <c r="J1666" i="1"/>
  <c r="G1666" i="1"/>
  <c r="P1665" i="1"/>
  <c r="J1665" i="1"/>
  <c r="G1665" i="1"/>
  <c r="P1664" i="1"/>
  <c r="J1664" i="1"/>
  <c r="G1664" i="1"/>
  <c r="P1663" i="1"/>
  <c r="J1663" i="1"/>
  <c r="G1663" i="1"/>
  <c r="P1662" i="1"/>
  <c r="J1662" i="1"/>
  <c r="G1662" i="1"/>
  <c r="P1661" i="1"/>
  <c r="J1661" i="1"/>
  <c r="G1661" i="1"/>
  <c r="P1660" i="1"/>
  <c r="J1660" i="1"/>
  <c r="G1660" i="1"/>
  <c r="AL1659" i="1"/>
  <c r="P1659" i="1"/>
  <c r="J1659" i="1"/>
  <c r="G1659" i="1"/>
  <c r="P1658" i="1"/>
  <c r="J1658" i="1"/>
  <c r="G1658" i="1"/>
  <c r="P1657" i="1"/>
  <c r="J1657" i="1"/>
  <c r="G1657" i="1"/>
  <c r="P1656" i="1"/>
  <c r="J1656" i="1"/>
  <c r="G1656" i="1"/>
  <c r="P1655" i="1"/>
  <c r="J1655" i="1"/>
  <c r="G1655" i="1"/>
  <c r="AL1654" i="1"/>
  <c r="G1654" i="1"/>
  <c r="P1653" i="1"/>
  <c r="J1653" i="1"/>
  <c r="G1653" i="1"/>
  <c r="P1652" i="1"/>
  <c r="J1652" i="1"/>
  <c r="G1652" i="1"/>
  <c r="P1651" i="1"/>
  <c r="J1651" i="1"/>
  <c r="G1651" i="1"/>
  <c r="P1650" i="1"/>
  <c r="J1650" i="1"/>
  <c r="G1650" i="1"/>
  <c r="P1649" i="1"/>
  <c r="J1649" i="1"/>
  <c r="G1649" i="1"/>
  <c r="P1648" i="1"/>
  <c r="J1648" i="1"/>
  <c r="G1648" i="1"/>
  <c r="P1647" i="1"/>
  <c r="J1647" i="1"/>
  <c r="G1647" i="1"/>
  <c r="P1646" i="1"/>
  <c r="J1646" i="1"/>
  <c r="G1646" i="1"/>
  <c r="P1645" i="1"/>
  <c r="J1645" i="1"/>
  <c r="G1645" i="1"/>
  <c r="P1644" i="1"/>
  <c r="J1644" i="1"/>
  <c r="G1644" i="1"/>
  <c r="P1643" i="1"/>
  <c r="J1643" i="1"/>
  <c r="G1643" i="1"/>
  <c r="P1642" i="1"/>
  <c r="J1642" i="1"/>
  <c r="G1642" i="1"/>
  <c r="P1641" i="1"/>
  <c r="J1641" i="1"/>
  <c r="G1641" i="1"/>
  <c r="P1640" i="1"/>
  <c r="J1640" i="1"/>
  <c r="G1640" i="1"/>
  <c r="AL1639" i="1"/>
  <c r="G1639" i="1"/>
  <c r="P1638" i="1"/>
  <c r="J1638" i="1"/>
  <c r="G1638" i="1"/>
  <c r="P1637" i="1"/>
  <c r="J1637" i="1"/>
  <c r="G1637" i="1"/>
  <c r="P1636" i="1"/>
  <c r="J1636" i="1"/>
  <c r="G1636" i="1"/>
  <c r="P1635" i="1"/>
  <c r="J1635" i="1"/>
  <c r="G1635" i="1"/>
  <c r="AL1634" i="1"/>
  <c r="G1634" i="1"/>
  <c r="G1633" i="1"/>
  <c r="P1632" i="1"/>
  <c r="J1632" i="1"/>
  <c r="G1632" i="1"/>
  <c r="P1631" i="1"/>
  <c r="J1631" i="1"/>
  <c r="G1631" i="1"/>
  <c r="P1630" i="1"/>
  <c r="J1630" i="1"/>
  <c r="G1630" i="1"/>
  <c r="P1629" i="1"/>
  <c r="J1629" i="1"/>
  <c r="G1629" i="1"/>
  <c r="P1628" i="1"/>
  <c r="J1628" i="1"/>
  <c r="G1628" i="1"/>
  <c r="P1627" i="1"/>
  <c r="J1627" i="1"/>
  <c r="G1627" i="1"/>
  <c r="P1626" i="1"/>
  <c r="J1626" i="1"/>
  <c r="G1626" i="1"/>
  <c r="P1625" i="1"/>
  <c r="J1625" i="1"/>
  <c r="G1625" i="1"/>
  <c r="P1624" i="1"/>
  <c r="J1624" i="1"/>
  <c r="G1624" i="1"/>
  <c r="P1623" i="1"/>
  <c r="J1623" i="1"/>
  <c r="G1623" i="1"/>
  <c r="P1622" i="1"/>
  <c r="J1622" i="1"/>
  <c r="G1622" i="1"/>
  <c r="P1621" i="1"/>
  <c r="J1621" i="1"/>
  <c r="G1621" i="1"/>
  <c r="P1620" i="1"/>
  <c r="J1620" i="1"/>
  <c r="G1620" i="1"/>
  <c r="P1619" i="1"/>
  <c r="J1619" i="1"/>
  <c r="G1619" i="1"/>
  <c r="P1618" i="1"/>
  <c r="J1618" i="1"/>
  <c r="G1618" i="1"/>
  <c r="P1617" i="1"/>
  <c r="J1617" i="1"/>
  <c r="G1617" i="1"/>
  <c r="P1616" i="1"/>
  <c r="J1616" i="1"/>
  <c r="G1616" i="1"/>
  <c r="P1615" i="1"/>
  <c r="J1615" i="1"/>
  <c r="G1615" i="1"/>
  <c r="AL1614" i="1"/>
  <c r="P1614" i="1"/>
  <c r="J1614" i="1"/>
  <c r="G1614" i="1"/>
  <c r="P1613" i="1"/>
  <c r="J1613" i="1"/>
  <c r="G1613" i="1"/>
  <c r="P1612" i="1"/>
  <c r="J1612" i="1"/>
  <c r="G1612" i="1"/>
  <c r="P1611" i="1"/>
  <c r="J1611" i="1"/>
  <c r="G1611" i="1"/>
  <c r="P1610" i="1"/>
  <c r="J1610" i="1"/>
  <c r="G1610" i="1"/>
  <c r="P1609" i="1"/>
  <c r="J1609" i="1"/>
  <c r="G1609" i="1"/>
  <c r="P1608" i="1"/>
  <c r="J1608" i="1"/>
  <c r="G1608" i="1"/>
  <c r="P1607" i="1"/>
  <c r="J1607" i="1"/>
  <c r="G1607" i="1"/>
  <c r="P1606" i="1"/>
  <c r="J1606" i="1"/>
  <c r="G1606" i="1"/>
  <c r="P1605" i="1"/>
  <c r="J1605" i="1"/>
  <c r="G1605" i="1"/>
  <c r="P1604" i="1"/>
  <c r="J1604" i="1"/>
  <c r="G1604" i="1"/>
  <c r="P1603" i="1"/>
  <c r="J1603" i="1"/>
  <c r="G1603" i="1"/>
  <c r="P1602" i="1"/>
  <c r="J1602" i="1"/>
  <c r="G1602" i="1"/>
  <c r="P1601" i="1"/>
  <c r="J1601" i="1"/>
  <c r="G1601" i="1"/>
  <c r="P1600" i="1"/>
  <c r="J1600" i="1"/>
  <c r="G1600" i="1"/>
  <c r="P1599" i="1"/>
  <c r="J1599" i="1"/>
  <c r="G1599" i="1"/>
  <c r="P1598" i="1"/>
  <c r="J1598" i="1"/>
  <c r="G1598" i="1"/>
  <c r="P1597" i="1"/>
  <c r="J1597" i="1"/>
  <c r="G1597" i="1"/>
  <c r="P1596" i="1"/>
  <c r="J1596" i="1"/>
  <c r="G1596" i="1"/>
  <c r="P1595" i="1"/>
  <c r="J1595" i="1"/>
  <c r="G1595" i="1"/>
  <c r="P1594" i="1"/>
  <c r="J1594" i="1"/>
  <c r="G1594" i="1"/>
  <c r="AL1593" i="1"/>
  <c r="G1593" i="1"/>
  <c r="P1592" i="1"/>
  <c r="J1592" i="1"/>
  <c r="G1592" i="1"/>
  <c r="P1591" i="1"/>
  <c r="J1591" i="1"/>
  <c r="G1591" i="1"/>
  <c r="P1590" i="1"/>
  <c r="J1590" i="1"/>
  <c r="G1590" i="1"/>
  <c r="P1589" i="1"/>
  <c r="J1589" i="1"/>
  <c r="G1589" i="1"/>
  <c r="P1588" i="1"/>
  <c r="J1588" i="1"/>
  <c r="G1588" i="1"/>
  <c r="P1587" i="1"/>
  <c r="J1587" i="1"/>
  <c r="G1587" i="1"/>
  <c r="P1586" i="1"/>
  <c r="J1586" i="1"/>
  <c r="G1586" i="1"/>
  <c r="P1585" i="1"/>
  <c r="J1585" i="1"/>
  <c r="G1585" i="1"/>
  <c r="P1584" i="1"/>
  <c r="J1584" i="1"/>
  <c r="G1584" i="1"/>
  <c r="P1583" i="1"/>
  <c r="J1583" i="1"/>
  <c r="G1583" i="1"/>
  <c r="P1582" i="1"/>
  <c r="J1582" i="1"/>
  <c r="G1582" i="1"/>
  <c r="P1581" i="1"/>
  <c r="J1581" i="1"/>
  <c r="G1581" i="1"/>
  <c r="AL1580" i="1"/>
  <c r="P1580" i="1"/>
  <c r="J1580" i="1"/>
  <c r="G1580" i="1"/>
  <c r="P1579" i="1"/>
  <c r="J1579" i="1"/>
  <c r="G1579" i="1"/>
  <c r="AL1578" i="1"/>
  <c r="P1578" i="1"/>
  <c r="J1578" i="1"/>
  <c r="G1578" i="1"/>
  <c r="P1577" i="1"/>
  <c r="J1577" i="1"/>
  <c r="G1577" i="1"/>
  <c r="AL1576" i="1"/>
  <c r="P1576" i="1"/>
  <c r="J1576" i="1"/>
  <c r="G1576" i="1"/>
  <c r="P1575" i="1"/>
  <c r="J1575" i="1"/>
  <c r="G1575" i="1"/>
  <c r="AL1574" i="1"/>
  <c r="P1574" i="1"/>
  <c r="J1574" i="1"/>
  <c r="G1574" i="1"/>
  <c r="P1573" i="1"/>
  <c r="J1573" i="1"/>
  <c r="G1573" i="1"/>
  <c r="P1572" i="1"/>
  <c r="J1572" i="1"/>
  <c r="G1572" i="1"/>
  <c r="P1571" i="1"/>
  <c r="J1571" i="1"/>
  <c r="G1571" i="1"/>
  <c r="P1570" i="1"/>
  <c r="J1570" i="1"/>
  <c r="G1570" i="1"/>
  <c r="P1569" i="1"/>
  <c r="J1569" i="1"/>
  <c r="G1569" i="1"/>
  <c r="P1568" i="1"/>
  <c r="J1568" i="1"/>
  <c r="G1568" i="1"/>
  <c r="P1567" i="1"/>
  <c r="J1567" i="1"/>
  <c r="G1567" i="1"/>
  <c r="P1566" i="1"/>
  <c r="J1566" i="1"/>
  <c r="G1566" i="1"/>
  <c r="P1565" i="1"/>
  <c r="J1565" i="1"/>
  <c r="G1565" i="1"/>
  <c r="AL1564" i="1"/>
  <c r="P1564" i="1"/>
  <c r="J1564" i="1"/>
  <c r="G1564" i="1"/>
  <c r="P1563" i="1"/>
  <c r="J1563" i="1"/>
  <c r="G1563" i="1"/>
  <c r="P1562" i="1"/>
  <c r="J1562" i="1"/>
  <c r="G1562" i="1"/>
  <c r="P1561" i="1"/>
  <c r="J1561" i="1"/>
  <c r="G1561" i="1"/>
  <c r="P1560" i="1"/>
  <c r="J1560" i="1"/>
  <c r="G1560" i="1"/>
  <c r="P1559" i="1"/>
  <c r="J1559" i="1"/>
  <c r="G1559" i="1"/>
  <c r="P1558" i="1"/>
  <c r="J1558" i="1"/>
  <c r="G1558" i="1"/>
  <c r="P1557" i="1"/>
  <c r="J1557" i="1"/>
  <c r="G1557" i="1"/>
  <c r="P1556" i="1"/>
  <c r="J1556" i="1"/>
  <c r="G1556" i="1"/>
  <c r="P1555" i="1"/>
  <c r="J1555" i="1"/>
  <c r="G1555" i="1"/>
  <c r="P1554" i="1"/>
  <c r="J1554" i="1"/>
  <c r="G1554" i="1"/>
  <c r="P1553" i="1"/>
  <c r="J1553" i="1"/>
  <c r="G1553" i="1"/>
  <c r="P1552" i="1"/>
  <c r="J1552" i="1"/>
  <c r="G1552" i="1"/>
  <c r="P1551" i="1"/>
  <c r="J1551" i="1"/>
  <c r="G1551" i="1"/>
  <c r="P1550" i="1"/>
  <c r="J1550" i="1"/>
  <c r="G1550" i="1"/>
  <c r="P1549" i="1"/>
  <c r="J1549" i="1"/>
  <c r="G1549" i="1"/>
  <c r="P1548" i="1"/>
  <c r="J1548" i="1"/>
  <c r="G1548" i="1"/>
  <c r="P1547" i="1"/>
  <c r="J1547" i="1"/>
  <c r="G1547" i="1"/>
  <c r="P1546" i="1"/>
  <c r="J1546" i="1"/>
  <c r="G1546" i="1"/>
  <c r="P1545" i="1"/>
  <c r="J1545" i="1"/>
  <c r="G1545" i="1"/>
  <c r="P1544" i="1"/>
  <c r="J1544" i="1"/>
  <c r="G1544" i="1"/>
  <c r="P1543" i="1"/>
  <c r="J1543" i="1"/>
  <c r="G1543" i="1"/>
  <c r="P1542" i="1"/>
  <c r="J1542" i="1"/>
  <c r="G1542" i="1"/>
  <c r="P1541" i="1"/>
  <c r="J1541" i="1"/>
  <c r="G1541" i="1"/>
  <c r="P1540" i="1"/>
  <c r="J1540" i="1"/>
  <c r="G1540" i="1"/>
  <c r="P1539" i="1"/>
  <c r="J1539" i="1"/>
  <c r="G1539" i="1"/>
  <c r="P1538" i="1"/>
  <c r="J1538" i="1"/>
  <c r="G1538" i="1"/>
  <c r="P1537" i="1"/>
  <c r="J1537" i="1"/>
  <c r="G1537" i="1"/>
  <c r="P1536" i="1"/>
  <c r="J1536" i="1"/>
  <c r="G1536" i="1"/>
  <c r="P1535" i="1"/>
  <c r="J1535" i="1"/>
  <c r="G1535" i="1"/>
  <c r="P1534" i="1"/>
  <c r="J1534" i="1"/>
  <c r="G1534" i="1"/>
  <c r="P1533" i="1"/>
  <c r="J1533" i="1"/>
  <c r="G1533" i="1"/>
  <c r="P1532" i="1"/>
  <c r="J1532" i="1"/>
  <c r="G1532" i="1"/>
  <c r="P1531" i="1"/>
  <c r="J1531" i="1"/>
  <c r="G1531" i="1"/>
  <c r="P1530" i="1"/>
  <c r="J1530" i="1"/>
  <c r="G1530" i="1"/>
  <c r="P1529" i="1"/>
  <c r="J1529" i="1"/>
  <c r="G1529" i="1"/>
  <c r="P1528" i="1"/>
  <c r="J1528" i="1"/>
  <c r="G1528" i="1"/>
  <c r="P1527" i="1"/>
  <c r="J1527" i="1"/>
  <c r="G1527" i="1"/>
  <c r="P1526" i="1"/>
  <c r="J1526" i="1"/>
  <c r="G1526" i="1"/>
  <c r="P1525" i="1"/>
  <c r="J1525" i="1"/>
  <c r="G1525" i="1"/>
  <c r="P1524" i="1"/>
  <c r="J1524" i="1"/>
  <c r="G1524" i="1"/>
  <c r="P1523" i="1"/>
  <c r="J1523" i="1"/>
  <c r="G1523" i="1"/>
  <c r="P1522" i="1"/>
  <c r="J1522" i="1"/>
  <c r="G1522" i="1"/>
  <c r="P1521" i="1"/>
  <c r="J1521" i="1"/>
  <c r="G1521" i="1"/>
  <c r="P1520" i="1"/>
  <c r="J1520" i="1"/>
  <c r="G1520" i="1"/>
  <c r="P1519" i="1"/>
  <c r="J1519" i="1"/>
  <c r="G1519" i="1"/>
  <c r="AL1518" i="1"/>
  <c r="P1518" i="1"/>
  <c r="J1518" i="1"/>
  <c r="G1518" i="1"/>
  <c r="AL1517" i="1"/>
  <c r="J1517" i="1"/>
  <c r="G1517" i="1"/>
  <c r="P1516" i="1"/>
  <c r="J1516" i="1"/>
  <c r="G1516" i="1"/>
  <c r="P1515" i="1"/>
  <c r="J1515" i="1"/>
  <c r="G1515" i="1"/>
  <c r="P1514" i="1"/>
  <c r="J1514" i="1"/>
  <c r="G1514" i="1"/>
  <c r="P1513" i="1"/>
  <c r="J1513" i="1"/>
  <c r="G1513" i="1"/>
  <c r="P1512" i="1"/>
  <c r="J1512" i="1"/>
  <c r="G1512" i="1"/>
  <c r="P1511" i="1"/>
  <c r="J1511" i="1"/>
  <c r="G1511" i="1"/>
  <c r="P1510" i="1"/>
  <c r="J1510" i="1"/>
  <c r="G1510" i="1"/>
  <c r="P1509" i="1"/>
  <c r="J1509" i="1"/>
  <c r="G1509" i="1"/>
  <c r="P1508" i="1"/>
  <c r="J1508" i="1"/>
  <c r="G1508" i="1"/>
  <c r="P1507" i="1"/>
  <c r="J1507" i="1"/>
  <c r="G1507" i="1"/>
  <c r="P1506" i="1"/>
  <c r="J1506" i="1"/>
  <c r="G1506" i="1"/>
  <c r="P1505" i="1"/>
  <c r="J1505" i="1"/>
  <c r="G1505" i="1"/>
  <c r="P1504" i="1"/>
  <c r="J1504" i="1"/>
  <c r="G1504" i="1"/>
  <c r="P1503" i="1"/>
  <c r="J1503" i="1"/>
  <c r="G1503" i="1"/>
  <c r="P1502" i="1"/>
  <c r="J1502" i="1"/>
  <c r="G1502" i="1"/>
  <c r="P1501" i="1"/>
  <c r="J1501" i="1"/>
  <c r="G1501" i="1"/>
  <c r="P1500" i="1"/>
  <c r="J1500" i="1"/>
  <c r="G1500" i="1"/>
  <c r="P1499" i="1"/>
  <c r="J1499" i="1"/>
  <c r="G1499" i="1"/>
  <c r="P1498" i="1"/>
  <c r="J1498" i="1"/>
  <c r="G1498" i="1"/>
  <c r="P1497" i="1"/>
  <c r="J1497" i="1"/>
  <c r="G1497" i="1"/>
  <c r="P1496" i="1"/>
  <c r="J1496" i="1"/>
  <c r="G1496" i="1"/>
  <c r="P1495" i="1"/>
  <c r="J1495" i="1"/>
  <c r="G1495" i="1"/>
  <c r="P1494" i="1"/>
  <c r="J1494" i="1"/>
  <c r="G1494" i="1"/>
  <c r="P1493" i="1"/>
  <c r="J1493" i="1"/>
  <c r="G1493" i="1"/>
  <c r="P1492" i="1"/>
  <c r="J1492" i="1"/>
  <c r="G1492" i="1"/>
  <c r="P1491" i="1"/>
  <c r="J1491" i="1"/>
  <c r="G1491" i="1"/>
  <c r="P1490" i="1"/>
  <c r="J1490" i="1"/>
  <c r="G1490" i="1"/>
  <c r="P1489" i="1"/>
  <c r="J1489" i="1"/>
  <c r="G1489" i="1"/>
  <c r="P1488" i="1"/>
  <c r="J1488" i="1"/>
  <c r="G1488" i="1"/>
  <c r="P1487" i="1"/>
  <c r="J1487" i="1"/>
  <c r="G1487" i="1"/>
  <c r="P1486" i="1"/>
  <c r="J1486" i="1"/>
  <c r="G1486" i="1"/>
  <c r="P1485" i="1"/>
  <c r="J1485" i="1"/>
  <c r="G1485" i="1"/>
  <c r="P1484" i="1"/>
  <c r="J1484" i="1"/>
  <c r="G1484" i="1"/>
  <c r="P1483" i="1"/>
  <c r="J1483" i="1"/>
  <c r="G1483" i="1"/>
  <c r="P1482" i="1"/>
  <c r="J1482" i="1"/>
  <c r="G1482" i="1"/>
  <c r="P1481" i="1"/>
  <c r="J1481" i="1"/>
  <c r="G1481" i="1"/>
  <c r="P1480" i="1"/>
  <c r="J1480" i="1"/>
  <c r="G1480" i="1"/>
  <c r="AL1479" i="1"/>
  <c r="P1479" i="1"/>
  <c r="J1479" i="1"/>
  <c r="G1479" i="1"/>
  <c r="AL1478" i="1"/>
  <c r="P1478" i="1"/>
  <c r="J1478" i="1"/>
  <c r="G1478" i="1"/>
  <c r="AL1477" i="1"/>
  <c r="P1477" i="1"/>
  <c r="J1477" i="1"/>
  <c r="G1477" i="1"/>
  <c r="P1476" i="1"/>
  <c r="J1476" i="1"/>
  <c r="G1476" i="1"/>
  <c r="AL1475" i="1"/>
  <c r="P1475" i="1"/>
  <c r="J1475" i="1"/>
  <c r="G1475" i="1"/>
  <c r="AL1474" i="1"/>
  <c r="P1474" i="1"/>
  <c r="J1474" i="1"/>
  <c r="G1474" i="1"/>
  <c r="P1473" i="1"/>
  <c r="J1473" i="1"/>
  <c r="G1473" i="1"/>
  <c r="P1472" i="1"/>
  <c r="J1472" i="1"/>
  <c r="G1472" i="1"/>
  <c r="P1471" i="1"/>
  <c r="J1471" i="1"/>
  <c r="G1471" i="1"/>
  <c r="P1470" i="1"/>
  <c r="J1470" i="1"/>
  <c r="G1470" i="1"/>
  <c r="P1469" i="1"/>
  <c r="J1469" i="1"/>
  <c r="G1469" i="1"/>
  <c r="P1468" i="1"/>
  <c r="J1468" i="1"/>
  <c r="G1468" i="1"/>
  <c r="P1467" i="1"/>
  <c r="J1467" i="1"/>
  <c r="G1467" i="1"/>
  <c r="P1466" i="1"/>
  <c r="J1466" i="1"/>
  <c r="G1466" i="1"/>
  <c r="P1465" i="1"/>
  <c r="J1465" i="1"/>
  <c r="G1465" i="1"/>
  <c r="AL1464" i="1"/>
  <c r="P1464" i="1"/>
  <c r="J1464" i="1"/>
  <c r="G1464" i="1"/>
  <c r="P1463" i="1"/>
  <c r="J1463" i="1"/>
  <c r="G1463" i="1"/>
  <c r="P1462" i="1"/>
  <c r="J1462" i="1"/>
  <c r="G1462" i="1"/>
  <c r="P1461" i="1"/>
  <c r="J1461" i="1"/>
  <c r="G1461" i="1"/>
  <c r="P1460" i="1"/>
  <c r="J1460" i="1"/>
  <c r="G1460" i="1"/>
  <c r="P1459" i="1"/>
  <c r="J1459" i="1"/>
  <c r="G1459" i="1"/>
  <c r="P1458" i="1"/>
  <c r="J1458" i="1"/>
  <c r="G1458" i="1"/>
  <c r="P1457" i="1"/>
  <c r="J1457" i="1"/>
  <c r="G1457" i="1"/>
  <c r="P1456" i="1"/>
  <c r="J1456" i="1"/>
  <c r="G1456" i="1"/>
  <c r="P1455" i="1"/>
  <c r="J1455" i="1"/>
  <c r="G1455" i="1"/>
  <c r="P1454" i="1"/>
  <c r="J1454" i="1"/>
  <c r="G1454" i="1"/>
  <c r="P1453" i="1"/>
  <c r="J1453" i="1"/>
  <c r="G1453" i="1"/>
  <c r="P1452" i="1"/>
  <c r="J1452" i="1"/>
  <c r="G1452" i="1"/>
  <c r="P1451" i="1"/>
  <c r="J1451" i="1"/>
  <c r="G1451" i="1"/>
  <c r="P1450" i="1"/>
  <c r="J1450" i="1"/>
  <c r="G1450" i="1"/>
  <c r="P1449" i="1"/>
  <c r="J1449" i="1"/>
  <c r="G1449" i="1"/>
  <c r="P1448" i="1"/>
  <c r="J1448" i="1"/>
  <c r="G1448" i="1"/>
  <c r="P1447" i="1"/>
  <c r="J1447" i="1"/>
  <c r="G1447" i="1"/>
  <c r="P1446" i="1"/>
  <c r="J1446" i="1"/>
  <c r="G1446" i="1"/>
  <c r="P1445" i="1"/>
  <c r="J1445" i="1"/>
  <c r="G1445" i="1"/>
  <c r="P1444" i="1"/>
  <c r="J1444" i="1"/>
  <c r="G1444" i="1"/>
  <c r="P1443" i="1"/>
  <c r="J1443" i="1"/>
  <c r="G1443" i="1"/>
  <c r="P1442" i="1"/>
  <c r="J1442" i="1"/>
  <c r="G1442" i="1"/>
  <c r="P1441" i="1"/>
  <c r="J1441" i="1"/>
  <c r="G1441" i="1"/>
  <c r="P1440" i="1"/>
  <c r="J1440" i="1"/>
  <c r="G1440" i="1"/>
  <c r="P1439" i="1"/>
  <c r="J1439" i="1"/>
  <c r="G1439" i="1"/>
  <c r="P1438" i="1"/>
  <c r="J1438" i="1"/>
  <c r="G1438" i="1"/>
  <c r="P1437" i="1"/>
  <c r="J1437" i="1"/>
  <c r="G1437" i="1"/>
  <c r="P1436" i="1"/>
  <c r="J1436" i="1"/>
  <c r="G1436" i="1"/>
  <c r="P1435" i="1"/>
  <c r="J1435" i="1"/>
  <c r="G1435" i="1"/>
  <c r="P1434" i="1"/>
  <c r="J1434" i="1"/>
  <c r="G1434" i="1"/>
  <c r="P1433" i="1"/>
  <c r="J1433" i="1"/>
  <c r="G1433" i="1"/>
  <c r="P1432" i="1"/>
  <c r="J1432" i="1"/>
  <c r="G1432" i="1"/>
  <c r="P1431" i="1"/>
  <c r="J1431" i="1"/>
  <c r="G1431" i="1"/>
  <c r="P1430" i="1"/>
  <c r="J1430" i="1"/>
  <c r="G1430" i="1"/>
  <c r="P1429" i="1"/>
  <c r="J1429" i="1"/>
  <c r="G1429" i="1"/>
  <c r="P1428" i="1"/>
  <c r="J1428" i="1"/>
  <c r="G1428" i="1"/>
  <c r="P1427" i="1"/>
  <c r="J1427" i="1"/>
  <c r="G1427" i="1"/>
  <c r="P1426" i="1"/>
  <c r="J1426" i="1"/>
  <c r="G1426" i="1"/>
  <c r="P1425" i="1"/>
  <c r="J1425" i="1"/>
  <c r="G1425" i="1"/>
  <c r="P1424" i="1"/>
  <c r="J1424" i="1"/>
  <c r="G1424" i="1"/>
  <c r="P1423" i="1"/>
  <c r="J1423" i="1"/>
  <c r="G1423" i="1"/>
  <c r="P1422" i="1"/>
  <c r="J1422" i="1"/>
  <c r="G1422" i="1"/>
  <c r="P1421" i="1"/>
  <c r="J1421" i="1"/>
  <c r="G1421" i="1"/>
  <c r="P1420" i="1"/>
  <c r="J1420" i="1"/>
  <c r="G1420" i="1"/>
  <c r="P1419" i="1"/>
  <c r="J1419" i="1"/>
  <c r="G1419" i="1"/>
  <c r="P1418" i="1"/>
  <c r="J1418" i="1"/>
  <c r="G1418" i="1"/>
  <c r="P1417" i="1"/>
  <c r="J1417" i="1"/>
  <c r="G1417" i="1"/>
  <c r="P1416" i="1"/>
  <c r="J1416" i="1"/>
  <c r="G1416" i="1"/>
  <c r="P1415" i="1"/>
  <c r="J1415" i="1"/>
  <c r="G1415" i="1"/>
  <c r="P1414" i="1"/>
  <c r="J1414" i="1"/>
  <c r="G1414" i="1"/>
  <c r="P1413" i="1"/>
  <c r="J1413" i="1"/>
  <c r="G1413" i="1"/>
  <c r="P1412" i="1"/>
  <c r="J1412" i="1"/>
  <c r="G1412" i="1"/>
  <c r="P1411" i="1"/>
  <c r="J1411" i="1"/>
  <c r="G1411" i="1"/>
  <c r="AL1410" i="1"/>
  <c r="P1410" i="1"/>
  <c r="J1410" i="1"/>
  <c r="G1410" i="1"/>
  <c r="P1409" i="1"/>
  <c r="J1409" i="1"/>
  <c r="G1409" i="1"/>
  <c r="P1408" i="1"/>
  <c r="J1408" i="1"/>
  <c r="G1408" i="1"/>
  <c r="P1407" i="1"/>
  <c r="J1407" i="1"/>
  <c r="G1407" i="1"/>
  <c r="P1406" i="1"/>
  <c r="J1406" i="1"/>
  <c r="G1406" i="1"/>
  <c r="P1405" i="1"/>
  <c r="J1405" i="1"/>
  <c r="G1405" i="1"/>
  <c r="P1404" i="1"/>
  <c r="J1404" i="1"/>
  <c r="G1404" i="1"/>
  <c r="P1403" i="1"/>
  <c r="J1403" i="1"/>
  <c r="G1403" i="1"/>
  <c r="P1402" i="1"/>
  <c r="J1402" i="1"/>
  <c r="G1402" i="1"/>
  <c r="AL1401" i="1"/>
  <c r="P1401" i="1"/>
  <c r="J1401" i="1"/>
  <c r="G1401" i="1"/>
  <c r="P1400" i="1"/>
  <c r="J1400" i="1"/>
  <c r="G1400" i="1"/>
  <c r="AL1399" i="1"/>
  <c r="P1399" i="1"/>
  <c r="J1399" i="1"/>
  <c r="G1399" i="1"/>
  <c r="P1398" i="1"/>
  <c r="J1398" i="1"/>
  <c r="G1398" i="1"/>
  <c r="P1397" i="1"/>
  <c r="J1397" i="1"/>
  <c r="G1397" i="1"/>
  <c r="P1396" i="1"/>
  <c r="J1396" i="1"/>
  <c r="G1396" i="1"/>
  <c r="P1395" i="1"/>
  <c r="J1395" i="1"/>
  <c r="G1395" i="1"/>
  <c r="P1394" i="1"/>
  <c r="J1394" i="1"/>
  <c r="G1394" i="1"/>
  <c r="P1393" i="1"/>
  <c r="J1393" i="1"/>
  <c r="G1393" i="1"/>
  <c r="P1392" i="1"/>
  <c r="J1392" i="1"/>
  <c r="G1392" i="1"/>
  <c r="P1391" i="1"/>
  <c r="J1391" i="1"/>
  <c r="G1391" i="1"/>
  <c r="P1390" i="1"/>
  <c r="J1390" i="1"/>
  <c r="G1390" i="1"/>
  <c r="P1389" i="1"/>
  <c r="J1389" i="1"/>
  <c r="G1389" i="1"/>
  <c r="P1388" i="1"/>
  <c r="J1388" i="1"/>
  <c r="G1388" i="1"/>
  <c r="P1387" i="1"/>
  <c r="J1387" i="1"/>
  <c r="G1387" i="1"/>
  <c r="P1386" i="1"/>
  <c r="J1386" i="1"/>
  <c r="G1386" i="1"/>
  <c r="P1385" i="1"/>
  <c r="J1385" i="1"/>
  <c r="G1385" i="1"/>
  <c r="P1384" i="1"/>
  <c r="J1384" i="1"/>
  <c r="G1384" i="1"/>
  <c r="P1383" i="1"/>
  <c r="J1383" i="1"/>
  <c r="G1383" i="1"/>
  <c r="P1382" i="1"/>
  <c r="J1382" i="1"/>
  <c r="G1382" i="1"/>
  <c r="P1381" i="1"/>
  <c r="J1381" i="1"/>
  <c r="G1381" i="1"/>
  <c r="P1380" i="1"/>
  <c r="J1380" i="1"/>
  <c r="G1380" i="1"/>
  <c r="P1379" i="1"/>
  <c r="J1379" i="1"/>
  <c r="G1379" i="1"/>
  <c r="P1378" i="1"/>
  <c r="J1378" i="1"/>
  <c r="G1378" i="1"/>
  <c r="P1377" i="1"/>
  <c r="J1377" i="1"/>
  <c r="G1377" i="1"/>
  <c r="P1376" i="1"/>
  <c r="J1376" i="1"/>
  <c r="G1376" i="1"/>
  <c r="P1375" i="1"/>
  <c r="J1375" i="1"/>
  <c r="G1375" i="1"/>
  <c r="P1374" i="1"/>
  <c r="J1374" i="1"/>
  <c r="G1374" i="1"/>
  <c r="P1373" i="1"/>
  <c r="J1373" i="1"/>
  <c r="G1373" i="1"/>
  <c r="P1372" i="1"/>
  <c r="J1372" i="1"/>
  <c r="G1372" i="1"/>
  <c r="P1371" i="1"/>
  <c r="J1371" i="1"/>
  <c r="G1371" i="1"/>
  <c r="P1370" i="1"/>
  <c r="J1370" i="1"/>
  <c r="G1370" i="1"/>
  <c r="P1369" i="1"/>
  <c r="J1369" i="1"/>
  <c r="G1369" i="1"/>
  <c r="P1368" i="1"/>
  <c r="J1368" i="1"/>
  <c r="G1368" i="1"/>
  <c r="P1367" i="1"/>
  <c r="J1367" i="1"/>
  <c r="G1367" i="1"/>
  <c r="P1366" i="1"/>
  <c r="J1366" i="1"/>
  <c r="G1366" i="1"/>
  <c r="P1365" i="1"/>
  <c r="J1365" i="1"/>
  <c r="G1365" i="1"/>
  <c r="P1364" i="1"/>
  <c r="J1364" i="1"/>
  <c r="G1364" i="1"/>
  <c r="P1363" i="1"/>
  <c r="J1363" i="1"/>
  <c r="G1363" i="1"/>
  <c r="P1362" i="1"/>
  <c r="J1362" i="1"/>
  <c r="G1362" i="1"/>
  <c r="P1361" i="1"/>
  <c r="J1361" i="1"/>
  <c r="G1361" i="1"/>
  <c r="P1360" i="1"/>
  <c r="J1360" i="1"/>
  <c r="G1360" i="1"/>
  <c r="P1359" i="1"/>
  <c r="J1359" i="1"/>
  <c r="G1359" i="1"/>
  <c r="P1358" i="1"/>
  <c r="J1358" i="1"/>
  <c r="G1358" i="1"/>
  <c r="P1357" i="1"/>
  <c r="J1357" i="1"/>
  <c r="G1357" i="1"/>
  <c r="P1356" i="1"/>
  <c r="J1356" i="1"/>
  <c r="G1356" i="1"/>
  <c r="P1355" i="1"/>
  <c r="J1355" i="1"/>
  <c r="G1355" i="1"/>
  <c r="P1354" i="1"/>
  <c r="J1354" i="1"/>
  <c r="G1354" i="1"/>
  <c r="P1353" i="1"/>
  <c r="J1353" i="1"/>
  <c r="G1353" i="1"/>
  <c r="P1352" i="1"/>
  <c r="J1352" i="1"/>
  <c r="G1352" i="1"/>
  <c r="P1351" i="1"/>
  <c r="J1351" i="1"/>
  <c r="G1351" i="1"/>
  <c r="P1350" i="1"/>
  <c r="J1350" i="1"/>
  <c r="G1350" i="1"/>
  <c r="P1349" i="1"/>
  <c r="J1349" i="1"/>
  <c r="G1349" i="1"/>
  <c r="P1348" i="1"/>
  <c r="J1348" i="1"/>
  <c r="G1348" i="1"/>
  <c r="P1347" i="1"/>
  <c r="J1347" i="1"/>
  <c r="G1347" i="1"/>
  <c r="P1346" i="1"/>
  <c r="J1346" i="1"/>
  <c r="G1346" i="1"/>
  <c r="P1345" i="1"/>
  <c r="J1345" i="1"/>
  <c r="G1345" i="1"/>
  <c r="P1344" i="1"/>
  <c r="J1344" i="1"/>
  <c r="G1344" i="1"/>
  <c r="P1343" i="1"/>
  <c r="J1343" i="1"/>
  <c r="G1343" i="1"/>
  <c r="P1342" i="1"/>
  <c r="J1342" i="1"/>
  <c r="G1342" i="1"/>
  <c r="P1341" i="1"/>
  <c r="J1341" i="1"/>
  <c r="G1341" i="1"/>
  <c r="P1340" i="1"/>
  <c r="J1340" i="1"/>
  <c r="G1340" i="1"/>
  <c r="P1339" i="1"/>
  <c r="J1339" i="1"/>
  <c r="G1339" i="1"/>
  <c r="P1338" i="1"/>
  <c r="J1338" i="1"/>
  <c r="G1338" i="1"/>
  <c r="P1337" i="1"/>
  <c r="J1337" i="1"/>
  <c r="G1337" i="1"/>
  <c r="P1336" i="1"/>
  <c r="J1336" i="1"/>
  <c r="G1336" i="1"/>
  <c r="P1335" i="1"/>
  <c r="J1335" i="1"/>
  <c r="G1335" i="1"/>
  <c r="P1334" i="1"/>
  <c r="J1334" i="1"/>
  <c r="G1334" i="1"/>
  <c r="P1333" i="1"/>
  <c r="J1333" i="1"/>
  <c r="G1333" i="1"/>
  <c r="P1332" i="1"/>
  <c r="J1332" i="1"/>
  <c r="G1332" i="1"/>
  <c r="P1331" i="1"/>
  <c r="J1331" i="1"/>
  <c r="G1331" i="1"/>
  <c r="P1330" i="1"/>
  <c r="J1330" i="1"/>
  <c r="G1330" i="1"/>
  <c r="P1329" i="1"/>
  <c r="J1329" i="1"/>
  <c r="G1329" i="1"/>
  <c r="P1328" i="1"/>
  <c r="J1328" i="1"/>
  <c r="G1328" i="1"/>
  <c r="P1327" i="1"/>
  <c r="J1327" i="1"/>
  <c r="G1327" i="1"/>
  <c r="P1326" i="1"/>
  <c r="J1326" i="1"/>
  <c r="G1326" i="1"/>
  <c r="P1325" i="1"/>
  <c r="J1325" i="1"/>
  <c r="G1325" i="1"/>
  <c r="P1324" i="1"/>
  <c r="J1324" i="1"/>
  <c r="G1324" i="1"/>
  <c r="P1323" i="1"/>
  <c r="J1323" i="1"/>
  <c r="G1323" i="1"/>
  <c r="P1322" i="1"/>
  <c r="J1322" i="1"/>
  <c r="G1322" i="1"/>
  <c r="P1321" i="1"/>
  <c r="J1321" i="1"/>
  <c r="G1321" i="1"/>
  <c r="P1320" i="1"/>
  <c r="J1320" i="1"/>
  <c r="G1320" i="1"/>
  <c r="P1319" i="1"/>
  <c r="J1319" i="1"/>
  <c r="G1319" i="1"/>
  <c r="P1318" i="1"/>
  <c r="J1318" i="1"/>
  <c r="G1318" i="1"/>
  <c r="P1317" i="1"/>
  <c r="J1317" i="1"/>
  <c r="G1317" i="1"/>
  <c r="P1316" i="1"/>
  <c r="J1316" i="1"/>
  <c r="G1316" i="1"/>
  <c r="P1315" i="1"/>
  <c r="J1315" i="1"/>
  <c r="G1315" i="1"/>
  <c r="P1314" i="1"/>
  <c r="J1314" i="1"/>
  <c r="G1314" i="1"/>
  <c r="AL1313" i="1"/>
  <c r="P1313" i="1"/>
  <c r="J1313" i="1"/>
  <c r="G1313" i="1"/>
  <c r="P1312" i="1"/>
  <c r="J1312" i="1"/>
  <c r="G1312" i="1"/>
  <c r="P1311" i="1"/>
  <c r="J1311" i="1"/>
  <c r="G1311" i="1"/>
  <c r="P1310" i="1"/>
  <c r="J1310" i="1"/>
  <c r="G1310" i="1"/>
  <c r="P1309" i="1"/>
  <c r="J1309" i="1"/>
  <c r="G1309" i="1"/>
  <c r="P1308" i="1"/>
  <c r="J1308" i="1"/>
  <c r="G1308" i="1"/>
  <c r="P1307" i="1"/>
  <c r="J1307" i="1"/>
  <c r="G1307" i="1"/>
  <c r="P1306" i="1"/>
  <c r="J1306" i="1"/>
  <c r="G1306" i="1"/>
  <c r="P1305" i="1"/>
  <c r="J1305" i="1"/>
  <c r="G1305" i="1"/>
  <c r="P1304" i="1"/>
  <c r="J1304" i="1"/>
  <c r="G1304" i="1"/>
  <c r="P1303" i="1"/>
  <c r="J1303" i="1"/>
  <c r="G1303" i="1"/>
  <c r="P1302" i="1"/>
  <c r="J1302" i="1"/>
  <c r="G1302" i="1"/>
  <c r="P1301" i="1"/>
  <c r="J1301" i="1"/>
  <c r="G1301" i="1"/>
  <c r="P1300" i="1"/>
  <c r="J1300" i="1"/>
  <c r="G1300" i="1"/>
  <c r="P1299" i="1"/>
  <c r="J1299" i="1"/>
  <c r="G1299" i="1"/>
  <c r="P1298" i="1"/>
  <c r="J1298" i="1"/>
  <c r="G1298" i="1"/>
  <c r="P1297" i="1"/>
  <c r="J1297" i="1"/>
  <c r="G1297" i="1"/>
  <c r="P1296" i="1"/>
  <c r="J1296" i="1"/>
  <c r="G1296" i="1"/>
  <c r="P1295" i="1"/>
  <c r="J1295" i="1"/>
  <c r="G1295" i="1"/>
  <c r="P1294" i="1"/>
  <c r="J1294" i="1"/>
  <c r="G1294" i="1"/>
  <c r="P1293" i="1"/>
  <c r="J1293" i="1"/>
  <c r="G1293" i="1"/>
  <c r="AL1292" i="1"/>
  <c r="P1292" i="1"/>
  <c r="J1292" i="1"/>
  <c r="G1292" i="1"/>
  <c r="P1291" i="1"/>
  <c r="J1291" i="1"/>
  <c r="G1291" i="1"/>
  <c r="P1290" i="1"/>
  <c r="J1290" i="1"/>
  <c r="G1290" i="1"/>
  <c r="P1289" i="1"/>
  <c r="J1289" i="1"/>
  <c r="G1289" i="1"/>
  <c r="P1288" i="1"/>
  <c r="J1288" i="1"/>
  <c r="G1288" i="1"/>
  <c r="P1287" i="1"/>
  <c r="J1287" i="1"/>
  <c r="G1287" i="1"/>
  <c r="P1286" i="1"/>
  <c r="J1286" i="1"/>
  <c r="G1286" i="1"/>
  <c r="P1285" i="1"/>
  <c r="J1285" i="1"/>
  <c r="G1285" i="1"/>
  <c r="J1284" i="1"/>
  <c r="G1284" i="1"/>
  <c r="P1283" i="1"/>
  <c r="J1283" i="1"/>
  <c r="G1283" i="1"/>
  <c r="P1282" i="1"/>
  <c r="J1282" i="1"/>
  <c r="G1282" i="1"/>
  <c r="P1281" i="1"/>
  <c r="J1281" i="1"/>
  <c r="G1281" i="1"/>
  <c r="P1280" i="1"/>
  <c r="J1280" i="1"/>
  <c r="G1280" i="1"/>
  <c r="P1279" i="1"/>
  <c r="J1279" i="1"/>
  <c r="G1279" i="1"/>
  <c r="P1278" i="1"/>
  <c r="J1278" i="1"/>
  <c r="G1278" i="1"/>
  <c r="P1277" i="1"/>
  <c r="J1277" i="1"/>
  <c r="G1277" i="1"/>
  <c r="P1276" i="1"/>
  <c r="J1276" i="1"/>
  <c r="G1276" i="1"/>
  <c r="AL1275" i="1"/>
  <c r="P1275" i="1"/>
  <c r="J1275" i="1"/>
  <c r="G1275" i="1"/>
  <c r="P1274" i="1"/>
  <c r="J1274" i="1"/>
  <c r="G1274" i="1"/>
  <c r="P1273" i="1"/>
  <c r="J1273" i="1"/>
  <c r="G1273" i="1"/>
  <c r="P1272" i="1"/>
  <c r="J1272" i="1"/>
  <c r="G1272" i="1"/>
  <c r="P1271" i="1"/>
  <c r="J1271" i="1"/>
  <c r="G1271" i="1"/>
  <c r="P1270" i="1"/>
  <c r="J1270" i="1"/>
  <c r="G1270" i="1"/>
  <c r="P1269" i="1"/>
  <c r="J1269" i="1"/>
  <c r="G1269" i="1"/>
  <c r="P1268" i="1"/>
  <c r="J1268" i="1"/>
  <c r="G1268" i="1"/>
  <c r="AL1267" i="1"/>
  <c r="P1267" i="1"/>
  <c r="J1267" i="1"/>
  <c r="G1267" i="1"/>
  <c r="P1266" i="1"/>
  <c r="J1266" i="1"/>
  <c r="G1266" i="1"/>
  <c r="P1265" i="1"/>
  <c r="J1265" i="1"/>
  <c r="G1265" i="1"/>
  <c r="P1264" i="1"/>
  <c r="J1264" i="1"/>
  <c r="G1264" i="1"/>
  <c r="P1263" i="1"/>
  <c r="J1263" i="1"/>
  <c r="G1263" i="1"/>
  <c r="P1262" i="1"/>
  <c r="J1262" i="1"/>
  <c r="G1262" i="1"/>
  <c r="P1261" i="1"/>
  <c r="J1261" i="1"/>
  <c r="G1261" i="1"/>
  <c r="P1260" i="1"/>
  <c r="J1260" i="1"/>
  <c r="G1260" i="1"/>
  <c r="P1259" i="1"/>
  <c r="J1259" i="1"/>
  <c r="G1259" i="1"/>
  <c r="P1258" i="1"/>
  <c r="J1258" i="1"/>
  <c r="G1258" i="1"/>
  <c r="P1257" i="1"/>
  <c r="J1257" i="1"/>
  <c r="G1257" i="1"/>
  <c r="P1256" i="1"/>
  <c r="J1256" i="1"/>
  <c r="G1256" i="1"/>
  <c r="P1255" i="1"/>
  <c r="J1255" i="1"/>
  <c r="G1255" i="1"/>
  <c r="P1254" i="1"/>
  <c r="J1254" i="1"/>
  <c r="G1254" i="1"/>
  <c r="P1253" i="1"/>
  <c r="J1253" i="1"/>
  <c r="G1253" i="1"/>
  <c r="P1252" i="1"/>
  <c r="J1252" i="1"/>
  <c r="G1252" i="1"/>
  <c r="P1251" i="1"/>
  <c r="J1251" i="1"/>
  <c r="G1251" i="1"/>
  <c r="P1250" i="1"/>
  <c r="J1250" i="1"/>
  <c r="G1250" i="1"/>
  <c r="P1249" i="1"/>
  <c r="J1249" i="1"/>
  <c r="G1249" i="1"/>
  <c r="P1248" i="1"/>
  <c r="J1248" i="1"/>
  <c r="G1248" i="1"/>
  <c r="P1247" i="1"/>
  <c r="J1247" i="1"/>
  <c r="G1247" i="1"/>
  <c r="P1246" i="1"/>
  <c r="J1246" i="1"/>
  <c r="G1246" i="1"/>
  <c r="G1245" i="1"/>
  <c r="J1244" i="1"/>
  <c r="G1244" i="1"/>
  <c r="P1243" i="1"/>
  <c r="J1243" i="1"/>
  <c r="G1243" i="1"/>
  <c r="P1242" i="1"/>
  <c r="J1242" i="1"/>
  <c r="G1242" i="1"/>
  <c r="P1241" i="1"/>
  <c r="J1241" i="1"/>
  <c r="G1241" i="1"/>
  <c r="P1240" i="1"/>
  <c r="J1240" i="1"/>
  <c r="G1240" i="1"/>
  <c r="P1239" i="1"/>
  <c r="J1239" i="1"/>
  <c r="G1239" i="1"/>
  <c r="J1238" i="1"/>
  <c r="G1238" i="1"/>
  <c r="P1237" i="1"/>
  <c r="J1237" i="1"/>
  <c r="G1237" i="1"/>
  <c r="P1236" i="1"/>
  <c r="J1236" i="1"/>
  <c r="G1236" i="1"/>
  <c r="P1235" i="1"/>
  <c r="J1235" i="1"/>
  <c r="G1235" i="1"/>
  <c r="P1234" i="1"/>
  <c r="J1234" i="1"/>
  <c r="G1234" i="1"/>
  <c r="P1233" i="1"/>
  <c r="J1233" i="1"/>
  <c r="G1233" i="1"/>
  <c r="P1232" i="1"/>
  <c r="J1232" i="1"/>
  <c r="G1232" i="1"/>
  <c r="AL1231" i="1"/>
  <c r="P1231" i="1"/>
  <c r="J1231" i="1"/>
  <c r="G1231" i="1"/>
  <c r="P1230" i="1"/>
  <c r="J1230" i="1"/>
  <c r="G1230" i="1"/>
  <c r="P1229" i="1"/>
  <c r="J1229" i="1"/>
  <c r="G1229" i="1"/>
  <c r="P1228" i="1"/>
  <c r="J1228" i="1"/>
  <c r="G1228" i="1"/>
  <c r="P1227" i="1"/>
  <c r="J1227" i="1"/>
  <c r="G1227" i="1"/>
  <c r="P1226" i="1"/>
  <c r="J1226" i="1"/>
  <c r="G1226" i="1"/>
  <c r="AL1225" i="1"/>
  <c r="P1225" i="1"/>
  <c r="J1225" i="1"/>
  <c r="G1225" i="1"/>
  <c r="P1224" i="1"/>
  <c r="J1224" i="1"/>
  <c r="G1224" i="1"/>
  <c r="P1223" i="1"/>
  <c r="J1223" i="1"/>
  <c r="G1223" i="1"/>
  <c r="P1222" i="1"/>
  <c r="J1222" i="1"/>
  <c r="G1222" i="1"/>
  <c r="P1221" i="1"/>
  <c r="J1221" i="1"/>
  <c r="G1221" i="1"/>
  <c r="P1220" i="1"/>
  <c r="J1220" i="1"/>
  <c r="G1220" i="1"/>
  <c r="P1219" i="1"/>
  <c r="J1219" i="1"/>
  <c r="G1219" i="1"/>
  <c r="P1218" i="1"/>
  <c r="J1218" i="1"/>
  <c r="G1218" i="1"/>
  <c r="P1217" i="1"/>
  <c r="J1217" i="1"/>
  <c r="G1217" i="1"/>
  <c r="P1216" i="1"/>
  <c r="J1216" i="1"/>
  <c r="G1216" i="1"/>
  <c r="AL1215" i="1"/>
  <c r="P1215" i="1"/>
  <c r="J1215" i="1"/>
  <c r="G1215" i="1"/>
  <c r="P1214" i="1"/>
  <c r="J1214" i="1"/>
  <c r="G1214" i="1"/>
  <c r="P1213" i="1"/>
  <c r="J1213" i="1"/>
  <c r="G1213" i="1"/>
  <c r="P1212" i="1"/>
  <c r="J1212" i="1"/>
  <c r="G1212" i="1"/>
  <c r="P1211" i="1"/>
  <c r="J1211" i="1"/>
  <c r="G1211" i="1"/>
  <c r="P1210" i="1"/>
  <c r="J1210" i="1"/>
  <c r="G1210" i="1"/>
  <c r="P1209" i="1"/>
  <c r="J1209" i="1"/>
  <c r="G1209" i="1"/>
  <c r="P1208" i="1"/>
  <c r="J1208" i="1"/>
  <c r="G1208" i="1"/>
  <c r="P1207" i="1"/>
  <c r="J1207" i="1"/>
  <c r="G1207" i="1"/>
  <c r="P1206" i="1"/>
  <c r="J1206" i="1"/>
  <c r="G1206" i="1"/>
  <c r="P1205" i="1"/>
  <c r="J1205" i="1"/>
  <c r="G1205" i="1"/>
  <c r="P1204" i="1"/>
  <c r="J1204" i="1"/>
  <c r="G1204" i="1"/>
  <c r="P1203" i="1"/>
  <c r="J1203" i="1"/>
  <c r="G1203" i="1"/>
  <c r="P1202" i="1"/>
  <c r="J1202" i="1"/>
  <c r="G1202" i="1"/>
  <c r="P1201" i="1"/>
  <c r="J1201" i="1"/>
  <c r="G1201" i="1"/>
  <c r="P1200" i="1"/>
  <c r="J1200" i="1"/>
  <c r="G1200" i="1"/>
  <c r="P1199" i="1"/>
  <c r="J1199" i="1"/>
  <c r="G1199" i="1"/>
  <c r="P1198" i="1"/>
  <c r="J1198" i="1"/>
  <c r="G1198" i="1"/>
  <c r="AL1197" i="1"/>
  <c r="P1197" i="1"/>
  <c r="J1197" i="1"/>
  <c r="G1197" i="1"/>
  <c r="P1196" i="1"/>
  <c r="J1196" i="1"/>
  <c r="G1196" i="1"/>
  <c r="P1195" i="1"/>
  <c r="J1195" i="1"/>
  <c r="G1195" i="1"/>
  <c r="P1194" i="1"/>
  <c r="J1194" i="1"/>
  <c r="G1194" i="1"/>
  <c r="P1193" i="1"/>
  <c r="J1193" i="1"/>
  <c r="G1193" i="1"/>
  <c r="P1192" i="1"/>
  <c r="J1192" i="1"/>
  <c r="G1192" i="1"/>
  <c r="P1191" i="1"/>
  <c r="J1191" i="1"/>
  <c r="G1191" i="1"/>
  <c r="P1190" i="1"/>
  <c r="J1190" i="1"/>
  <c r="G1190" i="1"/>
  <c r="P1189" i="1"/>
  <c r="J1189" i="1"/>
  <c r="G1189" i="1"/>
  <c r="P1188" i="1"/>
  <c r="J1188" i="1"/>
  <c r="G1188" i="1"/>
  <c r="P1187" i="1"/>
  <c r="J1187" i="1"/>
  <c r="G1187" i="1"/>
  <c r="P1186" i="1"/>
  <c r="J1186" i="1"/>
  <c r="G1186" i="1"/>
  <c r="P1185" i="1"/>
  <c r="J1185" i="1"/>
  <c r="G1185" i="1"/>
  <c r="P1184" i="1"/>
  <c r="J1184" i="1"/>
  <c r="G1184" i="1"/>
  <c r="P1183" i="1"/>
  <c r="J1183" i="1"/>
  <c r="G1183" i="1"/>
  <c r="P1182" i="1"/>
  <c r="J1182" i="1"/>
  <c r="G1182" i="1"/>
  <c r="P1181" i="1"/>
  <c r="J1181" i="1"/>
  <c r="G1181" i="1"/>
  <c r="P1180" i="1"/>
  <c r="J1180" i="1"/>
  <c r="G1180" i="1"/>
  <c r="P1179" i="1"/>
  <c r="J1179" i="1"/>
  <c r="G1179" i="1"/>
  <c r="P1178" i="1"/>
  <c r="J1178" i="1"/>
  <c r="G1178" i="1"/>
  <c r="P1177" i="1"/>
  <c r="J1177" i="1"/>
  <c r="G1177" i="1"/>
  <c r="P1176" i="1"/>
  <c r="J1176" i="1"/>
  <c r="G1176" i="1"/>
  <c r="AL1175" i="1"/>
  <c r="P1175" i="1"/>
  <c r="J1175" i="1"/>
  <c r="G1175" i="1"/>
  <c r="P1174" i="1"/>
  <c r="J1174" i="1"/>
  <c r="G1174" i="1"/>
  <c r="P1173" i="1"/>
  <c r="J1173" i="1"/>
  <c r="G1173" i="1"/>
  <c r="P1172" i="1"/>
  <c r="J1172" i="1"/>
  <c r="G1172" i="1"/>
  <c r="P1171" i="1"/>
  <c r="J1171" i="1"/>
  <c r="G1171" i="1"/>
  <c r="P1170" i="1"/>
  <c r="J1170" i="1"/>
  <c r="G1170" i="1"/>
  <c r="P1169" i="1"/>
  <c r="J1169" i="1"/>
  <c r="G1169" i="1"/>
  <c r="P1168" i="1"/>
  <c r="J1168" i="1"/>
  <c r="G1168" i="1"/>
  <c r="P1167" i="1"/>
  <c r="J1167" i="1"/>
  <c r="G1167" i="1"/>
  <c r="P1166" i="1"/>
  <c r="J1166" i="1"/>
  <c r="G1166" i="1"/>
  <c r="P1165" i="1"/>
  <c r="J1165" i="1"/>
  <c r="G1165" i="1"/>
  <c r="AL1164" i="1"/>
  <c r="P1164" i="1"/>
  <c r="J1164" i="1"/>
  <c r="G1164" i="1"/>
  <c r="P1163" i="1"/>
  <c r="J1163" i="1"/>
  <c r="G1163" i="1"/>
  <c r="P1162" i="1"/>
  <c r="J1162" i="1"/>
  <c r="G1162" i="1"/>
  <c r="P1161" i="1"/>
  <c r="J1161" i="1"/>
  <c r="G1161" i="1"/>
  <c r="P1160" i="1"/>
  <c r="J1160" i="1"/>
  <c r="G1160" i="1"/>
  <c r="AL1159" i="1"/>
  <c r="P1159" i="1"/>
  <c r="J1159" i="1"/>
  <c r="G1159" i="1"/>
  <c r="P1158" i="1"/>
  <c r="J1158" i="1"/>
  <c r="G1158" i="1"/>
  <c r="P1157" i="1"/>
  <c r="J1157" i="1"/>
  <c r="G1157" i="1"/>
  <c r="P1156" i="1"/>
  <c r="J1156" i="1"/>
  <c r="G1156" i="1"/>
  <c r="P1155" i="1"/>
  <c r="J1155" i="1"/>
  <c r="G1155" i="1"/>
  <c r="P1154" i="1"/>
  <c r="J1154" i="1"/>
  <c r="G1154" i="1"/>
  <c r="AL1153" i="1"/>
  <c r="J1153" i="1"/>
  <c r="G1153" i="1"/>
  <c r="P1152" i="1"/>
  <c r="J1152" i="1"/>
  <c r="G1152" i="1"/>
  <c r="AL1151" i="1"/>
  <c r="P1151" i="1"/>
  <c r="J1151" i="1"/>
  <c r="G1151" i="1"/>
  <c r="P1150" i="1"/>
  <c r="J1150" i="1"/>
  <c r="G1150" i="1"/>
  <c r="P1149" i="1"/>
  <c r="J1149" i="1"/>
  <c r="G1149" i="1"/>
  <c r="P1148" i="1"/>
  <c r="J1148" i="1"/>
  <c r="G1148" i="1"/>
  <c r="P1147" i="1"/>
  <c r="J1147" i="1"/>
  <c r="G1147" i="1"/>
  <c r="AL1146" i="1"/>
  <c r="G1146" i="1"/>
  <c r="G1145" i="1"/>
  <c r="P1144" i="1"/>
  <c r="J1144" i="1"/>
  <c r="G1144" i="1"/>
  <c r="P1143" i="1"/>
  <c r="J1143" i="1"/>
  <c r="G1143" i="1"/>
  <c r="P1142" i="1"/>
  <c r="J1142" i="1"/>
  <c r="G1142" i="1"/>
  <c r="P1141" i="1"/>
  <c r="J1141" i="1"/>
  <c r="G1141" i="1"/>
  <c r="P1140" i="1"/>
  <c r="J1140" i="1"/>
  <c r="G1140" i="1"/>
  <c r="AL1139" i="1"/>
  <c r="P1139" i="1"/>
  <c r="J1139" i="1"/>
  <c r="G1139" i="1"/>
  <c r="P1138" i="1"/>
  <c r="J1138" i="1"/>
  <c r="G1138" i="1"/>
  <c r="P1137" i="1"/>
  <c r="J1137" i="1"/>
  <c r="G1137" i="1"/>
  <c r="AL1136" i="1"/>
  <c r="P1136" i="1"/>
  <c r="J1136" i="1"/>
  <c r="G1136" i="1"/>
  <c r="P1135" i="1"/>
  <c r="J1135" i="1"/>
  <c r="G1135" i="1"/>
  <c r="AL1134" i="1"/>
  <c r="P1134" i="1"/>
  <c r="J1134" i="1"/>
  <c r="G1134" i="1"/>
  <c r="P1133" i="1"/>
  <c r="J1133" i="1"/>
  <c r="G1133" i="1"/>
  <c r="P1132" i="1"/>
  <c r="J1132" i="1"/>
  <c r="G1132" i="1"/>
  <c r="P1131" i="1"/>
  <c r="J1131" i="1"/>
  <c r="G1131" i="1"/>
  <c r="P1130" i="1"/>
  <c r="J1130" i="1"/>
  <c r="G1130" i="1"/>
  <c r="P1129" i="1"/>
  <c r="J1129" i="1"/>
  <c r="G1129" i="1"/>
  <c r="P1128" i="1"/>
  <c r="J1128" i="1"/>
  <c r="G1128" i="1"/>
  <c r="P1127" i="1"/>
  <c r="J1127" i="1"/>
  <c r="G1127" i="1"/>
  <c r="P1126" i="1"/>
  <c r="J1126" i="1"/>
  <c r="G1126" i="1"/>
  <c r="P1125" i="1"/>
  <c r="J1125" i="1"/>
  <c r="G1125" i="1"/>
  <c r="AL1124" i="1"/>
  <c r="P1124" i="1"/>
  <c r="J1124" i="1"/>
  <c r="G1124" i="1"/>
  <c r="AL1123" i="1"/>
  <c r="J1123" i="1"/>
  <c r="G1123" i="1"/>
  <c r="P1122" i="1"/>
  <c r="J1122" i="1"/>
  <c r="G1122" i="1"/>
  <c r="P1121" i="1"/>
  <c r="J1121" i="1"/>
  <c r="G1121" i="1"/>
  <c r="P1120" i="1"/>
  <c r="J1120" i="1"/>
  <c r="G1120" i="1"/>
  <c r="P1119" i="1"/>
  <c r="J1119" i="1"/>
  <c r="G1119" i="1"/>
  <c r="P1118" i="1"/>
  <c r="J1118" i="1"/>
  <c r="G1118" i="1"/>
  <c r="AL1117" i="1"/>
  <c r="G1117" i="1"/>
  <c r="AL1116" i="1"/>
  <c r="G1116" i="1"/>
  <c r="P1115" i="1"/>
  <c r="J1115" i="1"/>
  <c r="G1115" i="1"/>
  <c r="P1114" i="1"/>
  <c r="J1114" i="1"/>
  <c r="G1114" i="1"/>
  <c r="P1113" i="1"/>
  <c r="J1113" i="1"/>
  <c r="G1113" i="1"/>
  <c r="P1112" i="1"/>
  <c r="J1112" i="1"/>
  <c r="G1112" i="1"/>
  <c r="P1111" i="1"/>
  <c r="J1111" i="1"/>
  <c r="G1111" i="1"/>
  <c r="P1110" i="1"/>
  <c r="J1110" i="1"/>
  <c r="G1110" i="1"/>
  <c r="P1109" i="1"/>
  <c r="J1109" i="1"/>
  <c r="G1109" i="1"/>
  <c r="AL1108" i="1"/>
  <c r="P1108" i="1"/>
  <c r="J1108" i="1"/>
  <c r="G1108" i="1"/>
  <c r="P1107" i="1"/>
  <c r="J1107" i="1"/>
  <c r="G1107" i="1"/>
  <c r="P1106" i="1"/>
  <c r="J1106" i="1"/>
  <c r="G1106" i="1"/>
  <c r="P1105" i="1"/>
  <c r="J1105" i="1"/>
  <c r="G1105" i="1"/>
  <c r="P1104" i="1"/>
  <c r="J1104" i="1"/>
  <c r="G1104" i="1"/>
  <c r="P1103" i="1"/>
  <c r="J1103" i="1"/>
  <c r="G1103" i="1"/>
  <c r="P1102" i="1"/>
  <c r="J1102" i="1"/>
  <c r="G1102" i="1"/>
  <c r="P1101" i="1"/>
  <c r="J1101" i="1"/>
  <c r="G1101" i="1"/>
  <c r="P1100" i="1"/>
  <c r="J1100" i="1"/>
  <c r="G1100" i="1"/>
  <c r="P1099" i="1"/>
  <c r="J1099" i="1"/>
  <c r="G1099" i="1"/>
  <c r="P1098" i="1"/>
  <c r="J1098" i="1"/>
  <c r="G1098" i="1"/>
  <c r="P1097" i="1"/>
  <c r="J1097" i="1"/>
  <c r="G1097" i="1"/>
  <c r="P1096" i="1"/>
  <c r="J1096" i="1"/>
  <c r="G1096" i="1"/>
  <c r="P1095" i="1"/>
  <c r="J1095" i="1"/>
  <c r="G1095" i="1"/>
  <c r="P1094" i="1"/>
  <c r="J1094" i="1"/>
  <c r="G1094" i="1"/>
  <c r="P1093" i="1"/>
  <c r="J1093" i="1"/>
  <c r="G1093" i="1"/>
  <c r="P1092" i="1"/>
  <c r="J1092" i="1"/>
  <c r="G1092" i="1"/>
  <c r="P1091" i="1"/>
  <c r="J1091" i="1"/>
  <c r="G1091" i="1"/>
  <c r="P1090" i="1"/>
  <c r="J1090" i="1"/>
  <c r="G1090" i="1"/>
  <c r="P1089" i="1"/>
  <c r="J1089" i="1"/>
  <c r="G1089" i="1"/>
  <c r="P1088" i="1"/>
  <c r="J1088" i="1"/>
  <c r="G1088" i="1"/>
  <c r="AL1087" i="1"/>
  <c r="P1087" i="1"/>
  <c r="J1087" i="1"/>
  <c r="G1087" i="1"/>
  <c r="P1086" i="1"/>
  <c r="J1086" i="1"/>
  <c r="G1086" i="1"/>
  <c r="P1085" i="1"/>
  <c r="J1085" i="1"/>
  <c r="G1085" i="1"/>
  <c r="P1084" i="1"/>
  <c r="J1084" i="1"/>
  <c r="G1084" i="1"/>
  <c r="P1083" i="1"/>
  <c r="J1083" i="1"/>
  <c r="G1083" i="1"/>
  <c r="P1082" i="1"/>
  <c r="J1082" i="1"/>
  <c r="G1082" i="1"/>
  <c r="P1081" i="1"/>
  <c r="J1081" i="1"/>
  <c r="G1081" i="1"/>
  <c r="P1080" i="1"/>
  <c r="J1080" i="1"/>
  <c r="G1080" i="1"/>
  <c r="P1079" i="1"/>
  <c r="J1079" i="1"/>
  <c r="G1079" i="1"/>
  <c r="P1078" i="1"/>
  <c r="J1078" i="1"/>
  <c r="G1078" i="1"/>
  <c r="P1077" i="1"/>
  <c r="J1077" i="1"/>
  <c r="G1077" i="1"/>
  <c r="P1076" i="1"/>
  <c r="J1076" i="1"/>
  <c r="G1076" i="1"/>
  <c r="P1075" i="1"/>
  <c r="J1075" i="1"/>
  <c r="G1075" i="1"/>
  <c r="P1074" i="1"/>
  <c r="J1074" i="1"/>
  <c r="G1074" i="1"/>
  <c r="AL1073" i="1"/>
  <c r="P1073" i="1"/>
  <c r="J1073" i="1"/>
  <c r="G1073" i="1"/>
  <c r="P1072" i="1"/>
  <c r="J1072" i="1"/>
  <c r="G1072" i="1"/>
  <c r="AL1071" i="1"/>
  <c r="P1071" i="1"/>
  <c r="J1071" i="1"/>
  <c r="G1071" i="1"/>
  <c r="J1070" i="1"/>
  <c r="G1070" i="1"/>
  <c r="P1069" i="1"/>
  <c r="J1069" i="1"/>
  <c r="G1069" i="1"/>
  <c r="P1068" i="1"/>
  <c r="J1068" i="1"/>
  <c r="G1068" i="1"/>
  <c r="J1067" i="1"/>
  <c r="G1067" i="1"/>
  <c r="P1066" i="1"/>
  <c r="J1066" i="1"/>
  <c r="G1066" i="1"/>
  <c r="P1065" i="1"/>
  <c r="J1065" i="1"/>
  <c r="G1065" i="1"/>
  <c r="P1064" i="1"/>
  <c r="J1064" i="1"/>
  <c r="G1064" i="1"/>
  <c r="P1063" i="1"/>
  <c r="J1063" i="1"/>
  <c r="G1063" i="1"/>
  <c r="P1062" i="1"/>
  <c r="J1062" i="1"/>
  <c r="G1062" i="1"/>
  <c r="P1061" i="1"/>
  <c r="J1061" i="1"/>
  <c r="G1061" i="1"/>
  <c r="P1060" i="1"/>
  <c r="J1060" i="1"/>
  <c r="G1060" i="1"/>
  <c r="P1059" i="1"/>
  <c r="J1059" i="1"/>
  <c r="G1059" i="1"/>
  <c r="P1058" i="1"/>
  <c r="J1058" i="1"/>
  <c r="G1058" i="1"/>
  <c r="P1057" i="1"/>
  <c r="J1057" i="1"/>
  <c r="G1057" i="1"/>
  <c r="P1056" i="1"/>
  <c r="J1056" i="1"/>
  <c r="G1056" i="1"/>
  <c r="P1055" i="1"/>
  <c r="J1055" i="1"/>
  <c r="G1055" i="1"/>
  <c r="P1054" i="1"/>
  <c r="J1054" i="1"/>
  <c r="G1054" i="1"/>
  <c r="P1053" i="1"/>
  <c r="J1053" i="1"/>
  <c r="G1053" i="1"/>
  <c r="P1052" i="1"/>
  <c r="J1052" i="1"/>
  <c r="G1052" i="1"/>
  <c r="P1051" i="1"/>
  <c r="J1051" i="1"/>
  <c r="G1051" i="1"/>
  <c r="P1050" i="1"/>
  <c r="J1050" i="1"/>
  <c r="G1050" i="1"/>
  <c r="P1049" i="1"/>
  <c r="J1049" i="1"/>
  <c r="G1049" i="1"/>
  <c r="P1048" i="1"/>
  <c r="J1048" i="1"/>
  <c r="G1048" i="1"/>
  <c r="AL1047" i="1"/>
  <c r="P1047" i="1"/>
  <c r="J1047" i="1"/>
  <c r="G1047" i="1"/>
  <c r="P1046" i="1"/>
  <c r="J1046" i="1"/>
  <c r="G1046" i="1"/>
  <c r="P1045" i="1"/>
  <c r="J1045" i="1"/>
  <c r="G1045" i="1"/>
  <c r="P1044" i="1"/>
  <c r="J1044" i="1"/>
  <c r="G1044" i="1"/>
  <c r="P1043" i="1"/>
  <c r="J1043" i="1"/>
  <c r="G1043" i="1"/>
  <c r="P1042" i="1"/>
  <c r="J1042" i="1"/>
  <c r="G1042" i="1"/>
  <c r="P1041" i="1"/>
  <c r="J1041" i="1"/>
  <c r="G1041" i="1"/>
  <c r="P1040" i="1"/>
  <c r="J1040" i="1"/>
  <c r="G1040" i="1"/>
  <c r="P1039" i="1"/>
  <c r="J1039" i="1"/>
  <c r="G1039" i="1"/>
  <c r="P1038" i="1"/>
  <c r="J1038" i="1"/>
  <c r="G1038" i="1"/>
  <c r="P1037" i="1"/>
  <c r="J1037" i="1"/>
  <c r="G1037" i="1"/>
  <c r="P1036" i="1"/>
  <c r="J1036" i="1"/>
  <c r="G1036" i="1"/>
  <c r="P1035" i="1"/>
  <c r="J1035" i="1"/>
  <c r="G1035" i="1"/>
  <c r="P1034" i="1"/>
  <c r="J1034" i="1"/>
  <c r="G1034" i="1"/>
  <c r="P1033" i="1"/>
  <c r="J1033" i="1"/>
  <c r="G1033" i="1"/>
  <c r="P1032" i="1"/>
  <c r="J1032" i="1"/>
  <c r="G1032" i="1"/>
  <c r="P1031" i="1"/>
  <c r="J1031" i="1"/>
  <c r="G1031" i="1"/>
  <c r="P1030" i="1"/>
  <c r="J1030" i="1"/>
  <c r="G1030" i="1"/>
  <c r="P1029" i="1"/>
  <c r="J1029" i="1"/>
  <c r="G1029" i="1"/>
  <c r="P1028" i="1"/>
  <c r="J1028" i="1"/>
  <c r="G1028" i="1"/>
  <c r="AL1027" i="1"/>
  <c r="P1027" i="1"/>
  <c r="J1027" i="1"/>
  <c r="G1027" i="1"/>
  <c r="P1026" i="1"/>
  <c r="J1026" i="1"/>
  <c r="G1026" i="1"/>
  <c r="P1025" i="1"/>
  <c r="J1025" i="1"/>
  <c r="G1025" i="1"/>
  <c r="AL1024" i="1"/>
  <c r="J1024" i="1"/>
  <c r="G1024" i="1"/>
  <c r="AL1023" i="1"/>
  <c r="P1023" i="1"/>
  <c r="J1023" i="1"/>
  <c r="G1023" i="1"/>
  <c r="P1022" i="1"/>
  <c r="J1022" i="1"/>
  <c r="G1022" i="1"/>
  <c r="P1021" i="1"/>
  <c r="J1021" i="1"/>
  <c r="G1021" i="1"/>
  <c r="P1020" i="1"/>
  <c r="J1020" i="1"/>
  <c r="G1020" i="1"/>
  <c r="P1019" i="1"/>
  <c r="J1019" i="1"/>
  <c r="G1019" i="1"/>
  <c r="P1018" i="1"/>
  <c r="J1018" i="1"/>
  <c r="G1018" i="1"/>
  <c r="P1017" i="1"/>
  <c r="J1017" i="1"/>
  <c r="G1017" i="1"/>
  <c r="AL1016" i="1"/>
  <c r="P1016" i="1"/>
  <c r="J1016" i="1"/>
  <c r="G1016" i="1"/>
  <c r="P1015" i="1"/>
  <c r="J1015" i="1"/>
  <c r="G1015" i="1"/>
  <c r="AL1014" i="1"/>
  <c r="P1014" i="1"/>
  <c r="J1014" i="1"/>
  <c r="G1014" i="1"/>
  <c r="P1013" i="1"/>
  <c r="J1013" i="1"/>
  <c r="G1013" i="1"/>
  <c r="P1012" i="1"/>
  <c r="J1012" i="1"/>
  <c r="G1012" i="1"/>
  <c r="P1011" i="1"/>
  <c r="J1011" i="1"/>
  <c r="G1011" i="1"/>
  <c r="P1010" i="1"/>
  <c r="J1010" i="1"/>
  <c r="G1010" i="1"/>
  <c r="P1009" i="1"/>
  <c r="J1009" i="1"/>
  <c r="G1009" i="1"/>
  <c r="P1008" i="1"/>
  <c r="J1008" i="1"/>
  <c r="G1008" i="1"/>
  <c r="P1007" i="1"/>
  <c r="J1007" i="1"/>
  <c r="G1007" i="1"/>
  <c r="P1006" i="1"/>
  <c r="J1006" i="1"/>
  <c r="G1006" i="1"/>
  <c r="P1005" i="1"/>
  <c r="J1005" i="1"/>
  <c r="G1005" i="1"/>
  <c r="P1004" i="1"/>
  <c r="J1004" i="1"/>
  <c r="G1004" i="1"/>
  <c r="P1003" i="1"/>
  <c r="J1003" i="1"/>
  <c r="G1003" i="1"/>
  <c r="P1002" i="1"/>
  <c r="J1002" i="1"/>
  <c r="G1002" i="1"/>
  <c r="P1001" i="1"/>
  <c r="J1001" i="1"/>
  <c r="G1001" i="1"/>
  <c r="P1000" i="1"/>
  <c r="J1000" i="1"/>
  <c r="G1000" i="1"/>
  <c r="P999" i="1"/>
  <c r="J999" i="1"/>
  <c r="G999" i="1"/>
  <c r="AL998" i="1"/>
  <c r="J998" i="1"/>
  <c r="G998" i="1"/>
  <c r="AL997" i="1"/>
  <c r="P997" i="1"/>
  <c r="J997" i="1"/>
  <c r="G997" i="1"/>
  <c r="P996" i="1"/>
  <c r="J996" i="1"/>
  <c r="G996" i="1"/>
  <c r="AL995" i="1"/>
  <c r="P995" i="1"/>
  <c r="J995" i="1"/>
  <c r="G995" i="1"/>
  <c r="P994" i="1"/>
  <c r="J994" i="1"/>
  <c r="G994" i="1"/>
  <c r="P993" i="1"/>
  <c r="J993" i="1"/>
  <c r="G993" i="1"/>
  <c r="P992" i="1"/>
  <c r="J992" i="1"/>
  <c r="G992" i="1"/>
  <c r="P991" i="1"/>
  <c r="J991" i="1"/>
  <c r="G991" i="1"/>
  <c r="P990" i="1"/>
  <c r="J990" i="1"/>
  <c r="G990" i="1"/>
  <c r="P989" i="1"/>
  <c r="J989" i="1"/>
  <c r="G989" i="1"/>
  <c r="P988" i="1"/>
  <c r="J988" i="1"/>
  <c r="G988" i="1"/>
  <c r="P987" i="1"/>
  <c r="J987" i="1"/>
  <c r="G987" i="1"/>
  <c r="P986" i="1"/>
  <c r="J986" i="1"/>
  <c r="G986" i="1"/>
  <c r="P985" i="1"/>
  <c r="J985" i="1"/>
  <c r="G985" i="1"/>
  <c r="AL984" i="1"/>
  <c r="P984" i="1"/>
  <c r="J984" i="1"/>
  <c r="G984" i="1"/>
  <c r="P983" i="1"/>
  <c r="J983" i="1"/>
  <c r="G983" i="1"/>
  <c r="P982" i="1"/>
  <c r="J982" i="1"/>
  <c r="G982" i="1"/>
  <c r="P981" i="1"/>
  <c r="J981" i="1"/>
  <c r="G981" i="1"/>
  <c r="P980" i="1"/>
  <c r="J980" i="1"/>
  <c r="G980" i="1"/>
  <c r="P979" i="1"/>
  <c r="J979" i="1"/>
  <c r="G979" i="1"/>
  <c r="P978" i="1"/>
  <c r="J978" i="1"/>
  <c r="G978" i="1"/>
  <c r="P977" i="1"/>
  <c r="J977" i="1"/>
  <c r="G977" i="1"/>
  <c r="P976" i="1"/>
  <c r="J976" i="1"/>
  <c r="G976" i="1"/>
  <c r="P975" i="1"/>
  <c r="J975" i="1"/>
  <c r="G975" i="1"/>
  <c r="P974" i="1"/>
  <c r="J974" i="1"/>
  <c r="G974" i="1"/>
  <c r="P973" i="1"/>
  <c r="J973" i="1"/>
  <c r="G973" i="1"/>
  <c r="P972" i="1"/>
  <c r="J972" i="1"/>
  <c r="G972" i="1"/>
  <c r="P971" i="1"/>
  <c r="J971" i="1"/>
  <c r="G971" i="1"/>
  <c r="P970" i="1"/>
  <c r="J970" i="1"/>
  <c r="G970" i="1"/>
  <c r="P969" i="1"/>
  <c r="J969" i="1"/>
  <c r="G969" i="1"/>
  <c r="P968" i="1"/>
  <c r="J968" i="1"/>
  <c r="G968" i="1"/>
  <c r="P967" i="1"/>
  <c r="J967" i="1"/>
  <c r="G967" i="1"/>
  <c r="P966" i="1"/>
  <c r="J966" i="1"/>
  <c r="G966" i="1"/>
  <c r="P965" i="1"/>
  <c r="J965" i="1"/>
  <c r="G965" i="1"/>
  <c r="P964" i="1"/>
  <c r="J964" i="1"/>
  <c r="G964" i="1"/>
  <c r="P963" i="1"/>
  <c r="J963" i="1"/>
  <c r="G963" i="1"/>
  <c r="P962" i="1"/>
  <c r="J962" i="1"/>
  <c r="G962" i="1"/>
  <c r="P961" i="1"/>
  <c r="J961" i="1"/>
  <c r="G961" i="1"/>
  <c r="P960" i="1"/>
  <c r="J960" i="1"/>
  <c r="G960" i="1"/>
  <c r="P959" i="1"/>
  <c r="J959" i="1"/>
  <c r="G959" i="1"/>
  <c r="P958" i="1"/>
  <c r="J958" i="1"/>
  <c r="G958" i="1"/>
  <c r="P957" i="1"/>
  <c r="J957" i="1"/>
  <c r="G957" i="1"/>
  <c r="P956" i="1"/>
  <c r="J956" i="1"/>
  <c r="G956" i="1"/>
  <c r="P955" i="1"/>
  <c r="J955" i="1"/>
  <c r="G955" i="1"/>
  <c r="AL954" i="1"/>
  <c r="J954" i="1"/>
  <c r="G954" i="1"/>
  <c r="P953" i="1"/>
  <c r="J953" i="1"/>
  <c r="G953" i="1"/>
  <c r="AL952" i="1"/>
  <c r="P952" i="1"/>
  <c r="J952" i="1"/>
  <c r="G952" i="1"/>
  <c r="P951" i="1"/>
  <c r="J951" i="1"/>
  <c r="G951" i="1"/>
  <c r="P950" i="1"/>
  <c r="J950" i="1"/>
  <c r="G950" i="1"/>
  <c r="P949" i="1"/>
  <c r="J949" i="1"/>
  <c r="G949" i="1"/>
  <c r="P948" i="1"/>
  <c r="J948" i="1"/>
  <c r="G948" i="1"/>
  <c r="P947" i="1"/>
  <c r="J947" i="1"/>
  <c r="G947" i="1"/>
  <c r="AL946" i="1"/>
  <c r="P946" i="1"/>
  <c r="J946" i="1"/>
  <c r="G946" i="1"/>
  <c r="P945" i="1"/>
  <c r="J945" i="1"/>
  <c r="G945" i="1"/>
  <c r="P944" i="1"/>
  <c r="J944" i="1"/>
  <c r="G944" i="1"/>
  <c r="AL943" i="1"/>
  <c r="P943" i="1"/>
  <c r="J943" i="1"/>
  <c r="G943" i="1"/>
  <c r="P942" i="1"/>
  <c r="J942" i="1"/>
  <c r="G942" i="1"/>
  <c r="AL941" i="1"/>
  <c r="P941" i="1"/>
  <c r="J941" i="1"/>
  <c r="G941" i="1"/>
  <c r="P940" i="1"/>
  <c r="J940" i="1"/>
  <c r="G940" i="1"/>
  <c r="P939" i="1"/>
  <c r="J939" i="1"/>
  <c r="G939" i="1"/>
  <c r="P938" i="1"/>
  <c r="J938" i="1"/>
  <c r="G938" i="1"/>
  <c r="J937" i="1"/>
  <c r="G937" i="1"/>
  <c r="P936" i="1"/>
  <c r="J936" i="1"/>
  <c r="G936" i="1"/>
  <c r="P935" i="1"/>
  <c r="J935" i="1"/>
  <c r="G935" i="1"/>
  <c r="P934" i="1"/>
  <c r="J934" i="1"/>
  <c r="G934" i="1"/>
  <c r="P933" i="1"/>
  <c r="J933" i="1"/>
  <c r="G933" i="1"/>
  <c r="P932" i="1"/>
  <c r="J932" i="1"/>
  <c r="G932" i="1"/>
  <c r="P931" i="1"/>
  <c r="J931" i="1"/>
  <c r="G931" i="1"/>
  <c r="P930" i="1"/>
  <c r="J930" i="1"/>
  <c r="G930" i="1"/>
  <c r="P929" i="1"/>
  <c r="J929" i="1"/>
  <c r="G929" i="1"/>
  <c r="P928" i="1"/>
  <c r="J928" i="1"/>
  <c r="G928" i="1"/>
  <c r="P927" i="1"/>
  <c r="J927" i="1"/>
  <c r="G927" i="1"/>
  <c r="P926" i="1"/>
  <c r="J926" i="1"/>
  <c r="G926" i="1"/>
  <c r="P925" i="1"/>
  <c r="J925" i="1"/>
  <c r="G925" i="1"/>
  <c r="P924" i="1"/>
  <c r="J924" i="1"/>
  <c r="G924" i="1"/>
  <c r="P923" i="1"/>
  <c r="J923" i="1"/>
  <c r="G923" i="1"/>
  <c r="P922" i="1"/>
  <c r="J922" i="1"/>
  <c r="G922" i="1"/>
  <c r="P921" i="1"/>
  <c r="J921" i="1"/>
  <c r="G921" i="1"/>
  <c r="P920" i="1"/>
  <c r="J920" i="1"/>
  <c r="G920" i="1"/>
  <c r="P919" i="1"/>
  <c r="J919" i="1"/>
  <c r="G919" i="1"/>
  <c r="AL918" i="1"/>
  <c r="J918" i="1"/>
  <c r="G918" i="1"/>
  <c r="P917" i="1"/>
  <c r="J917" i="1"/>
  <c r="G917" i="1"/>
  <c r="P916" i="1"/>
  <c r="J916" i="1"/>
  <c r="G916" i="1"/>
  <c r="AL915" i="1"/>
  <c r="P915" i="1"/>
  <c r="J915" i="1"/>
  <c r="G915" i="1"/>
  <c r="P914" i="1"/>
  <c r="J914" i="1"/>
  <c r="G914" i="1"/>
  <c r="P913" i="1"/>
  <c r="J913" i="1"/>
  <c r="G913" i="1"/>
  <c r="AL912" i="1"/>
  <c r="P912" i="1"/>
  <c r="J912" i="1"/>
  <c r="G912" i="1"/>
  <c r="P911" i="1"/>
  <c r="J911" i="1"/>
  <c r="G911" i="1"/>
  <c r="P910" i="1"/>
  <c r="J910" i="1"/>
  <c r="G910" i="1"/>
  <c r="P909" i="1"/>
  <c r="J909" i="1"/>
  <c r="G909" i="1"/>
  <c r="P908" i="1"/>
  <c r="J908" i="1"/>
  <c r="G908" i="1"/>
  <c r="P907" i="1"/>
  <c r="J907" i="1"/>
  <c r="G907" i="1"/>
  <c r="P906" i="1"/>
  <c r="J906" i="1"/>
  <c r="G906" i="1"/>
  <c r="P905" i="1"/>
  <c r="J905" i="1"/>
  <c r="G905" i="1"/>
  <c r="P904" i="1"/>
  <c r="J904" i="1"/>
  <c r="G904" i="1"/>
  <c r="P903" i="1"/>
  <c r="J903" i="1"/>
  <c r="G903" i="1"/>
  <c r="P902" i="1"/>
  <c r="J902" i="1"/>
  <c r="G902" i="1"/>
  <c r="P901" i="1"/>
  <c r="J901" i="1"/>
  <c r="G901" i="1"/>
  <c r="P900" i="1"/>
  <c r="J900" i="1"/>
  <c r="G900" i="1"/>
  <c r="P899" i="1"/>
  <c r="J899" i="1"/>
  <c r="G899" i="1"/>
  <c r="P898" i="1"/>
  <c r="J898" i="1"/>
  <c r="G898" i="1"/>
  <c r="P897" i="1"/>
  <c r="J897" i="1"/>
  <c r="G897" i="1"/>
  <c r="P896" i="1"/>
  <c r="J896" i="1"/>
  <c r="G896" i="1"/>
  <c r="P895" i="1"/>
  <c r="J895" i="1"/>
  <c r="G895" i="1"/>
  <c r="P894" i="1"/>
  <c r="J894" i="1"/>
  <c r="G894" i="1"/>
  <c r="P893" i="1"/>
  <c r="J893" i="1"/>
  <c r="G893" i="1"/>
  <c r="P892" i="1"/>
  <c r="J892" i="1"/>
  <c r="G892" i="1"/>
  <c r="P891" i="1"/>
  <c r="J891" i="1"/>
  <c r="G891" i="1"/>
  <c r="AL890" i="1"/>
  <c r="P890" i="1"/>
  <c r="J890" i="1"/>
  <c r="G890" i="1"/>
  <c r="P889" i="1"/>
  <c r="J889" i="1"/>
  <c r="G889" i="1"/>
  <c r="P888" i="1"/>
  <c r="J888" i="1"/>
  <c r="G888" i="1"/>
  <c r="P887" i="1"/>
  <c r="J887" i="1"/>
  <c r="G887" i="1"/>
  <c r="P886" i="1"/>
  <c r="J886" i="1"/>
  <c r="G886" i="1"/>
  <c r="P885" i="1"/>
  <c r="J885" i="1"/>
  <c r="G885" i="1"/>
  <c r="P884" i="1"/>
  <c r="J884" i="1"/>
  <c r="G884" i="1"/>
  <c r="P883" i="1"/>
  <c r="J883" i="1"/>
  <c r="G883" i="1"/>
  <c r="P882" i="1"/>
  <c r="J882" i="1"/>
  <c r="G882" i="1"/>
  <c r="P881" i="1"/>
  <c r="J881" i="1"/>
  <c r="G881" i="1"/>
  <c r="P880" i="1"/>
  <c r="J880" i="1"/>
  <c r="G880" i="1"/>
  <c r="P879" i="1"/>
  <c r="J879" i="1"/>
  <c r="G879" i="1"/>
  <c r="P878" i="1"/>
  <c r="J878" i="1"/>
  <c r="G878" i="1"/>
  <c r="P877" i="1"/>
  <c r="J877" i="1"/>
  <c r="G877" i="1"/>
  <c r="P876" i="1"/>
  <c r="J876" i="1"/>
  <c r="G876" i="1"/>
  <c r="P875" i="1"/>
  <c r="J875" i="1"/>
  <c r="G875" i="1"/>
  <c r="P874" i="1"/>
  <c r="J874" i="1"/>
  <c r="G874" i="1"/>
  <c r="P873" i="1"/>
  <c r="J873" i="1"/>
  <c r="G873" i="1"/>
  <c r="P872" i="1"/>
  <c r="J872" i="1"/>
  <c r="G872" i="1"/>
  <c r="P871" i="1"/>
  <c r="J871" i="1"/>
  <c r="G871" i="1"/>
  <c r="P870" i="1"/>
  <c r="J870" i="1"/>
  <c r="G870" i="1"/>
  <c r="P869" i="1"/>
  <c r="J869" i="1"/>
  <c r="G869" i="1"/>
  <c r="P868" i="1"/>
  <c r="J868" i="1"/>
  <c r="G868" i="1"/>
  <c r="P867" i="1"/>
  <c r="J867" i="1"/>
  <c r="G867" i="1"/>
  <c r="P866" i="1"/>
  <c r="J866" i="1"/>
  <c r="G866" i="1"/>
  <c r="P865" i="1"/>
  <c r="J865" i="1"/>
  <c r="G865" i="1"/>
  <c r="AL864" i="1"/>
  <c r="P864" i="1"/>
  <c r="J864" i="1"/>
  <c r="G864" i="1"/>
  <c r="P863" i="1"/>
  <c r="J863" i="1"/>
  <c r="G863" i="1"/>
  <c r="P862" i="1"/>
  <c r="J862" i="1"/>
  <c r="G862" i="1"/>
  <c r="P861" i="1"/>
  <c r="J861" i="1"/>
  <c r="G861" i="1"/>
  <c r="P860" i="1"/>
  <c r="J860" i="1"/>
  <c r="G860" i="1"/>
  <c r="P859" i="1"/>
  <c r="J859" i="1"/>
  <c r="G859" i="1"/>
  <c r="P858" i="1"/>
  <c r="J858" i="1"/>
  <c r="G858" i="1"/>
  <c r="P857" i="1"/>
  <c r="J857" i="1"/>
  <c r="G857" i="1"/>
  <c r="P856" i="1"/>
  <c r="J856" i="1"/>
  <c r="G856" i="1"/>
  <c r="P855" i="1"/>
  <c r="J855" i="1"/>
  <c r="G855" i="1"/>
  <c r="P854" i="1"/>
  <c r="J854" i="1"/>
  <c r="G854" i="1"/>
  <c r="P853" i="1"/>
  <c r="J853" i="1"/>
  <c r="G853" i="1"/>
  <c r="P852" i="1"/>
  <c r="J852" i="1"/>
  <c r="G852" i="1"/>
  <c r="AL851" i="1"/>
  <c r="P851" i="1"/>
  <c r="J851" i="1"/>
  <c r="G851" i="1"/>
  <c r="P850" i="1"/>
  <c r="J850" i="1"/>
  <c r="G850" i="1"/>
  <c r="P849" i="1"/>
  <c r="J849" i="1"/>
  <c r="G849" i="1"/>
  <c r="P848" i="1"/>
  <c r="J848" i="1"/>
  <c r="G848" i="1"/>
  <c r="P847" i="1"/>
  <c r="J847" i="1"/>
  <c r="G847" i="1"/>
  <c r="P846" i="1"/>
  <c r="J846" i="1"/>
  <c r="G846" i="1"/>
  <c r="P845" i="1"/>
  <c r="J845" i="1"/>
  <c r="G845" i="1"/>
  <c r="P844" i="1"/>
  <c r="J844" i="1"/>
  <c r="G844" i="1"/>
  <c r="P843" i="1"/>
  <c r="J843" i="1"/>
  <c r="G843" i="1"/>
  <c r="P842" i="1"/>
  <c r="J842" i="1"/>
  <c r="G842" i="1"/>
  <c r="P841" i="1"/>
  <c r="J841" i="1"/>
  <c r="G841" i="1"/>
  <c r="P840" i="1"/>
  <c r="J840" i="1"/>
  <c r="G840" i="1"/>
  <c r="P839" i="1"/>
  <c r="J839" i="1"/>
  <c r="G839" i="1"/>
  <c r="P838" i="1"/>
  <c r="J838" i="1"/>
  <c r="G838" i="1"/>
  <c r="P837" i="1"/>
  <c r="J837" i="1"/>
  <c r="G837" i="1"/>
  <c r="P836" i="1"/>
  <c r="J836" i="1"/>
  <c r="G836" i="1"/>
  <c r="P835" i="1"/>
  <c r="J835" i="1"/>
  <c r="G835" i="1"/>
  <c r="P834" i="1"/>
  <c r="J834" i="1"/>
  <c r="G834" i="1"/>
  <c r="P833" i="1"/>
  <c r="J833" i="1"/>
  <c r="G833" i="1"/>
  <c r="P832" i="1"/>
  <c r="J832" i="1"/>
  <c r="G832" i="1"/>
  <c r="AL831" i="1"/>
  <c r="P831" i="1"/>
  <c r="J831" i="1"/>
  <c r="G831" i="1"/>
  <c r="P830" i="1"/>
  <c r="J830" i="1"/>
  <c r="G830" i="1"/>
  <c r="P829" i="1"/>
  <c r="J829" i="1"/>
  <c r="G829" i="1"/>
  <c r="P828" i="1"/>
  <c r="J828" i="1"/>
  <c r="G828" i="1"/>
  <c r="P827" i="1"/>
  <c r="J827" i="1"/>
  <c r="G827" i="1"/>
  <c r="P826" i="1"/>
  <c r="J826" i="1"/>
  <c r="G826" i="1"/>
  <c r="P825" i="1"/>
  <c r="J825" i="1"/>
  <c r="G825" i="1"/>
  <c r="P824" i="1"/>
  <c r="J824" i="1"/>
  <c r="G824" i="1"/>
  <c r="P823" i="1"/>
  <c r="J823" i="1"/>
  <c r="G823" i="1"/>
  <c r="P822" i="1"/>
  <c r="J822" i="1"/>
  <c r="G822" i="1"/>
  <c r="P821" i="1"/>
  <c r="J821" i="1"/>
  <c r="G821" i="1"/>
  <c r="P820" i="1"/>
  <c r="J820" i="1"/>
  <c r="G820" i="1"/>
  <c r="P819" i="1"/>
  <c r="J819" i="1"/>
  <c r="G819" i="1"/>
  <c r="P818" i="1"/>
  <c r="J818" i="1"/>
  <c r="G818" i="1"/>
  <c r="P817" i="1"/>
  <c r="J817" i="1"/>
  <c r="G817" i="1"/>
  <c r="P816" i="1"/>
  <c r="J816" i="1"/>
  <c r="G816" i="1"/>
  <c r="P815" i="1"/>
  <c r="J815" i="1"/>
  <c r="G815" i="1"/>
  <c r="P814" i="1"/>
  <c r="J814" i="1"/>
  <c r="G814" i="1"/>
  <c r="P813" i="1"/>
  <c r="J813" i="1"/>
  <c r="G813" i="1"/>
  <c r="P812" i="1"/>
  <c r="J812" i="1"/>
  <c r="G812" i="1"/>
  <c r="P811" i="1"/>
  <c r="J811" i="1"/>
  <c r="G811" i="1"/>
  <c r="AL810" i="1"/>
  <c r="P810" i="1"/>
  <c r="J810" i="1"/>
  <c r="G810" i="1"/>
  <c r="P809" i="1"/>
  <c r="J809" i="1"/>
  <c r="G809" i="1"/>
  <c r="P808" i="1"/>
  <c r="J808" i="1"/>
  <c r="G808" i="1"/>
  <c r="P807" i="1"/>
  <c r="J807" i="1"/>
  <c r="G807" i="1"/>
  <c r="P806" i="1"/>
  <c r="J806" i="1"/>
  <c r="G806" i="1"/>
  <c r="P805" i="1"/>
  <c r="J805" i="1"/>
  <c r="G805" i="1"/>
  <c r="P804" i="1"/>
  <c r="J804" i="1"/>
  <c r="G804" i="1"/>
  <c r="P803" i="1"/>
  <c r="J803" i="1"/>
  <c r="G803" i="1"/>
  <c r="P802" i="1"/>
  <c r="J802" i="1"/>
  <c r="G802" i="1"/>
  <c r="P801" i="1"/>
  <c r="J801" i="1"/>
  <c r="G801" i="1"/>
  <c r="P800" i="1"/>
  <c r="J800" i="1"/>
  <c r="G800" i="1"/>
  <c r="P799" i="1"/>
  <c r="J799" i="1"/>
  <c r="G799" i="1"/>
  <c r="AL798" i="1"/>
  <c r="P798" i="1"/>
  <c r="J798" i="1"/>
  <c r="G798" i="1"/>
  <c r="P797" i="1"/>
  <c r="J797" i="1"/>
  <c r="G797" i="1"/>
  <c r="P796" i="1"/>
  <c r="J796" i="1"/>
  <c r="G796" i="1"/>
  <c r="P795" i="1"/>
  <c r="J795" i="1"/>
  <c r="G795" i="1"/>
  <c r="P794" i="1"/>
  <c r="J794" i="1"/>
  <c r="G794" i="1"/>
  <c r="P793" i="1"/>
  <c r="J793" i="1"/>
  <c r="G793" i="1"/>
  <c r="P792" i="1"/>
  <c r="J792" i="1"/>
  <c r="G792" i="1"/>
  <c r="P791" i="1"/>
  <c r="J791" i="1"/>
  <c r="G791" i="1"/>
  <c r="P790" i="1"/>
  <c r="J790" i="1"/>
  <c r="G790" i="1"/>
  <c r="P789" i="1"/>
  <c r="J789" i="1"/>
  <c r="G789" i="1"/>
  <c r="P788" i="1"/>
  <c r="J788" i="1"/>
  <c r="G788" i="1"/>
  <c r="P787" i="1"/>
  <c r="J787" i="1"/>
  <c r="G787" i="1"/>
  <c r="P786" i="1"/>
  <c r="J786" i="1"/>
  <c r="G786" i="1"/>
  <c r="P785" i="1"/>
  <c r="J785" i="1"/>
  <c r="G785" i="1"/>
  <c r="P784" i="1"/>
  <c r="J784" i="1"/>
  <c r="G784" i="1"/>
  <c r="P783" i="1"/>
  <c r="J783" i="1"/>
  <c r="G783" i="1"/>
  <c r="P782" i="1"/>
  <c r="J782" i="1"/>
  <c r="G782" i="1"/>
  <c r="P781" i="1"/>
  <c r="J781" i="1"/>
  <c r="G781" i="1"/>
  <c r="P780" i="1"/>
  <c r="J780" i="1"/>
  <c r="G780" i="1"/>
  <c r="P779" i="1"/>
  <c r="J779" i="1"/>
  <c r="G779" i="1"/>
  <c r="P778" i="1"/>
  <c r="J778" i="1"/>
  <c r="G778" i="1"/>
  <c r="P777" i="1"/>
  <c r="J777" i="1"/>
  <c r="G777" i="1"/>
  <c r="P776" i="1"/>
  <c r="J776" i="1"/>
  <c r="G776" i="1"/>
  <c r="AL775" i="1"/>
  <c r="P775" i="1"/>
  <c r="J775" i="1"/>
  <c r="G775" i="1"/>
  <c r="P774" i="1"/>
  <c r="J774" i="1"/>
  <c r="G774" i="1"/>
  <c r="P773" i="1"/>
  <c r="J773" i="1"/>
  <c r="G773" i="1"/>
  <c r="P772" i="1"/>
  <c r="J772" i="1"/>
  <c r="G772" i="1"/>
  <c r="P771" i="1"/>
  <c r="J771" i="1"/>
  <c r="G771" i="1"/>
  <c r="P770" i="1"/>
  <c r="J770" i="1"/>
  <c r="G770" i="1"/>
  <c r="P769" i="1"/>
  <c r="J769" i="1"/>
  <c r="G769" i="1"/>
  <c r="P768" i="1"/>
  <c r="J768" i="1"/>
  <c r="G768" i="1"/>
  <c r="P767" i="1"/>
  <c r="J767" i="1"/>
  <c r="G767" i="1"/>
  <c r="P766" i="1"/>
  <c r="J766" i="1"/>
  <c r="G766" i="1"/>
  <c r="P765" i="1"/>
  <c r="J765" i="1"/>
  <c r="G765" i="1"/>
  <c r="P764" i="1"/>
  <c r="J764" i="1"/>
  <c r="G764" i="1"/>
  <c r="P763" i="1"/>
  <c r="J763" i="1"/>
  <c r="G763" i="1"/>
  <c r="P762" i="1"/>
  <c r="J762" i="1"/>
  <c r="G762" i="1"/>
  <c r="P761" i="1"/>
  <c r="J761" i="1"/>
  <c r="G761" i="1"/>
  <c r="P760" i="1"/>
  <c r="J760" i="1"/>
  <c r="G760" i="1"/>
  <c r="P759" i="1"/>
  <c r="J759" i="1"/>
  <c r="G759" i="1"/>
  <c r="P758" i="1"/>
  <c r="J758" i="1"/>
  <c r="G758" i="1"/>
  <c r="P757" i="1"/>
  <c r="J757" i="1"/>
  <c r="G757" i="1"/>
  <c r="P756" i="1"/>
  <c r="J756" i="1"/>
  <c r="G756" i="1"/>
  <c r="P755" i="1"/>
  <c r="J755" i="1"/>
  <c r="G755" i="1"/>
  <c r="P754" i="1"/>
  <c r="J754" i="1"/>
  <c r="G754" i="1"/>
  <c r="AL753" i="1"/>
  <c r="P753" i="1"/>
  <c r="J753" i="1"/>
  <c r="G753" i="1"/>
  <c r="P752" i="1"/>
  <c r="J752" i="1"/>
  <c r="G752" i="1"/>
  <c r="P751" i="1"/>
  <c r="J751" i="1"/>
  <c r="G751" i="1"/>
  <c r="P750" i="1"/>
  <c r="J750" i="1"/>
  <c r="G750" i="1"/>
  <c r="P749" i="1"/>
  <c r="J749" i="1"/>
  <c r="G749" i="1"/>
  <c r="P748" i="1"/>
  <c r="J748" i="1"/>
  <c r="G748" i="1"/>
  <c r="P747" i="1"/>
  <c r="J747" i="1"/>
  <c r="G747" i="1"/>
  <c r="P746" i="1"/>
  <c r="J746" i="1"/>
  <c r="G746" i="1"/>
  <c r="P745" i="1"/>
  <c r="J745" i="1"/>
  <c r="G745" i="1"/>
  <c r="P744" i="1"/>
  <c r="J744" i="1"/>
  <c r="G744" i="1"/>
  <c r="P743" i="1"/>
  <c r="J743" i="1"/>
  <c r="G743" i="1"/>
  <c r="P742" i="1"/>
  <c r="J742" i="1"/>
  <c r="G742" i="1"/>
  <c r="P741" i="1"/>
  <c r="J741" i="1"/>
  <c r="G741" i="1"/>
  <c r="P740" i="1"/>
  <c r="J740" i="1"/>
  <c r="G740" i="1"/>
  <c r="J739" i="1"/>
  <c r="G739" i="1"/>
  <c r="P738" i="1"/>
  <c r="J738" i="1"/>
  <c r="G738" i="1"/>
  <c r="P737" i="1"/>
  <c r="J737" i="1"/>
  <c r="G737" i="1"/>
  <c r="P736" i="1"/>
  <c r="J736" i="1"/>
  <c r="G736" i="1"/>
  <c r="P735" i="1"/>
  <c r="J735" i="1"/>
  <c r="G735" i="1"/>
  <c r="P734" i="1"/>
  <c r="J734" i="1"/>
  <c r="G734" i="1"/>
  <c r="P733" i="1"/>
  <c r="J733" i="1"/>
  <c r="G733" i="1"/>
  <c r="P732" i="1"/>
  <c r="J732" i="1"/>
  <c r="G732" i="1"/>
  <c r="P731" i="1"/>
  <c r="J731" i="1"/>
  <c r="G731" i="1"/>
  <c r="P730" i="1"/>
  <c r="J730" i="1"/>
  <c r="G730" i="1"/>
  <c r="P729" i="1"/>
  <c r="J729" i="1"/>
  <c r="G729" i="1"/>
  <c r="P728" i="1"/>
  <c r="J728" i="1"/>
  <c r="G728" i="1"/>
  <c r="P727" i="1"/>
  <c r="J727" i="1"/>
  <c r="G727" i="1"/>
  <c r="P726" i="1"/>
  <c r="J726" i="1"/>
  <c r="G726" i="1"/>
  <c r="P725" i="1"/>
  <c r="J725" i="1"/>
  <c r="G725" i="1"/>
  <c r="P724" i="1"/>
  <c r="J724" i="1"/>
  <c r="G724" i="1"/>
  <c r="P723" i="1"/>
  <c r="J723" i="1"/>
  <c r="G723" i="1"/>
  <c r="P722" i="1"/>
  <c r="J722" i="1"/>
  <c r="G722" i="1"/>
  <c r="P721" i="1"/>
  <c r="J721" i="1"/>
  <c r="G721" i="1"/>
  <c r="P720" i="1"/>
  <c r="J720" i="1"/>
  <c r="G720" i="1"/>
  <c r="P719" i="1"/>
  <c r="J719" i="1"/>
  <c r="G719" i="1"/>
  <c r="P718" i="1"/>
  <c r="J718" i="1"/>
  <c r="G718" i="1"/>
  <c r="P717" i="1"/>
  <c r="J717" i="1"/>
  <c r="G717" i="1"/>
  <c r="P716" i="1"/>
  <c r="J716" i="1"/>
  <c r="G716" i="1"/>
  <c r="P715" i="1"/>
  <c r="J715" i="1"/>
  <c r="G715" i="1"/>
  <c r="P714" i="1"/>
  <c r="J714" i="1"/>
  <c r="G714" i="1"/>
  <c r="P713" i="1"/>
  <c r="J713" i="1"/>
  <c r="G713" i="1"/>
  <c r="P712" i="1"/>
  <c r="J712" i="1"/>
  <c r="G712" i="1"/>
  <c r="P711" i="1"/>
  <c r="J711" i="1"/>
  <c r="G711" i="1"/>
  <c r="P710" i="1"/>
  <c r="J710" i="1"/>
  <c r="G710" i="1"/>
  <c r="P709" i="1"/>
  <c r="J709" i="1"/>
  <c r="G709" i="1"/>
  <c r="P708" i="1"/>
  <c r="J708" i="1"/>
  <c r="G708" i="1"/>
  <c r="P707" i="1"/>
  <c r="J707" i="1"/>
  <c r="G707" i="1"/>
  <c r="P706" i="1"/>
  <c r="J706" i="1"/>
  <c r="G706" i="1"/>
  <c r="P705" i="1"/>
  <c r="J705" i="1"/>
  <c r="G705" i="1"/>
  <c r="P704" i="1"/>
  <c r="J704" i="1"/>
  <c r="G704" i="1"/>
  <c r="P703" i="1"/>
  <c r="J703" i="1"/>
  <c r="G703" i="1"/>
  <c r="P702" i="1"/>
  <c r="J702" i="1"/>
  <c r="G702" i="1"/>
  <c r="AL701" i="1"/>
  <c r="P701" i="1"/>
  <c r="J701" i="1"/>
  <c r="G701" i="1"/>
  <c r="P700" i="1"/>
  <c r="J700" i="1"/>
  <c r="G700" i="1"/>
  <c r="P699" i="1"/>
  <c r="J699" i="1"/>
  <c r="G699" i="1"/>
  <c r="P698" i="1"/>
  <c r="J698" i="1"/>
  <c r="G698" i="1"/>
  <c r="P697" i="1"/>
  <c r="J697" i="1"/>
  <c r="G697" i="1"/>
  <c r="P696" i="1"/>
  <c r="J696" i="1"/>
  <c r="G696" i="1"/>
  <c r="P695" i="1"/>
  <c r="J695" i="1"/>
  <c r="G695" i="1"/>
  <c r="P694" i="1"/>
  <c r="J694" i="1"/>
  <c r="G694" i="1"/>
  <c r="P693" i="1"/>
  <c r="J693" i="1"/>
  <c r="G693" i="1"/>
  <c r="P692" i="1"/>
  <c r="J692" i="1"/>
  <c r="G692" i="1"/>
  <c r="P691" i="1"/>
  <c r="J691" i="1"/>
  <c r="G691" i="1"/>
  <c r="P690" i="1"/>
  <c r="J690" i="1"/>
  <c r="G690" i="1"/>
  <c r="P689" i="1"/>
  <c r="J689" i="1"/>
  <c r="G689" i="1"/>
  <c r="P688" i="1"/>
  <c r="J688" i="1"/>
  <c r="G688" i="1"/>
  <c r="P687" i="1"/>
  <c r="J687" i="1"/>
  <c r="G687" i="1"/>
  <c r="P686" i="1"/>
  <c r="J686" i="1"/>
  <c r="G686" i="1"/>
  <c r="P685" i="1"/>
  <c r="J685" i="1"/>
  <c r="G685" i="1"/>
  <c r="P684" i="1"/>
  <c r="J684" i="1"/>
  <c r="G684" i="1"/>
  <c r="P683" i="1"/>
  <c r="J683" i="1"/>
  <c r="G683" i="1"/>
  <c r="P682" i="1"/>
  <c r="J682" i="1"/>
  <c r="G682" i="1"/>
  <c r="P681" i="1"/>
  <c r="J681" i="1"/>
  <c r="G681" i="1"/>
  <c r="P680" i="1"/>
  <c r="J680" i="1"/>
  <c r="G680" i="1"/>
  <c r="P679" i="1"/>
  <c r="J679" i="1"/>
  <c r="G679" i="1"/>
  <c r="P678" i="1"/>
  <c r="J678" i="1"/>
  <c r="G678" i="1"/>
  <c r="P677" i="1"/>
  <c r="J677" i="1"/>
  <c r="G677" i="1"/>
  <c r="P676" i="1"/>
  <c r="J676" i="1"/>
  <c r="G676" i="1"/>
  <c r="P675" i="1"/>
  <c r="J675" i="1"/>
  <c r="G675" i="1"/>
  <c r="P674" i="1"/>
  <c r="J674" i="1"/>
  <c r="G674" i="1"/>
  <c r="P673" i="1"/>
  <c r="J673" i="1"/>
  <c r="G673" i="1"/>
  <c r="P672" i="1"/>
  <c r="J672" i="1"/>
  <c r="G672" i="1"/>
  <c r="P671" i="1"/>
  <c r="J671" i="1"/>
  <c r="G671" i="1"/>
  <c r="P670" i="1"/>
  <c r="J670" i="1"/>
  <c r="G670" i="1"/>
  <c r="P669" i="1"/>
  <c r="J669" i="1"/>
  <c r="G669" i="1"/>
  <c r="P668" i="1"/>
  <c r="J668" i="1"/>
  <c r="G668" i="1"/>
  <c r="P667" i="1"/>
  <c r="J667" i="1"/>
  <c r="G667" i="1"/>
  <c r="P666" i="1"/>
  <c r="J666" i="1"/>
  <c r="G666" i="1"/>
  <c r="P665" i="1"/>
  <c r="J665" i="1"/>
  <c r="G665" i="1"/>
  <c r="P664" i="1"/>
  <c r="J664" i="1"/>
  <c r="G664" i="1"/>
  <c r="P663" i="1"/>
  <c r="J663" i="1"/>
  <c r="G663" i="1"/>
  <c r="P662" i="1"/>
  <c r="J662" i="1"/>
  <c r="G662" i="1"/>
  <c r="P661" i="1"/>
  <c r="J661" i="1"/>
  <c r="G661" i="1"/>
  <c r="P660" i="1"/>
  <c r="J660" i="1"/>
  <c r="G660" i="1"/>
  <c r="P659" i="1"/>
  <c r="J659" i="1"/>
  <c r="G659" i="1"/>
  <c r="P658" i="1"/>
  <c r="J658" i="1"/>
  <c r="G658" i="1"/>
  <c r="P657" i="1"/>
  <c r="J657" i="1"/>
  <c r="G657" i="1"/>
  <c r="P656" i="1"/>
  <c r="J656" i="1"/>
  <c r="G656" i="1"/>
  <c r="P655" i="1"/>
  <c r="J655" i="1"/>
  <c r="G655" i="1"/>
  <c r="P654" i="1"/>
  <c r="J654" i="1"/>
  <c r="G654" i="1"/>
  <c r="P653" i="1"/>
  <c r="J653" i="1"/>
  <c r="G653" i="1"/>
  <c r="P652" i="1"/>
  <c r="J652" i="1"/>
  <c r="G652" i="1"/>
  <c r="P651" i="1"/>
  <c r="J651" i="1"/>
  <c r="G651" i="1"/>
  <c r="P650" i="1"/>
  <c r="J650" i="1"/>
  <c r="G650" i="1"/>
  <c r="P649" i="1"/>
  <c r="J649" i="1"/>
  <c r="G649" i="1"/>
  <c r="P648" i="1"/>
  <c r="J648" i="1"/>
  <c r="G648" i="1"/>
  <c r="P647" i="1"/>
  <c r="J647" i="1"/>
  <c r="G647" i="1"/>
  <c r="P646" i="1"/>
  <c r="J646" i="1"/>
  <c r="G646" i="1"/>
  <c r="P645" i="1"/>
  <c r="J645" i="1"/>
  <c r="G645" i="1"/>
  <c r="P644" i="1"/>
  <c r="J644" i="1"/>
  <c r="G644" i="1"/>
  <c r="P643" i="1"/>
  <c r="J643" i="1"/>
  <c r="G643" i="1"/>
  <c r="P642" i="1"/>
  <c r="J642" i="1"/>
  <c r="G642" i="1"/>
  <c r="P641" i="1"/>
  <c r="J641" i="1"/>
  <c r="G641" i="1"/>
  <c r="P640" i="1"/>
  <c r="J640" i="1"/>
  <c r="G640" i="1"/>
  <c r="P639" i="1"/>
  <c r="J639" i="1"/>
  <c r="G639" i="1"/>
  <c r="J638" i="1"/>
  <c r="G638" i="1"/>
  <c r="P637" i="1"/>
  <c r="J637" i="1"/>
  <c r="G637" i="1"/>
  <c r="P636" i="1"/>
  <c r="J636" i="1"/>
  <c r="G636" i="1"/>
  <c r="P635" i="1"/>
  <c r="J635" i="1"/>
  <c r="G635" i="1"/>
  <c r="P634" i="1"/>
  <c r="J634" i="1"/>
  <c r="G634" i="1"/>
  <c r="P633" i="1"/>
  <c r="J633" i="1"/>
  <c r="G633" i="1"/>
  <c r="P632" i="1"/>
  <c r="J632" i="1"/>
  <c r="G632" i="1"/>
  <c r="P631" i="1"/>
  <c r="J631" i="1"/>
  <c r="G631" i="1"/>
  <c r="P630" i="1"/>
  <c r="J630" i="1"/>
  <c r="G630" i="1"/>
  <c r="P629" i="1"/>
  <c r="J629" i="1"/>
  <c r="G629" i="1"/>
  <c r="P628" i="1"/>
  <c r="J628" i="1"/>
  <c r="G628" i="1"/>
  <c r="P627" i="1"/>
  <c r="J627" i="1"/>
  <c r="G627" i="1"/>
  <c r="P626" i="1"/>
  <c r="J626" i="1"/>
  <c r="G626" i="1"/>
  <c r="P625" i="1"/>
  <c r="J625" i="1"/>
  <c r="G625" i="1"/>
  <c r="P624" i="1"/>
  <c r="J624" i="1"/>
  <c r="G624" i="1"/>
  <c r="P623" i="1"/>
  <c r="J623" i="1"/>
  <c r="G623" i="1"/>
  <c r="P622" i="1"/>
  <c r="J622" i="1"/>
  <c r="G622" i="1"/>
  <c r="P621" i="1"/>
  <c r="J621" i="1"/>
  <c r="G621" i="1"/>
  <c r="P620" i="1"/>
  <c r="J620" i="1"/>
  <c r="G620" i="1"/>
  <c r="P619" i="1"/>
  <c r="J619" i="1"/>
  <c r="G619" i="1"/>
  <c r="P618" i="1"/>
  <c r="J618" i="1"/>
  <c r="G618" i="1"/>
  <c r="P617" i="1"/>
  <c r="J617" i="1"/>
  <c r="G617" i="1"/>
  <c r="P616" i="1"/>
  <c r="J616" i="1"/>
  <c r="G616" i="1"/>
  <c r="P615" i="1"/>
  <c r="J615" i="1"/>
  <c r="G615" i="1"/>
  <c r="P614" i="1"/>
  <c r="J614" i="1"/>
  <c r="G614" i="1"/>
  <c r="P613" i="1"/>
  <c r="J613" i="1"/>
  <c r="G613" i="1"/>
  <c r="P612" i="1"/>
  <c r="J612" i="1"/>
  <c r="G612" i="1"/>
  <c r="P611" i="1"/>
  <c r="J611" i="1"/>
  <c r="G611" i="1"/>
  <c r="P610" i="1"/>
  <c r="J610" i="1"/>
  <c r="G610" i="1"/>
  <c r="P609" i="1"/>
  <c r="J609" i="1"/>
  <c r="G609" i="1"/>
  <c r="P608" i="1"/>
  <c r="J608" i="1"/>
  <c r="G608" i="1"/>
  <c r="P607" i="1"/>
  <c r="J607" i="1"/>
  <c r="G607" i="1"/>
  <c r="P606" i="1"/>
  <c r="J606" i="1"/>
  <c r="G606" i="1"/>
  <c r="P605" i="1"/>
  <c r="J605" i="1"/>
  <c r="G605" i="1"/>
  <c r="P604" i="1"/>
  <c r="J604" i="1"/>
  <c r="G604" i="1"/>
  <c r="P603" i="1"/>
  <c r="J603" i="1"/>
  <c r="G603" i="1"/>
  <c r="P602" i="1"/>
  <c r="J602" i="1"/>
  <c r="G602" i="1"/>
  <c r="P601" i="1"/>
  <c r="J601" i="1"/>
  <c r="G601" i="1"/>
  <c r="P600" i="1"/>
  <c r="J600" i="1"/>
  <c r="G600" i="1"/>
  <c r="P599" i="1"/>
  <c r="J599" i="1"/>
  <c r="G599" i="1"/>
  <c r="P598" i="1"/>
  <c r="J598" i="1"/>
  <c r="G598" i="1"/>
  <c r="P597" i="1"/>
  <c r="J597" i="1"/>
  <c r="G597" i="1"/>
  <c r="P596" i="1"/>
  <c r="J596" i="1"/>
  <c r="G596" i="1"/>
  <c r="P595" i="1"/>
  <c r="J595" i="1"/>
  <c r="G595" i="1"/>
  <c r="AL594" i="1"/>
  <c r="P594" i="1"/>
  <c r="J594" i="1"/>
  <c r="G594" i="1"/>
  <c r="AL593" i="1"/>
  <c r="P593" i="1"/>
  <c r="J593" i="1"/>
  <c r="G593" i="1"/>
  <c r="P592" i="1"/>
  <c r="J592" i="1"/>
  <c r="G592" i="1"/>
  <c r="P591" i="1"/>
  <c r="J591" i="1"/>
  <c r="G591" i="1"/>
  <c r="P590" i="1"/>
  <c r="J590" i="1"/>
  <c r="G590" i="1"/>
  <c r="P589" i="1"/>
  <c r="J589" i="1"/>
  <c r="G589" i="1"/>
  <c r="P588" i="1"/>
  <c r="J588" i="1"/>
  <c r="G588" i="1"/>
  <c r="P587" i="1"/>
  <c r="J587" i="1"/>
  <c r="G587" i="1"/>
  <c r="P586" i="1"/>
  <c r="J586" i="1"/>
  <c r="G586" i="1"/>
  <c r="P585" i="1"/>
  <c r="J585" i="1"/>
  <c r="G585" i="1"/>
  <c r="P584" i="1"/>
  <c r="J584" i="1"/>
  <c r="G584" i="1"/>
  <c r="P583" i="1"/>
  <c r="J583" i="1"/>
  <c r="G583" i="1"/>
  <c r="P582" i="1"/>
  <c r="J582" i="1"/>
  <c r="G582" i="1"/>
  <c r="AL581" i="1"/>
  <c r="P581" i="1"/>
  <c r="J581" i="1"/>
  <c r="G581" i="1"/>
  <c r="P580" i="1"/>
  <c r="J580" i="1"/>
  <c r="G580" i="1"/>
  <c r="P579" i="1"/>
  <c r="J579" i="1"/>
  <c r="G579" i="1"/>
  <c r="P578" i="1"/>
  <c r="J578" i="1"/>
  <c r="G578" i="1"/>
  <c r="P577" i="1"/>
  <c r="J577" i="1"/>
  <c r="G577" i="1"/>
  <c r="P576" i="1"/>
  <c r="J576" i="1"/>
  <c r="G576" i="1"/>
  <c r="P575" i="1"/>
  <c r="J575" i="1"/>
  <c r="G575" i="1"/>
  <c r="P574" i="1"/>
  <c r="J574" i="1"/>
  <c r="G574" i="1"/>
  <c r="AL573" i="1"/>
  <c r="P573" i="1"/>
  <c r="J573" i="1"/>
  <c r="G573" i="1"/>
  <c r="P572" i="1"/>
  <c r="J572" i="1"/>
  <c r="G572" i="1"/>
  <c r="P571" i="1"/>
  <c r="J571" i="1"/>
  <c r="G571" i="1"/>
  <c r="AL570" i="1"/>
  <c r="J570" i="1"/>
  <c r="G570" i="1"/>
  <c r="P569" i="1"/>
  <c r="J569" i="1"/>
  <c r="G569" i="1"/>
  <c r="P568" i="1"/>
  <c r="J568" i="1"/>
  <c r="G568" i="1"/>
  <c r="P567" i="1"/>
  <c r="J567" i="1"/>
  <c r="G567" i="1"/>
  <c r="P566" i="1"/>
  <c r="J566" i="1"/>
  <c r="G566" i="1"/>
  <c r="P565" i="1"/>
  <c r="J565" i="1"/>
  <c r="G565" i="1"/>
  <c r="P564" i="1"/>
  <c r="J564" i="1"/>
  <c r="G564" i="1"/>
  <c r="P563" i="1"/>
  <c r="J563" i="1"/>
  <c r="G563" i="1"/>
  <c r="P562" i="1"/>
  <c r="J562" i="1"/>
  <c r="G562" i="1"/>
  <c r="P561" i="1"/>
  <c r="J561" i="1"/>
  <c r="G561" i="1"/>
  <c r="P560" i="1"/>
  <c r="J560" i="1"/>
  <c r="G560" i="1"/>
  <c r="P559" i="1"/>
  <c r="J559" i="1"/>
  <c r="G559" i="1"/>
  <c r="P558" i="1"/>
  <c r="J558" i="1"/>
  <c r="G558" i="1"/>
  <c r="P557" i="1"/>
  <c r="J557" i="1"/>
  <c r="G557" i="1"/>
  <c r="P556" i="1"/>
  <c r="J556" i="1"/>
  <c r="G556" i="1"/>
  <c r="P555" i="1"/>
  <c r="J555" i="1"/>
  <c r="G555" i="1"/>
  <c r="P554" i="1"/>
  <c r="J554" i="1"/>
  <c r="G554" i="1"/>
  <c r="P553" i="1"/>
  <c r="J553" i="1"/>
  <c r="G553" i="1"/>
  <c r="P552" i="1"/>
  <c r="J552" i="1"/>
  <c r="G552" i="1"/>
  <c r="P551" i="1"/>
  <c r="J551" i="1"/>
  <c r="G551" i="1"/>
  <c r="P550" i="1"/>
  <c r="J550" i="1"/>
  <c r="G550" i="1"/>
  <c r="P549" i="1"/>
  <c r="J549" i="1"/>
  <c r="G549" i="1"/>
  <c r="P548" i="1"/>
  <c r="J548" i="1"/>
  <c r="G548" i="1"/>
  <c r="P547" i="1"/>
  <c r="J547" i="1"/>
  <c r="G547" i="1"/>
  <c r="P546" i="1"/>
  <c r="J546" i="1"/>
  <c r="G546" i="1"/>
  <c r="P545" i="1"/>
  <c r="J545" i="1"/>
  <c r="G545" i="1"/>
  <c r="P544" i="1"/>
  <c r="J544" i="1"/>
  <c r="G544" i="1"/>
  <c r="P543" i="1"/>
  <c r="J543" i="1"/>
  <c r="G543" i="1"/>
  <c r="P542" i="1"/>
  <c r="J542" i="1"/>
  <c r="G542" i="1"/>
  <c r="P541" i="1"/>
  <c r="J541" i="1"/>
  <c r="G541" i="1"/>
  <c r="P540" i="1"/>
  <c r="J540" i="1"/>
  <c r="G540" i="1"/>
  <c r="P539" i="1"/>
  <c r="J539" i="1"/>
  <c r="G539" i="1"/>
  <c r="P538" i="1"/>
  <c r="J538" i="1"/>
  <c r="G538" i="1"/>
  <c r="P537" i="1"/>
  <c r="J537" i="1"/>
  <c r="G537" i="1"/>
  <c r="P536" i="1"/>
  <c r="J536" i="1"/>
  <c r="G536" i="1"/>
  <c r="P535" i="1"/>
  <c r="J535" i="1"/>
  <c r="G535" i="1"/>
  <c r="P534" i="1"/>
  <c r="J534" i="1"/>
  <c r="G534" i="1"/>
  <c r="P533" i="1"/>
  <c r="J533" i="1"/>
  <c r="G533" i="1"/>
  <c r="P532" i="1"/>
  <c r="J532" i="1"/>
  <c r="G532" i="1"/>
  <c r="P531" i="1"/>
  <c r="J531" i="1"/>
  <c r="G531" i="1"/>
  <c r="P530" i="1"/>
  <c r="J530" i="1"/>
  <c r="G530" i="1"/>
  <c r="P529" i="1"/>
  <c r="J529" i="1"/>
  <c r="G529" i="1"/>
  <c r="P528" i="1"/>
  <c r="J528" i="1"/>
  <c r="G528" i="1"/>
  <c r="P527" i="1"/>
  <c r="J527" i="1"/>
  <c r="G527" i="1"/>
  <c r="P526" i="1"/>
  <c r="J526" i="1"/>
  <c r="G526" i="1"/>
  <c r="P525" i="1"/>
  <c r="J525" i="1"/>
  <c r="G525" i="1"/>
  <c r="P524" i="1"/>
  <c r="J524" i="1"/>
  <c r="G524" i="1"/>
  <c r="P523" i="1"/>
  <c r="J523" i="1"/>
  <c r="G523" i="1"/>
  <c r="P522" i="1"/>
  <c r="J522" i="1"/>
  <c r="G522" i="1"/>
  <c r="P521" i="1"/>
  <c r="J521" i="1"/>
  <c r="G521" i="1"/>
  <c r="P520" i="1"/>
  <c r="J520" i="1"/>
  <c r="G520" i="1"/>
  <c r="P519" i="1"/>
  <c r="J519" i="1"/>
  <c r="G519" i="1"/>
  <c r="P518" i="1"/>
  <c r="J518" i="1"/>
  <c r="G518" i="1"/>
  <c r="P517" i="1"/>
  <c r="J517" i="1"/>
  <c r="G517" i="1"/>
  <c r="P516" i="1"/>
  <c r="J516" i="1"/>
  <c r="G516" i="1"/>
  <c r="P515" i="1"/>
  <c r="J515" i="1"/>
  <c r="G515" i="1"/>
  <c r="P514" i="1"/>
  <c r="J514" i="1"/>
  <c r="G514" i="1"/>
  <c r="AL513" i="1"/>
  <c r="P513" i="1"/>
  <c r="J513" i="1"/>
  <c r="G513" i="1"/>
  <c r="P512" i="1"/>
  <c r="J512" i="1"/>
  <c r="G512" i="1"/>
  <c r="P511" i="1"/>
  <c r="J511" i="1"/>
  <c r="G511" i="1"/>
  <c r="P510" i="1"/>
  <c r="J510" i="1"/>
  <c r="G510" i="1"/>
  <c r="P509" i="1"/>
  <c r="J509" i="1"/>
  <c r="G509" i="1"/>
  <c r="P508" i="1"/>
  <c r="J508" i="1"/>
  <c r="G508" i="1"/>
  <c r="P507" i="1"/>
  <c r="J507" i="1"/>
  <c r="G507" i="1"/>
  <c r="P506" i="1"/>
  <c r="J506" i="1"/>
  <c r="G506" i="1"/>
  <c r="P505" i="1"/>
  <c r="J505" i="1"/>
  <c r="G505" i="1"/>
  <c r="P504" i="1"/>
  <c r="J504" i="1"/>
  <c r="G504" i="1"/>
  <c r="P503" i="1"/>
  <c r="J503" i="1"/>
  <c r="G503" i="1"/>
  <c r="P502" i="1"/>
  <c r="J502" i="1"/>
  <c r="G502" i="1"/>
  <c r="P501" i="1"/>
  <c r="J501" i="1"/>
  <c r="G501" i="1"/>
  <c r="P500" i="1"/>
  <c r="J500" i="1"/>
  <c r="G500" i="1"/>
  <c r="P499" i="1"/>
  <c r="J499" i="1"/>
  <c r="G499" i="1"/>
  <c r="P498" i="1"/>
  <c r="J498" i="1"/>
  <c r="G498" i="1"/>
  <c r="P497" i="1"/>
  <c r="J497" i="1"/>
  <c r="G497" i="1"/>
  <c r="P496" i="1"/>
  <c r="J496" i="1"/>
  <c r="G496" i="1"/>
  <c r="P495" i="1"/>
  <c r="J495" i="1"/>
  <c r="G495" i="1"/>
  <c r="P494" i="1"/>
  <c r="J494" i="1"/>
  <c r="G494" i="1"/>
  <c r="P493" i="1"/>
  <c r="J493" i="1"/>
  <c r="G493" i="1"/>
  <c r="P492" i="1"/>
  <c r="J492" i="1"/>
  <c r="G492" i="1"/>
  <c r="P491" i="1"/>
  <c r="J491" i="1"/>
  <c r="G491" i="1"/>
  <c r="P490" i="1"/>
  <c r="J490" i="1"/>
  <c r="G490" i="1"/>
  <c r="P489" i="1"/>
  <c r="J489" i="1"/>
  <c r="G489" i="1"/>
  <c r="P488" i="1"/>
  <c r="J488" i="1"/>
  <c r="G488" i="1"/>
  <c r="P487" i="1"/>
  <c r="J487" i="1"/>
  <c r="G487" i="1"/>
  <c r="P486" i="1"/>
  <c r="J486" i="1"/>
  <c r="G486" i="1"/>
  <c r="P485" i="1"/>
  <c r="J485" i="1"/>
  <c r="G485" i="1"/>
  <c r="P484" i="1"/>
  <c r="J484" i="1"/>
  <c r="G484" i="1"/>
  <c r="P483" i="1"/>
  <c r="J483" i="1"/>
  <c r="G483" i="1"/>
  <c r="P482" i="1"/>
  <c r="J482" i="1"/>
  <c r="G482" i="1"/>
  <c r="P481" i="1"/>
  <c r="J481" i="1"/>
  <c r="G481" i="1"/>
  <c r="P480" i="1"/>
  <c r="J480" i="1"/>
  <c r="G480" i="1"/>
  <c r="P479" i="1"/>
  <c r="J479" i="1"/>
  <c r="G479" i="1"/>
  <c r="P478" i="1"/>
  <c r="J478" i="1"/>
  <c r="G478" i="1"/>
  <c r="P477" i="1"/>
  <c r="J477" i="1"/>
  <c r="G477" i="1"/>
  <c r="P476" i="1"/>
  <c r="J476" i="1"/>
  <c r="G476" i="1"/>
  <c r="P475" i="1"/>
  <c r="J475" i="1"/>
  <c r="G475" i="1"/>
  <c r="P474" i="1"/>
  <c r="J474" i="1"/>
  <c r="G474" i="1"/>
  <c r="P473" i="1"/>
  <c r="J473" i="1"/>
  <c r="G473" i="1"/>
  <c r="P472" i="1"/>
  <c r="J472" i="1"/>
  <c r="G472" i="1"/>
  <c r="P471" i="1"/>
  <c r="J471" i="1"/>
  <c r="G471" i="1"/>
  <c r="P470" i="1"/>
  <c r="J470" i="1"/>
  <c r="G470" i="1"/>
  <c r="P469" i="1"/>
  <c r="J469" i="1"/>
  <c r="G469" i="1"/>
  <c r="AL468" i="1"/>
  <c r="P468" i="1"/>
  <c r="J468" i="1"/>
  <c r="G468" i="1"/>
  <c r="P467" i="1"/>
  <c r="J467" i="1"/>
  <c r="G467" i="1"/>
  <c r="P466" i="1"/>
  <c r="J466" i="1"/>
  <c r="G466" i="1"/>
  <c r="P465" i="1"/>
  <c r="J465" i="1"/>
  <c r="G465" i="1"/>
  <c r="P464" i="1"/>
  <c r="J464" i="1"/>
  <c r="G464" i="1"/>
  <c r="P463" i="1"/>
  <c r="J463" i="1"/>
  <c r="G463" i="1"/>
  <c r="P462" i="1"/>
  <c r="J462" i="1"/>
  <c r="G462" i="1"/>
  <c r="P461" i="1"/>
  <c r="J461" i="1"/>
  <c r="G461" i="1"/>
  <c r="P460" i="1"/>
  <c r="J460" i="1"/>
  <c r="G460" i="1"/>
  <c r="P459" i="1"/>
  <c r="J459" i="1"/>
  <c r="G459" i="1"/>
  <c r="P458" i="1"/>
  <c r="J458" i="1"/>
  <c r="G458" i="1"/>
  <c r="P457" i="1"/>
  <c r="J457" i="1"/>
  <c r="G457" i="1"/>
  <c r="P456" i="1"/>
  <c r="J456" i="1"/>
  <c r="G456" i="1"/>
  <c r="P455" i="1"/>
  <c r="J455" i="1"/>
  <c r="G455" i="1"/>
  <c r="P454" i="1"/>
  <c r="J454" i="1"/>
  <c r="G454" i="1"/>
  <c r="P453" i="1"/>
  <c r="J453" i="1"/>
  <c r="G453" i="1"/>
  <c r="P452" i="1"/>
  <c r="J452" i="1"/>
  <c r="G452" i="1"/>
  <c r="P451" i="1"/>
  <c r="J451" i="1"/>
  <c r="G451" i="1"/>
  <c r="AL450" i="1"/>
  <c r="P450" i="1"/>
  <c r="J450" i="1"/>
  <c r="G450" i="1"/>
  <c r="P449" i="1"/>
  <c r="J449" i="1"/>
  <c r="G449" i="1"/>
  <c r="P448" i="1"/>
  <c r="J448" i="1"/>
  <c r="G448" i="1"/>
  <c r="P447" i="1"/>
  <c r="J447" i="1"/>
  <c r="G447" i="1"/>
  <c r="P446" i="1"/>
  <c r="J446" i="1"/>
  <c r="G446" i="1"/>
  <c r="P445" i="1"/>
  <c r="J445" i="1"/>
  <c r="G445" i="1"/>
  <c r="P444" i="1"/>
  <c r="J444" i="1"/>
  <c r="G444" i="1"/>
  <c r="P443" i="1"/>
  <c r="J443" i="1"/>
  <c r="G443" i="1"/>
  <c r="P442" i="1"/>
  <c r="J442" i="1"/>
  <c r="G442" i="1"/>
  <c r="P441" i="1"/>
  <c r="J441" i="1"/>
  <c r="G441" i="1"/>
  <c r="P440" i="1"/>
  <c r="J440" i="1"/>
  <c r="G440" i="1"/>
  <c r="P439" i="1"/>
  <c r="J439" i="1"/>
  <c r="G439" i="1"/>
  <c r="P438" i="1"/>
  <c r="J438" i="1"/>
  <c r="G438" i="1"/>
  <c r="P437" i="1"/>
  <c r="J437" i="1"/>
  <c r="G437" i="1"/>
  <c r="P436" i="1"/>
  <c r="J436" i="1"/>
  <c r="G436" i="1"/>
  <c r="P435" i="1"/>
  <c r="J435" i="1"/>
  <c r="G435" i="1"/>
  <c r="P434" i="1"/>
  <c r="J434" i="1"/>
  <c r="G434" i="1"/>
  <c r="P433" i="1"/>
  <c r="J433" i="1"/>
  <c r="G433" i="1"/>
  <c r="P432" i="1"/>
  <c r="J432" i="1"/>
  <c r="G432" i="1"/>
  <c r="P431" i="1"/>
  <c r="J431" i="1"/>
  <c r="G431" i="1"/>
  <c r="P430" i="1"/>
  <c r="J430" i="1"/>
  <c r="G430" i="1"/>
  <c r="P429" i="1"/>
  <c r="J429" i="1"/>
  <c r="G429" i="1"/>
  <c r="P428" i="1"/>
  <c r="J428" i="1"/>
  <c r="G428" i="1"/>
  <c r="P427" i="1"/>
  <c r="J427" i="1"/>
  <c r="G427" i="1"/>
  <c r="P426" i="1"/>
  <c r="J426" i="1"/>
  <c r="G426" i="1"/>
  <c r="P425" i="1"/>
  <c r="J425" i="1"/>
  <c r="G425" i="1"/>
  <c r="P424" i="1"/>
  <c r="J424" i="1"/>
  <c r="G424" i="1"/>
  <c r="P423" i="1"/>
  <c r="J423" i="1"/>
  <c r="G423" i="1"/>
  <c r="P422" i="1"/>
  <c r="J422" i="1"/>
  <c r="G422" i="1"/>
  <c r="P421" i="1"/>
  <c r="J421" i="1"/>
  <c r="G421" i="1"/>
  <c r="P420" i="1"/>
  <c r="J420" i="1"/>
  <c r="G420" i="1"/>
  <c r="P419" i="1"/>
  <c r="J419" i="1"/>
  <c r="G419" i="1"/>
  <c r="P418" i="1"/>
  <c r="J418" i="1"/>
  <c r="G418" i="1"/>
  <c r="P417" i="1"/>
  <c r="J417" i="1"/>
  <c r="G417" i="1"/>
  <c r="P416" i="1"/>
  <c r="J416" i="1"/>
  <c r="G416" i="1"/>
  <c r="P415" i="1"/>
  <c r="J415" i="1"/>
  <c r="G415" i="1"/>
  <c r="P414" i="1"/>
  <c r="J414" i="1"/>
  <c r="G414" i="1"/>
  <c r="P413" i="1"/>
  <c r="J413" i="1"/>
  <c r="G413" i="1"/>
  <c r="P412" i="1"/>
  <c r="J412" i="1"/>
  <c r="G412" i="1"/>
  <c r="P411" i="1"/>
  <c r="J411" i="1"/>
  <c r="G411" i="1"/>
  <c r="P410" i="1"/>
  <c r="J410" i="1"/>
  <c r="G410" i="1"/>
  <c r="P409" i="1"/>
  <c r="J409" i="1"/>
  <c r="G409" i="1"/>
  <c r="P408" i="1"/>
  <c r="J408" i="1"/>
  <c r="G408" i="1"/>
  <c r="P407" i="1"/>
  <c r="J407" i="1"/>
  <c r="G407" i="1"/>
  <c r="P406" i="1"/>
  <c r="J406" i="1"/>
  <c r="G406" i="1"/>
  <c r="P405" i="1"/>
  <c r="J405" i="1"/>
  <c r="G405" i="1"/>
  <c r="P404" i="1"/>
  <c r="J404" i="1"/>
  <c r="G404" i="1"/>
  <c r="P403" i="1"/>
  <c r="J403" i="1"/>
  <c r="G403" i="1"/>
  <c r="P402" i="1"/>
  <c r="J402" i="1"/>
  <c r="G402" i="1"/>
  <c r="P401" i="1"/>
  <c r="J401" i="1"/>
  <c r="G401" i="1"/>
  <c r="P400" i="1"/>
  <c r="J400" i="1"/>
  <c r="G400" i="1"/>
  <c r="P399" i="1"/>
  <c r="J399" i="1"/>
  <c r="G399" i="1"/>
  <c r="P398" i="1"/>
  <c r="J398" i="1"/>
  <c r="G398" i="1"/>
  <c r="P397" i="1"/>
  <c r="J397" i="1"/>
  <c r="G397" i="1"/>
  <c r="P396" i="1"/>
  <c r="J396" i="1"/>
  <c r="G396" i="1"/>
  <c r="P395" i="1"/>
  <c r="J395" i="1"/>
  <c r="G395" i="1"/>
  <c r="P394" i="1"/>
  <c r="J394" i="1"/>
  <c r="G394" i="1"/>
  <c r="P393" i="1"/>
  <c r="J393" i="1"/>
  <c r="G393" i="1"/>
  <c r="P392" i="1"/>
  <c r="J392" i="1"/>
  <c r="G392" i="1"/>
  <c r="P391" i="1"/>
  <c r="J391" i="1"/>
  <c r="G391" i="1"/>
  <c r="P390" i="1"/>
  <c r="J390" i="1"/>
  <c r="G390" i="1"/>
  <c r="P389" i="1"/>
  <c r="J389" i="1"/>
  <c r="G389" i="1"/>
  <c r="P388" i="1"/>
  <c r="J388" i="1"/>
  <c r="G388" i="1"/>
  <c r="P387" i="1"/>
  <c r="J387" i="1"/>
  <c r="G387" i="1"/>
  <c r="P386" i="1"/>
  <c r="J386" i="1"/>
  <c r="G386" i="1"/>
  <c r="P385" i="1"/>
  <c r="J385" i="1"/>
  <c r="G385" i="1"/>
  <c r="P384" i="1"/>
  <c r="J384" i="1"/>
  <c r="G384" i="1"/>
  <c r="P383" i="1"/>
  <c r="J383" i="1"/>
  <c r="G383" i="1"/>
  <c r="AL382" i="1"/>
  <c r="G382" i="1"/>
  <c r="P381" i="1"/>
  <c r="J381" i="1"/>
  <c r="G381" i="1"/>
  <c r="P380" i="1"/>
  <c r="J380" i="1"/>
  <c r="G380" i="1"/>
  <c r="P379" i="1"/>
  <c r="J379" i="1"/>
  <c r="G379" i="1"/>
  <c r="P378" i="1"/>
  <c r="J378" i="1"/>
  <c r="G378" i="1"/>
  <c r="P377" i="1"/>
  <c r="J377" i="1"/>
  <c r="G377" i="1"/>
  <c r="P376" i="1"/>
  <c r="J376" i="1"/>
  <c r="G376" i="1"/>
  <c r="P375" i="1"/>
  <c r="J375" i="1"/>
  <c r="G375" i="1"/>
  <c r="P374" i="1"/>
  <c r="J374" i="1"/>
  <c r="G374" i="1"/>
  <c r="P373" i="1"/>
  <c r="J373" i="1"/>
  <c r="G373" i="1"/>
  <c r="P372" i="1"/>
  <c r="J372" i="1"/>
  <c r="G372" i="1"/>
  <c r="P371" i="1"/>
  <c r="J371" i="1"/>
  <c r="G371" i="1"/>
  <c r="P370" i="1"/>
  <c r="J370" i="1"/>
  <c r="G370" i="1"/>
  <c r="P369" i="1"/>
  <c r="J369" i="1"/>
  <c r="G369" i="1"/>
  <c r="P368" i="1"/>
  <c r="J368" i="1"/>
  <c r="G368" i="1"/>
  <c r="P367" i="1"/>
  <c r="J367" i="1"/>
  <c r="G367" i="1"/>
  <c r="P366" i="1"/>
  <c r="J366" i="1"/>
  <c r="G366" i="1"/>
  <c r="P365" i="1"/>
  <c r="J365" i="1"/>
  <c r="G365" i="1"/>
  <c r="P364" i="1"/>
  <c r="J364" i="1"/>
  <c r="G364" i="1"/>
  <c r="P363" i="1"/>
  <c r="J363" i="1"/>
  <c r="G363" i="1"/>
  <c r="P362" i="1"/>
  <c r="J362" i="1"/>
  <c r="G362" i="1"/>
  <c r="P361" i="1"/>
  <c r="J361" i="1"/>
  <c r="G361" i="1"/>
  <c r="P360" i="1"/>
  <c r="J360" i="1"/>
  <c r="G360" i="1"/>
  <c r="P359" i="1"/>
  <c r="J359" i="1"/>
  <c r="G359" i="1"/>
  <c r="P358" i="1"/>
  <c r="J358" i="1"/>
  <c r="G358" i="1"/>
  <c r="P357" i="1"/>
  <c r="J357" i="1"/>
  <c r="G357" i="1"/>
  <c r="P356" i="1"/>
  <c r="J356" i="1"/>
  <c r="G356" i="1"/>
  <c r="P355" i="1"/>
  <c r="J355" i="1"/>
  <c r="G355" i="1"/>
  <c r="P354" i="1"/>
  <c r="J354" i="1"/>
  <c r="G354" i="1"/>
  <c r="P353" i="1"/>
  <c r="J353" i="1"/>
  <c r="G353" i="1"/>
  <c r="P352" i="1"/>
  <c r="J352" i="1"/>
  <c r="G352" i="1"/>
  <c r="P351" i="1"/>
  <c r="J351" i="1"/>
  <c r="G351" i="1"/>
  <c r="P350" i="1"/>
  <c r="J350" i="1"/>
  <c r="G350" i="1"/>
  <c r="P349" i="1"/>
  <c r="J349" i="1"/>
  <c r="G349" i="1"/>
  <c r="P348" i="1"/>
  <c r="J348" i="1"/>
  <c r="G348" i="1"/>
  <c r="AL347" i="1"/>
  <c r="P347" i="1"/>
  <c r="J347" i="1"/>
  <c r="G347" i="1"/>
  <c r="P346" i="1"/>
  <c r="J346" i="1"/>
  <c r="G346" i="1"/>
  <c r="AL345" i="1"/>
  <c r="J345" i="1"/>
  <c r="G345" i="1"/>
  <c r="P344" i="1"/>
  <c r="J344" i="1"/>
  <c r="G344" i="1"/>
  <c r="P343" i="1"/>
  <c r="J343" i="1"/>
  <c r="G343" i="1"/>
  <c r="P342" i="1"/>
  <c r="J342" i="1"/>
  <c r="G342" i="1"/>
  <c r="P341" i="1"/>
  <c r="J341" i="1"/>
  <c r="G341" i="1"/>
  <c r="P340" i="1"/>
  <c r="J340" i="1"/>
  <c r="G340" i="1"/>
  <c r="P339" i="1"/>
  <c r="J339" i="1"/>
  <c r="G339" i="1"/>
  <c r="P338" i="1"/>
  <c r="J338" i="1"/>
  <c r="G338" i="1"/>
  <c r="P337" i="1"/>
  <c r="J337" i="1"/>
  <c r="G337" i="1"/>
  <c r="P336" i="1"/>
  <c r="J336" i="1"/>
  <c r="G336" i="1"/>
  <c r="P335" i="1"/>
  <c r="J335" i="1"/>
  <c r="G335" i="1"/>
  <c r="P334" i="1"/>
  <c r="J334" i="1"/>
  <c r="G334" i="1"/>
  <c r="P333" i="1"/>
  <c r="J333" i="1"/>
  <c r="G333" i="1"/>
  <c r="P332" i="1"/>
  <c r="J332" i="1"/>
  <c r="G332" i="1"/>
  <c r="P331" i="1"/>
  <c r="J331" i="1"/>
  <c r="G331" i="1"/>
  <c r="P330" i="1"/>
  <c r="J330" i="1"/>
  <c r="G330" i="1"/>
  <c r="P329" i="1"/>
  <c r="J329" i="1"/>
  <c r="G329" i="1"/>
  <c r="P328" i="1"/>
  <c r="J328" i="1"/>
  <c r="G328" i="1"/>
  <c r="P327" i="1"/>
  <c r="J327" i="1"/>
  <c r="G327" i="1"/>
  <c r="P326" i="1"/>
  <c r="J326" i="1"/>
  <c r="G326" i="1"/>
  <c r="P325" i="1"/>
  <c r="J325" i="1"/>
  <c r="G325" i="1"/>
  <c r="P324" i="1"/>
  <c r="J324" i="1"/>
  <c r="G324" i="1"/>
  <c r="P323" i="1"/>
  <c r="J323" i="1"/>
  <c r="G323" i="1"/>
  <c r="P322" i="1"/>
  <c r="J322" i="1"/>
  <c r="G322" i="1"/>
  <c r="P321" i="1"/>
  <c r="J321" i="1"/>
  <c r="G321" i="1"/>
  <c r="P320" i="1"/>
  <c r="J320" i="1"/>
  <c r="G320" i="1"/>
  <c r="P319" i="1"/>
  <c r="J319" i="1"/>
  <c r="G319" i="1"/>
  <c r="P318" i="1"/>
  <c r="J318" i="1"/>
  <c r="G318" i="1"/>
  <c r="P317" i="1"/>
  <c r="J317" i="1"/>
  <c r="G317" i="1"/>
  <c r="P316" i="1"/>
  <c r="J316" i="1"/>
  <c r="G316" i="1"/>
  <c r="P315" i="1"/>
  <c r="J315" i="1"/>
  <c r="G315" i="1"/>
  <c r="P314" i="1"/>
  <c r="J314" i="1"/>
  <c r="G314" i="1"/>
  <c r="P313" i="1"/>
  <c r="J313" i="1"/>
  <c r="G313" i="1"/>
  <c r="P312" i="1"/>
  <c r="J312" i="1"/>
  <c r="G312" i="1"/>
  <c r="P311" i="1"/>
  <c r="J311" i="1"/>
  <c r="G311" i="1"/>
  <c r="P310" i="1"/>
  <c r="J310" i="1"/>
  <c r="G310" i="1"/>
  <c r="P309" i="1"/>
  <c r="J309" i="1"/>
  <c r="G309" i="1"/>
  <c r="P308" i="1"/>
  <c r="J308" i="1"/>
  <c r="G308" i="1"/>
  <c r="P307" i="1"/>
  <c r="J307" i="1"/>
  <c r="G307" i="1"/>
  <c r="P306" i="1"/>
  <c r="J306" i="1"/>
  <c r="G306" i="1"/>
  <c r="P305" i="1"/>
  <c r="J305" i="1"/>
  <c r="G305" i="1"/>
  <c r="P304" i="1"/>
  <c r="J304" i="1"/>
  <c r="G304" i="1"/>
  <c r="P303" i="1"/>
  <c r="J303" i="1"/>
  <c r="G303" i="1"/>
  <c r="AL302" i="1"/>
  <c r="G302" i="1"/>
  <c r="G301" i="1"/>
  <c r="P300" i="1"/>
  <c r="J300" i="1"/>
  <c r="G300" i="1"/>
  <c r="P299" i="1"/>
  <c r="J299" i="1"/>
  <c r="G299" i="1"/>
  <c r="P298" i="1"/>
  <c r="J298" i="1"/>
  <c r="G298" i="1"/>
  <c r="AL297" i="1"/>
  <c r="P297" i="1"/>
  <c r="J297" i="1"/>
  <c r="G297" i="1"/>
  <c r="AL296" i="1"/>
  <c r="P296" i="1"/>
  <c r="J296" i="1"/>
  <c r="G296" i="1"/>
  <c r="P295" i="1"/>
  <c r="J295" i="1"/>
  <c r="G295" i="1"/>
  <c r="P294" i="1"/>
  <c r="J294" i="1"/>
  <c r="G294" i="1"/>
  <c r="P293" i="1"/>
  <c r="J293" i="1"/>
  <c r="G293" i="1"/>
  <c r="P292" i="1"/>
  <c r="J292" i="1"/>
  <c r="G292" i="1"/>
  <c r="P291" i="1"/>
  <c r="J291" i="1"/>
  <c r="G291" i="1"/>
  <c r="P290" i="1"/>
  <c r="J290" i="1"/>
  <c r="G290" i="1"/>
  <c r="P289" i="1"/>
  <c r="J289" i="1"/>
  <c r="G289" i="1"/>
  <c r="P288" i="1"/>
  <c r="J288" i="1"/>
  <c r="G288" i="1"/>
  <c r="P287" i="1"/>
  <c r="J287" i="1"/>
  <c r="G287" i="1"/>
  <c r="P286" i="1"/>
  <c r="J286" i="1"/>
  <c r="G286" i="1"/>
  <c r="P285" i="1"/>
  <c r="J285" i="1"/>
  <c r="G285" i="1"/>
  <c r="P284" i="1"/>
  <c r="J284" i="1"/>
  <c r="G284" i="1"/>
  <c r="P283" i="1"/>
  <c r="J283" i="1"/>
  <c r="G283" i="1"/>
  <c r="P282" i="1"/>
  <c r="J282" i="1"/>
  <c r="G282" i="1"/>
  <c r="P281" i="1"/>
  <c r="J281" i="1"/>
  <c r="G281" i="1"/>
  <c r="P280" i="1"/>
  <c r="J280" i="1"/>
  <c r="G280" i="1"/>
  <c r="P279" i="1"/>
  <c r="J279" i="1"/>
  <c r="G279" i="1"/>
  <c r="P278" i="1"/>
  <c r="J278" i="1"/>
  <c r="G278" i="1"/>
  <c r="P277" i="1"/>
  <c r="J277" i="1"/>
  <c r="G277" i="1"/>
  <c r="P276" i="1"/>
  <c r="J276" i="1"/>
  <c r="G276" i="1"/>
  <c r="P275" i="1"/>
  <c r="J275" i="1"/>
  <c r="G275" i="1"/>
  <c r="P274" i="1"/>
  <c r="J274" i="1"/>
  <c r="G274" i="1"/>
  <c r="P273" i="1"/>
  <c r="J273" i="1"/>
  <c r="G273" i="1"/>
  <c r="P272" i="1"/>
  <c r="J272" i="1"/>
  <c r="G272" i="1"/>
  <c r="P271" i="1"/>
  <c r="J271" i="1"/>
  <c r="G271" i="1"/>
  <c r="P270" i="1"/>
  <c r="J270" i="1"/>
  <c r="G270" i="1"/>
  <c r="P269" i="1"/>
  <c r="J269" i="1"/>
  <c r="G269" i="1"/>
  <c r="P268" i="1"/>
  <c r="J268" i="1"/>
  <c r="G268" i="1"/>
  <c r="P267" i="1"/>
  <c r="J267" i="1"/>
  <c r="G267" i="1"/>
  <c r="P266" i="1"/>
  <c r="J266" i="1"/>
  <c r="G266" i="1"/>
  <c r="P265" i="1"/>
  <c r="J265" i="1"/>
  <c r="G265" i="1"/>
  <c r="P264" i="1"/>
  <c r="J264" i="1"/>
  <c r="G264" i="1"/>
  <c r="P263" i="1"/>
  <c r="J263" i="1"/>
  <c r="G263" i="1"/>
  <c r="P262" i="1"/>
  <c r="J262" i="1"/>
  <c r="G262" i="1"/>
  <c r="P261" i="1"/>
  <c r="J261" i="1"/>
  <c r="G261" i="1"/>
  <c r="P260" i="1"/>
  <c r="J260" i="1"/>
  <c r="G260" i="1"/>
  <c r="P259" i="1"/>
  <c r="J259" i="1"/>
  <c r="G259" i="1"/>
  <c r="P258" i="1"/>
  <c r="J258" i="1"/>
  <c r="G258" i="1"/>
  <c r="P257" i="1"/>
  <c r="J257" i="1"/>
  <c r="G257" i="1"/>
  <c r="P256" i="1"/>
  <c r="J256" i="1"/>
  <c r="G256" i="1"/>
  <c r="P255" i="1"/>
  <c r="J255" i="1"/>
  <c r="G255" i="1"/>
  <c r="P254" i="1"/>
  <c r="J254" i="1"/>
  <c r="G254" i="1"/>
  <c r="P253" i="1"/>
  <c r="J253" i="1"/>
  <c r="G253" i="1"/>
  <c r="P252" i="1"/>
  <c r="J252" i="1"/>
  <c r="G252" i="1"/>
  <c r="P251" i="1"/>
  <c r="J251" i="1"/>
  <c r="G251" i="1"/>
  <c r="P250" i="1"/>
  <c r="J250" i="1"/>
  <c r="G250" i="1"/>
  <c r="AL249" i="1"/>
  <c r="G249" i="1"/>
  <c r="P248" i="1"/>
  <c r="J248" i="1"/>
  <c r="G248" i="1"/>
  <c r="P247" i="1"/>
  <c r="J247" i="1"/>
  <c r="G247" i="1"/>
  <c r="AL246" i="1"/>
  <c r="G246" i="1"/>
  <c r="P245" i="1"/>
  <c r="J245" i="1"/>
  <c r="G245" i="1"/>
  <c r="P244" i="1"/>
  <c r="J244" i="1"/>
  <c r="G244" i="1"/>
  <c r="P243" i="1"/>
  <c r="J243" i="1"/>
  <c r="G243" i="1"/>
  <c r="P242" i="1"/>
  <c r="J242" i="1"/>
  <c r="G242" i="1"/>
  <c r="P241" i="1"/>
  <c r="J241" i="1"/>
  <c r="G241" i="1"/>
  <c r="P240" i="1"/>
  <c r="J240" i="1"/>
  <c r="G240" i="1"/>
  <c r="P239" i="1"/>
  <c r="J239" i="1"/>
  <c r="G239" i="1"/>
  <c r="P238" i="1"/>
  <c r="J238" i="1"/>
  <c r="G238" i="1"/>
  <c r="AL237" i="1"/>
  <c r="G237" i="1"/>
  <c r="G236" i="1"/>
  <c r="P235" i="1"/>
  <c r="J235" i="1"/>
  <c r="G235" i="1"/>
  <c r="AL234" i="1"/>
  <c r="G234" i="1"/>
  <c r="P233" i="1"/>
  <c r="J233" i="1"/>
  <c r="G233" i="1"/>
  <c r="P232" i="1"/>
  <c r="J232" i="1"/>
  <c r="G232" i="1"/>
  <c r="P231" i="1"/>
  <c r="J231" i="1"/>
  <c r="G231" i="1"/>
  <c r="P230" i="1"/>
  <c r="J230" i="1"/>
  <c r="G230" i="1"/>
  <c r="P229" i="1"/>
  <c r="J229" i="1"/>
  <c r="G229" i="1"/>
  <c r="P228" i="1"/>
  <c r="J228" i="1"/>
  <c r="G228" i="1"/>
  <c r="AL227" i="1"/>
  <c r="P227" i="1"/>
  <c r="J227" i="1"/>
  <c r="G227" i="1"/>
  <c r="P226" i="1"/>
  <c r="J226" i="1"/>
  <c r="G226" i="1"/>
  <c r="P225" i="1"/>
  <c r="J225" i="1"/>
  <c r="G225" i="1"/>
  <c r="P224" i="1"/>
  <c r="J224" i="1"/>
  <c r="G224" i="1"/>
  <c r="P223" i="1"/>
  <c r="J223" i="1"/>
  <c r="G223" i="1"/>
  <c r="P222" i="1"/>
  <c r="J222" i="1"/>
  <c r="G222" i="1"/>
  <c r="AL221" i="1"/>
  <c r="G221" i="1"/>
  <c r="P220" i="1"/>
  <c r="J220" i="1"/>
  <c r="G220" i="1"/>
  <c r="P219" i="1"/>
  <c r="J219" i="1"/>
  <c r="G219" i="1"/>
  <c r="P218" i="1"/>
  <c r="J218" i="1"/>
  <c r="G218" i="1"/>
  <c r="P217" i="1"/>
  <c r="J217" i="1"/>
  <c r="G217" i="1"/>
  <c r="P216" i="1"/>
  <c r="J216" i="1"/>
  <c r="G216" i="1"/>
  <c r="P215" i="1"/>
  <c r="J215" i="1"/>
  <c r="G215" i="1"/>
  <c r="P214" i="1"/>
  <c r="J214" i="1"/>
  <c r="G214" i="1"/>
  <c r="P213" i="1"/>
  <c r="J213" i="1"/>
  <c r="G213" i="1"/>
  <c r="P212" i="1"/>
  <c r="J212" i="1"/>
  <c r="G212" i="1"/>
  <c r="P211" i="1"/>
  <c r="J211" i="1"/>
  <c r="G211" i="1"/>
  <c r="P210" i="1"/>
  <c r="J210" i="1"/>
  <c r="G210" i="1"/>
  <c r="P209" i="1"/>
  <c r="J209" i="1"/>
  <c r="G209" i="1"/>
  <c r="P208" i="1"/>
  <c r="J208" i="1"/>
  <c r="G208" i="1"/>
  <c r="P207" i="1"/>
  <c r="J207" i="1"/>
  <c r="G207" i="1"/>
  <c r="P206" i="1"/>
  <c r="J206" i="1"/>
  <c r="G206" i="1"/>
  <c r="P205" i="1"/>
  <c r="J205" i="1"/>
  <c r="G205" i="1"/>
  <c r="AL204" i="1"/>
  <c r="G204" i="1"/>
  <c r="P203" i="1"/>
  <c r="J203" i="1"/>
  <c r="G203" i="1"/>
  <c r="P202" i="1"/>
  <c r="J202" i="1"/>
  <c r="G202" i="1"/>
  <c r="P201" i="1"/>
  <c r="J201" i="1"/>
  <c r="G201" i="1"/>
  <c r="P200" i="1"/>
  <c r="J200" i="1"/>
  <c r="G200" i="1"/>
  <c r="P199" i="1"/>
  <c r="J199" i="1"/>
  <c r="G199" i="1"/>
  <c r="P198" i="1"/>
  <c r="J198" i="1"/>
  <c r="G198" i="1"/>
  <c r="P197" i="1"/>
  <c r="J197" i="1"/>
  <c r="G197" i="1"/>
  <c r="P196" i="1"/>
  <c r="J196" i="1"/>
  <c r="G196" i="1"/>
  <c r="AL195" i="1"/>
  <c r="G195" i="1"/>
  <c r="P194" i="1"/>
  <c r="J194" i="1"/>
  <c r="G194" i="1"/>
  <c r="P193" i="1"/>
  <c r="J193" i="1"/>
  <c r="G193" i="1"/>
  <c r="P192" i="1"/>
  <c r="J192" i="1"/>
  <c r="G192" i="1"/>
  <c r="AL191" i="1"/>
  <c r="G191" i="1"/>
  <c r="P190" i="1"/>
  <c r="J190" i="1"/>
  <c r="G190" i="1"/>
  <c r="P189" i="1"/>
  <c r="J189" i="1"/>
  <c r="G189" i="1"/>
  <c r="P188" i="1"/>
  <c r="J188" i="1"/>
  <c r="G188" i="1"/>
  <c r="P187" i="1"/>
  <c r="J187" i="1"/>
  <c r="G187" i="1"/>
  <c r="P186" i="1"/>
  <c r="J186" i="1"/>
  <c r="G186" i="1"/>
  <c r="AL185" i="1"/>
  <c r="P185" i="1"/>
  <c r="J185" i="1"/>
  <c r="G185" i="1"/>
  <c r="P184" i="1"/>
  <c r="J184" i="1"/>
  <c r="G184" i="1"/>
  <c r="P183" i="1"/>
  <c r="J183" i="1"/>
  <c r="G183" i="1"/>
  <c r="J182" i="1"/>
  <c r="G182" i="1"/>
  <c r="P181" i="1"/>
  <c r="J181" i="1"/>
  <c r="G181" i="1"/>
  <c r="P180" i="1"/>
  <c r="J180" i="1"/>
  <c r="G180" i="1"/>
  <c r="AL179" i="1"/>
  <c r="G179" i="1"/>
  <c r="P178" i="1"/>
  <c r="J178" i="1"/>
  <c r="G178" i="1"/>
  <c r="P177" i="1"/>
  <c r="J177" i="1"/>
  <c r="G177" i="1"/>
  <c r="P176" i="1"/>
  <c r="J176" i="1"/>
  <c r="G176" i="1"/>
  <c r="P175" i="1"/>
  <c r="J175" i="1"/>
  <c r="G175" i="1"/>
  <c r="P174" i="1"/>
  <c r="J174" i="1"/>
  <c r="G174" i="1"/>
  <c r="P173" i="1"/>
  <c r="J173" i="1"/>
  <c r="G173" i="1"/>
  <c r="P172" i="1"/>
  <c r="J172" i="1"/>
  <c r="G172" i="1"/>
  <c r="P171" i="1"/>
  <c r="J171" i="1"/>
  <c r="G171" i="1"/>
  <c r="P170" i="1"/>
  <c r="J170" i="1"/>
  <c r="G170" i="1"/>
  <c r="AL169" i="1"/>
  <c r="P169" i="1"/>
  <c r="J169" i="1"/>
  <c r="G169" i="1"/>
  <c r="P168" i="1"/>
  <c r="J168" i="1"/>
  <c r="G168" i="1"/>
  <c r="P167" i="1"/>
  <c r="J167" i="1"/>
  <c r="G167" i="1"/>
  <c r="AL166" i="1"/>
  <c r="J166" i="1"/>
  <c r="G166" i="1"/>
  <c r="P165" i="1"/>
  <c r="J165" i="1"/>
  <c r="G165" i="1"/>
  <c r="P164" i="1"/>
  <c r="J164" i="1"/>
  <c r="G164" i="1"/>
  <c r="P163" i="1"/>
  <c r="J163" i="1"/>
  <c r="G163" i="1"/>
  <c r="P162" i="1"/>
  <c r="J162" i="1"/>
  <c r="G162" i="1"/>
  <c r="P161" i="1"/>
  <c r="J161" i="1"/>
  <c r="G161" i="1"/>
  <c r="P160" i="1"/>
  <c r="J160" i="1"/>
  <c r="G160" i="1"/>
  <c r="P159" i="1"/>
  <c r="J159" i="1"/>
  <c r="G159" i="1"/>
  <c r="P158" i="1"/>
  <c r="J158" i="1"/>
  <c r="G158" i="1"/>
  <c r="P157" i="1"/>
  <c r="J157" i="1"/>
  <c r="G157" i="1"/>
  <c r="P156" i="1"/>
  <c r="J156" i="1"/>
  <c r="G156" i="1"/>
  <c r="P155" i="1"/>
  <c r="J155" i="1"/>
  <c r="G155" i="1"/>
  <c r="P154" i="1"/>
  <c r="J154" i="1"/>
  <c r="G154" i="1"/>
  <c r="P153" i="1"/>
  <c r="J153" i="1"/>
  <c r="G153" i="1"/>
  <c r="P152" i="1"/>
  <c r="J152" i="1"/>
  <c r="G152" i="1"/>
  <c r="P151" i="1"/>
  <c r="J151" i="1"/>
  <c r="G151" i="1"/>
  <c r="P150" i="1"/>
  <c r="J150" i="1"/>
  <c r="G150" i="1"/>
  <c r="P149" i="1"/>
  <c r="J149" i="1"/>
  <c r="G149" i="1"/>
  <c r="P148" i="1"/>
  <c r="J148" i="1"/>
  <c r="G148" i="1"/>
  <c r="P147" i="1"/>
  <c r="J147" i="1"/>
  <c r="G147" i="1"/>
  <c r="P146" i="1"/>
  <c r="J146" i="1"/>
  <c r="G146" i="1"/>
  <c r="P145" i="1"/>
  <c r="J145" i="1"/>
  <c r="G145" i="1"/>
  <c r="P144" i="1"/>
  <c r="J144" i="1"/>
  <c r="G144" i="1"/>
  <c r="P143" i="1"/>
  <c r="J143" i="1"/>
  <c r="G143" i="1"/>
  <c r="P142" i="1"/>
  <c r="J142" i="1"/>
  <c r="G142" i="1"/>
  <c r="AL141" i="1"/>
  <c r="G141" i="1"/>
  <c r="P140" i="1"/>
  <c r="J140" i="1"/>
  <c r="G140" i="1"/>
  <c r="P139" i="1"/>
  <c r="J139" i="1"/>
  <c r="G139" i="1"/>
  <c r="P138" i="1"/>
  <c r="J138" i="1"/>
  <c r="G138" i="1"/>
  <c r="P137" i="1"/>
  <c r="J137" i="1"/>
  <c r="G137" i="1"/>
  <c r="P136" i="1"/>
  <c r="J136" i="1"/>
  <c r="G136" i="1"/>
  <c r="P135" i="1"/>
  <c r="J135" i="1"/>
  <c r="G135" i="1"/>
  <c r="P134" i="1"/>
  <c r="J134" i="1"/>
  <c r="G134" i="1"/>
  <c r="P133" i="1"/>
  <c r="J133" i="1"/>
  <c r="G133" i="1"/>
  <c r="P132" i="1"/>
  <c r="J132" i="1"/>
  <c r="G132" i="1"/>
  <c r="P131" i="1"/>
  <c r="J131" i="1"/>
  <c r="G131" i="1"/>
  <c r="P130" i="1"/>
  <c r="J130" i="1"/>
  <c r="G130" i="1"/>
  <c r="P129" i="1"/>
  <c r="J129" i="1"/>
  <c r="G129" i="1"/>
  <c r="P128" i="1"/>
  <c r="J128" i="1"/>
  <c r="G128" i="1"/>
  <c r="P127" i="1"/>
  <c r="J127" i="1"/>
  <c r="G127" i="1"/>
  <c r="P126" i="1"/>
  <c r="J126" i="1"/>
  <c r="G126" i="1"/>
  <c r="P125" i="1"/>
  <c r="J125" i="1"/>
  <c r="G125" i="1"/>
  <c r="P124" i="1"/>
  <c r="J124" i="1"/>
  <c r="G124" i="1"/>
  <c r="P123" i="1"/>
  <c r="J123" i="1"/>
  <c r="G123" i="1"/>
  <c r="P122" i="1"/>
  <c r="J122" i="1"/>
  <c r="G122" i="1"/>
  <c r="P121" i="1"/>
  <c r="J121" i="1"/>
  <c r="G121" i="1"/>
  <c r="P120" i="1"/>
  <c r="J120" i="1"/>
  <c r="G120" i="1"/>
  <c r="P119" i="1"/>
  <c r="J119" i="1"/>
  <c r="G119" i="1"/>
  <c r="P118" i="1"/>
  <c r="J118" i="1"/>
  <c r="G118" i="1"/>
  <c r="P117" i="1"/>
  <c r="J117" i="1"/>
  <c r="G117" i="1"/>
  <c r="AL116" i="1"/>
  <c r="P116" i="1"/>
  <c r="J116" i="1"/>
  <c r="G116" i="1"/>
  <c r="P115" i="1"/>
  <c r="J115" i="1"/>
  <c r="G115" i="1"/>
  <c r="P114" i="1"/>
  <c r="J114" i="1"/>
  <c r="G114" i="1"/>
  <c r="P113" i="1"/>
  <c r="J113" i="1"/>
  <c r="G113" i="1"/>
  <c r="P112" i="1"/>
  <c r="J112" i="1"/>
  <c r="G112" i="1"/>
  <c r="P111" i="1"/>
  <c r="J111" i="1"/>
  <c r="G111" i="1"/>
  <c r="P110" i="1"/>
  <c r="J110" i="1"/>
  <c r="G110" i="1"/>
  <c r="P109" i="1"/>
  <c r="J109" i="1"/>
  <c r="G109" i="1"/>
  <c r="P108" i="1"/>
  <c r="J108" i="1"/>
  <c r="G108" i="1"/>
  <c r="P107" i="1"/>
  <c r="J107" i="1"/>
  <c r="G107" i="1"/>
  <c r="P106" i="1"/>
  <c r="J106" i="1"/>
  <c r="G106" i="1"/>
  <c r="P105" i="1"/>
  <c r="J105" i="1"/>
  <c r="G105" i="1"/>
  <c r="P104" i="1"/>
  <c r="J104" i="1"/>
  <c r="G104" i="1"/>
  <c r="P103" i="1"/>
  <c r="J103" i="1"/>
  <c r="G103" i="1"/>
  <c r="P102" i="1"/>
  <c r="J102" i="1"/>
  <c r="G102" i="1"/>
  <c r="P101" i="1"/>
  <c r="J101" i="1"/>
  <c r="G101" i="1"/>
  <c r="P100" i="1"/>
  <c r="J100" i="1"/>
  <c r="G100" i="1"/>
  <c r="J99" i="1"/>
  <c r="G99" i="1"/>
  <c r="P98" i="1"/>
  <c r="J98" i="1"/>
  <c r="G98" i="1"/>
  <c r="P97" i="1"/>
  <c r="J97" i="1"/>
  <c r="G97" i="1"/>
  <c r="P96" i="1"/>
  <c r="J96" i="1"/>
  <c r="G96" i="1"/>
  <c r="P95" i="1"/>
  <c r="J95" i="1"/>
  <c r="G95" i="1"/>
  <c r="AL94" i="1"/>
  <c r="J94" i="1"/>
  <c r="G94" i="1"/>
  <c r="AL93" i="1"/>
  <c r="P93" i="1"/>
  <c r="J93" i="1"/>
  <c r="G93" i="1"/>
  <c r="P92" i="1"/>
  <c r="J92" i="1"/>
  <c r="G92" i="1"/>
  <c r="P91" i="1"/>
  <c r="J91" i="1"/>
  <c r="G91" i="1"/>
  <c r="P90" i="1"/>
  <c r="J90" i="1"/>
  <c r="G90" i="1"/>
  <c r="P89" i="1"/>
  <c r="J89" i="1"/>
  <c r="G89" i="1"/>
  <c r="P88" i="1"/>
  <c r="J88" i="1"/>
  <c r="G88" i="1"/>
  <c r="P87" i="1"/>
  <c r="J87" i="1"/>
  <c r="G87" i="1"/>
  <c r="P86" i="1"/>
  <c r="J86" i="1"/>
  <c r="G86" i="1"/>
  <c r="P85" i="1"/>
  <c r="J85" i="1"/>
  <c r="G85" i="1"/>
  <c r="P84" i="1"/>
  <c r="J84" i="1"/>
  <c r="G84" i="1"/>
  <c r="P83" i="1"/>
  <c r="J83" i="1"/>
  <c r="G83" i="1"/>
  <c r="P82" i="1"/>
  <c r="J82" i="1"/>
  <c r="G82" i="1"/>
  <c r="P81" i="1"/>
  <c r="J81" i="1"/>
  <c r="G81" i="1"/>
  <c r="P80" i="1"/>
  <c r="J80" i="1"/>
  <c r="G80" i="1"/>
  <c r="P79" i="1"/>
  <c r="J79" i="1"/>
  <c r="G79" i="1"/>
  <c r="P78" i="1"/>
  <c r="J78" i="1"/>
  <c r="G78" i="1"/>
  <c r="P77" i="1"/>
  <c r="J77" i="1"/>
  <c r="G77" i="1"/>
  <c r="P76" i="1"/>
  <c r="J76" i="1"/>
  <c r="G76" i="1"/>
  <c r="P75" i="1"/>
  <c r="J75" i="1"/>
  <c r="G75" i="1"/>
  <c r="P74" i="1"/>
  <c r="J74" i="1"/>
  <c r="G74" i="1"/>
  <c r="P73" i="1"/>
  <c r="J73" i="1"/>
  <c r="G73" i="1"/>
  <c r="P72" i="1"/>
  <c r="J72" i="1"/>
  <c r="G72" i="1"/>
  <c r="P71" i="1"/>
  <c r="J71" i="1"/>
  <c r="G71" i="1"/>
  <c r="P70" i="1"/>
  <c r="J70" i="1"/>
  <c r="G70" i="1"/>
  <c r="P69" i="1"/>
  <c r="J69" i="1"/>
  <c r="G69" i="1"/>
  <c r="P68" i="1"/>
  <c r="J68" i="1"/>
  <c r="G68" i="1"/>
  <c r="P67" i="1"/>
  <c r="J67" i="1"/>
  <c r="G67" i="1"/>
  <c r="P66" i="1"/>
  <c r="J66" i="1"/>
  <c r="G66" i="1"/>
  <c r="P65" i="1"/>
  <c r="J65" i="1"/>
  <c r="G65" i="1"/>
  <c r="P64" i="1"/>
  <c r="J64" i="1"/>
  <c r="G64" i="1"/>
  <c r="P63" i="1"/>
  <c r="J63" i="1"/>
  <c r="G63" i="1"/>
  <c r="P62" i="1"/>
  <c r="J62" i="1"/>
  <c r="G62" i="1"/>
  <c r="AL61" i="1"/>
  <c r="P61" i="1"/>
  <c r="J61" i="1"/>
  <c r="G61" i="1"/>
  <c r="P60" i="1"/>
  <c r="J60" i="1"/>
  <c r="G60" i="1"/>
  <c r="P59" i="1"/>
  <c r="J59" i="1"/>
  <c r="G59" i="1"/>
  <c r="P58" i="1"/>
  <c r="J58" i="1"/>
  <c r="G58" i="1"/>
  <c r="P57" i="1"/>
  <c r="J57" i="1"/>
  <c r="G57" i="1"/>
  <c r="P56" i="1"/>
  <c r="J56" i="1"/>
  <c r="G56" i="1"/>
  <c r="P55" i="1"/>
  <c r="J55" i="1"/>
  <c r="G55" i="1"/>
  <c r="P54" i="1"/>
  <c r="J54" i="1"/>
  <c r="G54" i="1"/>
  <c r="P53" i="1"/>
  <c r="J53" i="1"/>
  <c r="G53" i="1"/>
  <c r="P52" i="1"/>
  <c r="J52" i="1"/>
  <c r="G52" i="1"/>
  <c r="P51" i="1"/>
  <c r="J51" i="1"/>
  <c r="G51" i="1"/>
  <c r="P50" i="1"/>
  <c r="J50" i="1"/>
  <c r="G50" i="1"/>
  <c r="AL49" i="1"/>
  <c r="P49" i="1"/>
  <c r="J49" i="1"/>
  <c r="G49" i="1"/>
  <c r="P48" i="1"/>
  <c r="J48" i="1"/>
  <c r="G48" i="1"/>
  <c r="P47" i="1"/>
  <c r="J47" i="1"/>
  <c r="G47" i="1"/>
  <c r="P46" i="1"/>
  <c r="J46" i="1"/>
  <c r="G46" i="1"/>
  <c r="P45" i="1"/>
  <c r="J45" i="1"/>
  <c r="G45" i="1"/>
  <c r="P44" i="1"/>
  <c r="J44" i="1"/>
  <c r="G44" i="1"/>
  <c r="P43" i="1"/>
  <c r="J43" i="1"/>
  <c r="G43" i="1"/>
  <c r="AL42" i="1"/>
  <c r="J42" i="1"/>
  <c r="G42" i="1"/>
  <c r="AL41" i="1"/>
  <c r="P41" i="1"/>
  <c r="J41" i="1"/>
  <c r="G41" i="1"/>
  <c r="P40" i="1"/>
  <c r="J40" i="1"/>
  <c r="G40" i="1"/>
  <c r="P39" i="1"/>
  <c r="J39" i="1"/>
  <c r="G39" i="1"/>
  <c r="P38" i="1"/>
  <c r="J38" i="1"/>
  <c r="G38" i="1"/>
  <c r="P37" i="1"/>
  <c r="J37" i="1"/>
  <c r="G37" i="1"/>
  <c r="P36" i="1"/>
  <c r="J36" i="1"/>
  <c r="G36" i="1"/>
  <c r="P35" i="1"/>
  <c r="J35" i="1"/>
  <c r="G35" i="1"/>
  <c r="P34" i="1"/>
  <c r="J34" i="1"/>
  <c r="G34" i="1"/>
  <c r="P33" i="1"/>
  <c r="J33" i="1"/>
  <c r="G33" i="1"/>
  <c r="P32" i="1"/>
  <c r="J32" i="1"/>
  <c r="G32" i="1"/>
  <c r="P31" i="1"/>
  <c r="J31" i="1"/>
  <c r="G31" i="1"/>
  <c r="P30" i="1"/>
  <c r="J30" i="1"/>
  <c r="G30" i="1"/>
  <c r="P29" i="1"/>
  <c r="J29" i="1"/>
  <c r="G29" i="1"/>
  <c r="P28" i="1"/>
  <c r="J28" i="1"/>
  <c r="G28" i="1"/>
  <c r="P27" i="1"/>
  <c r="J27" i="1"/>
  <c r="G27" i="1"/>
  <c r="P26" i="1"/>
  <c r="J26" i="1"/>
  <c r="G26" i="1"/>
  <c r="P25" i="1"/>
  <c r="J25" i="1"/>
  <c r="G25" i="1"/>
  <c r="P24" i="1"/>
  <c r="J24" i="1"/>
  <c r="G24" i="1"/>
  <c r="P23" i="1"/>
  <c r="J23" i="1"/>
  <c r="G23" i="1"/>
  <c r="P22" i="1"/>
  <c r="J22" i="1"/>
  <c r="G22" i="1"/>
  <c r="P21" i="1"/>
  <c r="J21" i="1"/>
  <c r="G21" i="1"/>
  <c r="P20" i="1"/>
  <c r="J20" i="1"/>
  <c r="G20" i="1"/>
  <c r="P19" i="1"/>
  <c r="J19" i="1"/>
  <c r="G19" i="1"/>
  <c r="P18" i="1"/>
  <c r="J18" i="1"/>
  <c r="G18" i="1"/>
  <c r="P17" i="1"/>
  <c r="J17" i="1"/>
  <c r="G17" i="1"/>
  <c r="P16" i="1"/>
  <c r="J16" i="1"/>
  <c r="G16" i="1"/>
  <c r="P15" i="1"/>
  <c r="J15" i="1"/>
  <c r="G15" i="1"/>
  <c r="P14" i="1"/>
  <c r="J14" i="1"/>
  <c r="G14" i="1"/>
  <c r="P13" i="1"/>
  <c r="J13" i="1"/>
  <c r="G13" i="1"/>
  <c r="P12" i="1"/>
  <c r="J12" i="1"/>
  <c r="G12" i="1"/>
  <c r="P11" i="1"/>
  <c r="J11" i="1"/>
  <c r="G11" i="1"/>
  <c r="P10" i="1"/>
  <c r="J10" i="1"/>
  <c r="G10" i="1"/>
  <c r="P9" i="1"/>
  <c r="J9" i="1"/>
  <c r="G9" i="1"/>
  <c r="P8" i="1"/>
  <c r="J8" i="1"/>
  <c r="G8" i="1"/>
  <c r="P7" i="1"/>
  <c r="J7" i="1"/>
  <c r="G7" i="1"/>
  <c r="P6" i="1"/>
  <c r="J6" i="1"/>
  <c r="G6" i="1"/>
  <c r="P5" i="1"/>
  <c r="J5" i="1"/>
  <c r="G5" i="1"/>
  <c r="P4" i="1"/>
  <c r="J4" i="1"/>
  <c r="G4" i="1"/>
  <c r="P3" i="1"/>
  <c r="J3" i="1"/>
  <c r="G3" i="1"/>
  <c r="AL2" i="1"/>
  <c r="P2" i="1"/>
  <c r="J2" i="1"/>
  <c r="G2" i="1"/>
</calcChain>
</file>

<file path=xl/sharedStrings.xml><?xml version="1.0" encoding="utf-8"?>
<sst xmlns="http://schemas.openxmlformats.org/spreadsheetml/2006/main" count="73956" uniqueCount="12361">
  <si>
    <t>Дата</t>
  </si>
  <si>
    <t>Время</t>
  </si>
  <si>
    <t>Сохранено</t>
  </si>
  <si>
    <t>Заголовок</t>
  </si>
  <si>
    <t>Дайджест текста</t>
  </si>
  <si>
    <t>Тип поста</t>
  </si>
  <si>
    <t>URL</t>
  </si>
  <si>
    <t>Тональность</t>
  </si>
  <si>
    <t>Автор</t>
  </si>
  <si>
    <t>Профиль</t>
  </si>
  <si>
    <t>Подписчики</t>
  </si>
  <si>
    <t>Демография</t>
  </si>
  <si>
    <t>Возраст</t>
  </si>
  <si>
    <t>Источник</t>
  </si>
  <si>
    <t>Место публикации</t>
  </si>
  <si>
    <t>Профиль места публикации</t>
  </si>
  <si>
    <t>Подписчики места публикации</t>
  </si>
  <si>
    <t>Тип источника</t>
  </si>
  <si>
    <t>Страна</t>
  </si>
  <si>
    <t>Регион</t>
  </si>
  <si>
    <t>Город</t>
  </si>
  <si>
    <t>Заметки</t>
  </si>
  <si>
    <t>Сумма всех реакций</t>
  </si>
  <si>
    <t>Лайки</t>
  </si>
  <si>
    <t>Love</t>
  </si>
  <si>
    <t>Haha</t>
  </si>
  <si>
    <t>Wow</t>
  </si>
  <si>
    <t>Sad</t>
  </si>
  <si>
    <t>Angry</t>
  </si>
  <si>
    <t>Dislikes</t>
  </si>
  <si>
    <t>Комментарии</t>
  </si>
  <si>
    <t>Репосты</t>
  </si>
  <si>
    <t>Просмотры</t>
  </si>
  <si>
    <t>Рейтинг</t>
  </si>
  <si>
    <t>Бренды на изображении</t>
  </si>
  <si>
    <t>Объекты на изображении</t>
  </si>
  <si>
    <t>Сцены на изображении</t>
  </si>
  <si>
    <t>URL изображения</t>
  </si>
  <si>
    <t>Назначено</t>
  </si>
  <si>
    <t>Обработано</t>
  </si>
  <si>
    <t>+</t>
  </si>
  <si>
    <t>[Тип Автора] Пользовательское мнение</t>
  </si>
  <si>
    <t>[Тип Автора] Маркетинговые коммуникации</t>
  </si>
  <si>
    <t>[Тип Автора] Нерелевантные сообщения</t>
  </si>
  <si>
    <t>Спам</t>
  </si>
  <si>
    <t>[Тех. Предмет] Оборудование</t>
  </si>
  <si>
    <t>[Тех. Предмет] Пакет</t>
  </si>
  <si>
    <t>[Тип Автора] Медиа</t>
  </si>
  <si>
    <t>[Тех. Предмет] Сигнал</t>
  </si>
  <si>
    <t>[Серв. Предмет] Сервис</t>
  </si>
  <si>
    <t>[Серв. Предмет] Цена и Оплата</t>
  </si>
  <si>
    <t>[Тип сообщения] Мнение</t>
  </si>
  <si>
    <t>[Тип Услуги] ТВ</t>
  </si>
  <si>
    <t>[Тип Услуги] Интернет</t>
  </si>
  <si>
    <t>[Тип Услуги] Умный Дом</t>
  </si>
  <si>
    <t>[Тип Услуги] Нет уточнения</t>
  </si>
  <si>
    <t>[Тип сообщения] Вопрос</t>
  </si>
  <si>
    <t>[Тип сообщения] Жалоба</t>
  </si>
  <si>
    <t>Общий негатив</t>
  </si>
  <si>
    <t>Оффтоп</t>
  </si>
  <si>
    <t>[Тип Автора] Собственные коммуникации</t>
  </si>
  <si>
    <t>[Тип Автора] Информационные сообщения</t>
  </si>
  <si>
    <t>[Тех. Предмет] Пульт</t>
  </si>
  <si>
    <t>[Тех. Предмет] Ресивер</t>
  </si>
  <si>
    <t>[Тех. Предмет] Антенна</t>
  </si>
  <si>
    <t>[Серв. Предмет] Ошибка 0</t>
  </si>
  <si>
    <t>[Тех. Предмет] Карта-модуль</t>
  </si>
  <si>
    <t>[Тех. Предмет] Интерфейс</t>
  </si>
  <si>
    <t>[Тех. Предмет] Приложение</t>
  </si>
  <si>
    <t>[Серв. Предмет] Реклама</t>
  </si>
  <si>
    <t>[Серв. Предмет] Ошибка 20</t>
  </si>
  <si>
    <t>[Серв. Предмет] Ошибка 21</t>
  </si>
  <si>
    <t>[Серв. Предмет] Ошибка 4</t>
  </si>
  <si>
    <t>[Серв. Предмет] Ошибка 30</t>
  </si>
  <si>
    <t>[Серв. Предмет] Ошибка 10</t>
  </si>
  <si>
    <t>[Серв. Предмет] Ошибка 5</t>
  </si>
  <si>
    <t>[Тех. Предмет] Радио</t>
  </si>
  <si>
    <t>[Серв. Предмет] Ошибка 11</t>
  </si>
  <si>
    <t>[Серв. Предмет] Ошибка 34</t>
  </si>
  <si>
    <t>[Серв. Предмет] Ошибка 13</t>
  </si>
  <si>
    <t>[Серв. Предмет] Ошибка 102</t>
  </si>
  <si>
    <t>[Серв. Предмет] Ошибка 7</t>
  </si>
  <si>
    <t>[Серв. Предмет] Ошибка 42</t>
  </si>
  <si>
    <t>[Тип Услуги] Работа в Триколор</t>
  </si>
  <si>
    <t>[Серв. Предмет] Ошибка 404</t>
  </si>
  <si>
    <t>[Серв. Предмет] Ошибка 8</t>
  </si>
  <si>
    <t>[Серв. Предмет] Ошибка 23</t>
  </si>
  <si>
    <t>[Серв. Предмет] Ошибка 29</t>
  </si>
  <si>
    <t>[Жалобы] Дилер</t>
  </si>
  <si>
    <t>[Жалобы] Call-центр</t>
  </si>
  <si>
    <t>[Серв. Предмет] Ошибка 50</t>
  </si>
  <si>
    <t>[Тех.Предмет]+День Победы</t>
  </si>
  <si>
    <t>[Серв. Предмет] Ошибка 26</t>
  </si>
  <si>
    <t>[Серв. Предмет] Ошибка 6</t>
  </si>
  <si>
    <t>[Серв. Предмет] Ошибка 43</t>
  </si>
  <si>
    <t>[Серв. Предмет] Ошибка 3</t>
  </si>
  <si>
    <t>[Серв. Предмет] Ошибка 64</t>
  </si>
  <si>
    <t>Сообщество заморожено</t>
  </si>
  <si>
    <t>[Серв. Предмет] Ошибка 2</t>
  </si>
  <si>
    <t>[Серв. Предмет] Принуждение к обмену</t>
  </si>
  <si>
    <t>[Серв. Предмет] Ошибка 80</t>
  </si>
  <si>
    <t>[Серв. Предмет] Ошибка 152</t>
  </si>
  <si>
    <t>[Серв. Предмет] Ошибка 37</t>
  </si>
  <si>
    <t>[Серв. Предмет] Ошибка 9</t>
  </si>
  <si>
    <t>+КУЛЕБАКИ</t>
  </si>
  <si>
    <t>Требование компенсации</t>
  </si>
  <si>
    <t>Угроза судом</t>
  </si>
  <si>
    <t>Угроза расторжением</t>
  </si>
  <si>
    <t>Радость</t>
  </si>
  <si>
    <t>Недоверие</t>
  </si>
  <si>
    <t>Передумал уходить</t>
  </si>
  <si>
    <t>Рекламные коммуникации</t>
  </si>
  <si>
    <t>[Серв. Предмет] Ошибка 28</t>
  </si>
  <si>
    <t>31.07.2021</t>
  </si>
  <si>
    <t>23:40</t>
  </si>
  <si>
    <t>31.07.2021 23:41</t>
  </si>
  <si>
    <t>Люки между модулем #Наука и МКС открыты! Международная космическая станция и многоцелевой лабораторный модуль «Наука» —</t>
  </si>
  <si>
    <t>Ctehbka, вот закон, щатрудняющий иностранный интернет. На счёт триколора, а ты хнаешь, что в России он не везде ловит, т.к зона покрытия мала?</t>
  </si>
  <si>
    <t>Комментарий</t>
  </si>
  <si>
    <t>Нейтральная</t>
  </si>
  <si>
    <t>Андрей Фесов</t>
  </si>
  <si>
    <t>Мужчина</t>
  </si>
  <si>
    <t>vk.com</t>
  </si>
  <si>
    <t>Роскосмос</t>
  </si>
  <si>
    <t>Соц. сеть</t>
  </si>
  <si>
    <t>Россия</t>
  </si>
  <si>
    <t>Брянская область</t>
  </si>
  <si>
    <t>Брянск</t>
  </si>
  <si>
    <t>paper product,text,document,software</t>
  </si>
  <si>
    <t/>
  </si>
  <si>
    <t>Нет</t>
  </si>
  <si>
    <t>23:36</t>
  </si>
  <si>
    <t>31.07.2021 23:36</t>
  </si>
  <si>
    <t>Продам . Приёмник цифровой спутниковый DRS 5001. Б/у. 500 рублей. Фрегат. Пишите, пожалуйста, в лич.сообщ.</t>
  </si>
  <si>
    <t>Я такой триколор вместе с металлоломом выкинул.</t>
  </si>
  <si>
    <t>Алексей Зырянов</t>
  </si>
  <si>
    <t>Группа тех, кто живёт в Пупышево и любит это мес</t>
  </si>
  <si>
    <t>Санкт-Петербург</t>
  </si>
  <si>
    <t>23:21</t>
  </si>
  <si>
    <t>01.08.2021 02:14</t>
  </si>
  <si>
    <t>И это хоршо! Пока такие места есть - мы есть! )</t>
  </si>
  <si>
    <t>И лучше не триколор тогда, а рткомм, там есть тариф 2 гига за 670Р. На позвонить - хватит. Но этот лопух с опорой места много занимать будет в машине.</t>
  </si>
  <si>
    <t>Nikolay</t>
  </si>
  <si>
    <t>telegram.me</t>
  </si>
  <si>
    <t>Nag.Ru</t>
  </si>
  <si>
    <t>Мессенджеры</t>
  </si>
  <si>
    <t>22:54</t>
  </si>
  <si>
    <t>31.07.2021 22:54</t>
  </si>
  <si>
    <t>Анонимно , есть у кого контакты людей кто занимается настройкой телевизоров ? Пропала связь и не видит антену . Отпишусь</t>
  </si>
  <si>
    <t>А у меня в триколор, то звук исчезает, (пишет :нет аудио, то вообще отключается, и это после настройки мастера, Ищу тоже нормального,магазин Триколор в Микрорайоне не предлагать, мастер оттуда</t>
  </si>
  <si>
    <t>Наталья Тарасова</t>
  </si>
  <si>
    <t>Женщина</t>
  </si>
  <si>
    <t>Подслушано Руза.</t>
  </si>
  <si>
    <t>Московская область</t>
  </si>
  <si>
    <t>Руза</t>
  </si>
  <si>
    <t>22:41</t>
  </si>
  <si>
    <t>31.07.2021 22:52</t>
  </si>
  <si>
    <t>Спасибо триколор! Мне позвонили с триколора, предложили поменять триколор GS-8304 на GS B623L за 2500 руб 50% от</t>
  </si>
  <si>
    <t>Все эти акции, как ни крути, это бизнес. Поэтому пока есть люди меняющие 8304 на новый он ещё "в строю", если нет просто отключат их всем поголовно, завуялируя чем-нибудь благородным, и опять будут акции обмена. Поэтому рады не только вы, что обменяли приемник, но и мы.</t>
  </si>
  <si>
    <t>Николай Сухарев</t>
  </si>
  <si>
    <t>Абоненты спутникового  ТВ</t>
  </si>
  <si>
    <t>Липецкая область</t>
  </si>
  <si>
    <t>Барятино</t>
  </si>
  <si>
    <t>22:25</t>
  </si>
  <si>
    <t>31.07.2021 22:28</t>
  </si>
  <si>
    <t>Как вам погодка??? Надеюсь с Пустынного все успели уехать?</t>
  </si>
  <si>
    <t>Анна, триколор при первом раскате грома прекратил трансляцию...</t>
  </si>
  <si>
    <t>Елена Грешнова</t>
  </si>
  <si>
    <t>Типичный Балаково!</t>
  </si>
  <si>
    <t>Москва</t>
  </si>
  <si>
    <t>22:03</t>
  </si>
  <si>
    <t>31.07.2021 22:09</t>
  </si>
  <si>
    <t>Считаете себя знатоком кино? Тогда успейте поучаствовать в заключительном этапе нашего конкурса. Мы собрали эмодзи,</t>
  </si>
  <si>
    <t>1. Форрест Гамп
2. Мадагаскар
3. Аватар - Легенда Об Аанге</t>
  </si>
  <si>
    <t>Надежда Большакова</t>
  </si>
  <si>
    <t>Триколор</t>
  </si>
  <si>
    <t>21:57</t>
  </si>
  <si>
    <t>02.08.2021 12:50</t>
  </si>
  <si>
    <t>Ресивер для просмотра Триколор ТВ на 2-м телевизоре GS C592. Шнур HDMI - HDMI 1.5 метра + Батарейки ААА в комплекте.</t>
  </si>
  <si>
    <t>Достоинства: все отлично
Недостатки: нет
Хорошо упакован. В коробку положили инструкцию как подключить к главной приставке серверу. Папа быстро установил. У родителей до этого была приставка GS C593 эта модель отлично подошла.</t>
  </si>
  <si>
    <t>Пост</t>
  </si>
  <si>
    <t>Позитивная</t>
  </si>
  <si>
    <t>Динара А.</t>
  </si>
  <si>
    <t>ozon.ru</t>
  </si>
  <si>
    <t>Отзывы</t>
  </si>
  <si>
    <t>21:47</t>
  </si>
  <si>
    <t>31.07.2021 21:52</t>
  </si>
  <si>
    <t>1. Форрест Гамп 2. Мадагаскар 3. Аватар - Легенда Об Аанге</t>
  </si>
  <si>
    <t>Николай Некрасов</t>
  </si>
  <si>
    <t>Ульяновская область</t>
  </si>
  <si>
    <t>Ульяновск</t>
  </si>
  <si>
    <t>21:45</t>
  </si>
  <si>
    <t>Elena Alex</t>
  </si>
  <si>
    <t>21:44</t>
  </si>
  <si>
    <t>31.07.2021 21:45</t>
  </si>
  <si>
    <t>Таиса Жидкова</t>
  </si>
  <si>
    <t>21:43</t>
  </si>
  <si>
    <t>George Nekrasov</t>
  </si>
  <si>
    <t>21:41</t>
  </si>
  <si>
    <t>Николай Попов</t>
  </si>
  <si>
    <t>21:38</t>
  </si>
  <si>
    <t>Ульяна Цыганова</t>
  </si>
  <si>
    <t>21:31</t>
  </si>
  <si>
    <t>31.07.2021 21:48</t>
  </si>
  <si>
    <t>[ru] Мой Триколор</t>
  </si>
  <si>
    <t>Хорошо работает
v2.4.0</t>
  </si>
  <si>
    <t>Оксана Булдакова</t>
  </si>
  <si>
    <t>play.google.com</t>
  </si>
  <si>
    <t>21:18</t>
  </si>
  <si>
    <t>31.07.2021 21:27</t>
  </si>
  <si>
    <t>1. Форрест Гамп 2. Мадагаскар 3. Аватар - Легенда об Аанге</t>
  </si>
  <si>
    <t>Эльвира Гаврилова</t>
  </si>
  <si>
    <t>Башкортостан</t>
  </si>
  <si>
    <t>Салават</t>
  </si>
  <si>
    <t>21:14</t>
  </si>
  <si>
    <t>Первый этап конкурса, в котором вы угадывали фильмы по эмодзи, подошёл к концу, а это значит, что настало время второго!</t>
  </si>
  <si>
    <t>Матрица, План побега, Бэтмен против Супермена на заре Справедливости</t>
  </si>
  <si>
    <t>Сусанна Хвостова</t>
  </si>
  <si>
    <t>Свердловская область</t>
  </si>
  <si>
    <t>Пышма</t>
  </si>
  <si>
    <t>21:09</t>
  </si>
  <si>
    <t>21:06</t>
  </si>
  <si>
    <t>31.07.2021 21:08</t>
  </si>
  <si>
    <t>Наталья Цыганкова</t>
  </si>
  <si>
    <t>21:03</t>
  </si>
  <si>
    <t>31.07.2021 21:03</t>
  </si>
  <si>
    <t>С 21 июля для приёмного оборудования моделей GS В621L, GS В622L, GS В626L и GS В623L будет доступна новая версия ПО,</t>
  </si>
  <si>
    <t>Триколор, "при наличии большой аудитории допустимы недопонимания". Какая аудитория? Триколор так Клиентов называет? Считаете это нормально?
Даже по этой выдержки из текста ясно, что за отношение. А отдельно про SMM-щиков и говорить не приходится, для чего вы тут в ВК? Если Триколор не делает/не хочет качественный сервис, то зачем тогда он нужен?
По теме телеканалов. "А мы регулярно работаем над увеличением количества каналов различного контента" - сказал Триколор. Каким увеличением? Не увеличением, а уменьшением. Триколор, в одностороннем порядке, удали National Geographic HD, National Geo Wild HD, Discovery Channel HD, Animal Planet, TLC, FOX, FOX Life и некоторые другие.
Р-Работнички.</t>
  </si>
  <si>
    <t>Негативная</t>
  </si>
  <si>
    <t>Евгений Манжурин</t>
  </si>
  <si>
    <t>Воронежская область</t>
  </si>
  <si>
    <t>Воронеж</t>
  </si>
  <si>
    <t>20:49</t>
  </si>
  <si>
    <t>01.08.2021 11:00</t>
  </si>
  <si>
    <t>Мне не нравится, что ни чего нового не показывают всё одно и тоже. Кто интересно составляет телепрограму? Платим такие деньги, а они наровят с нас ещо за что нибудь содрать, к примеру детский.</t>
  </si>
  <si>
    <t>татьяна калихова</t>
  </si>
  <si>
    <t>maps.yandex.ru</t>
  </si>
  <si>
    <t>Астраханская область</t>
  </si>
  <si>
    <t>Астрахань</t>
  </si>
  <si>
    <t>20:48</t>
  </si>
  <si>
    <t>Форрест Гамп
Мадагаскар
Аватар: Легенда об Аанге</t>
  </si>
  <si>
    <t>Слава Григорьев</t>
  </si>
  <si>
    <t>Уфа</t>
  </si>
  <si>
    <t>20:28</t>
  </si>
  <si>
    <t>02.08.2021 10:21</t>
  </si>
  <si>
    <t>Быстрая настройка Триколор ТВ прибором Satellite Finder</t>
  </si>
  <si>
    <t>Спасибо! Настроил за 2 минуты.</t>
  </si>
  <si>
    <t>Сергей Быков</t>
  </si>
  <si>
    <t>youtube.com</t>
  </si>
  <si>
    <t>10K_Kraft</t>
  </si>
  <si>
    <t>20:15</t>
  </si>
  <si>
    <t>31.07.2021 20:15</t>
  </si>
  <si>
    <t>Да, пополнение БЕСПЛАТНОЙ библиотеки фильмов в нашем онлайн-кинотеатре (приложения "Кино Онлайн"/"Кино"/"Триколор Кино и</t>
  </si>
  <si>
    <t>Даже на рен тв есть дрожь земли все части и армагеддон у нас когда появиться</t>
  </si>
  <si>
    <t>Илья Коликов</t>
  </si>
  <si>
    <t>Спутниковое ТВ №1 в России</t>
  </si>
  <si>
    <t>Ивановская область</t>
  </si>
  <si>
    <t>Родники</t>
  </si>
  <si>
    <t>20:01</t>
  </si>
  <si>
    <t>31.07.2021 20:02</t>
  </si>
  <si>
    <t>Олды на месте?</t>
  </si>
  <si>
    <t>Полина, если у тебя приставка для телека триколор там канал gagsnetvork</t>
  </si>
  <si>
    <t>Бородин Миша</t>
  </si>
  <si>
    <t>МультМем</t>
  </si>
  <si>
    <t>Омская область</t>
  </si>
  <si>
    <t>Омск</t>
  </si>
  <si>
    <t>19:55</t>
  </si>
  <si>
    <t>31.07.2021 20:05</t>
  </si>
  <si>
    <t>1. Форрест Гамп 2. Мадагаскар 3. Аватар: Легенда об Аанге</t>
  </si>
  <si>
    <t>Леонид Ефимов</t>
  </si>
  <si>
    <t>19:54</t>
  </si>
  <si>
    <t>1. Форрест Гамп
2.  Мадагаскар
3. аватар - Легенда об Аанге</t>
  </si>
  <si>
    <t>Стас Климов</t>
  </si>
  <si>
    <t>Кабардино-Балкария</t>
  </si>
  <si>
    <t>Нальчик</t>
  </si>
  <si>
    <t>19:51</t>
  </si>
  <si>
    <t>31.07.2021 19:51</t>
  </si>
  <si>
    <t>Доброе утро, страна!  Уже сегодня - новый тур Олимп-ФНЛ! Смотри трансляции в Яндекс Эфире и на Триколоре</t>
  </si>
  <si>
    <t>Алексей, футбольный по крайней мере я там смотрю</t>
  </si>
  <si>
    <t>Алексей Сызганский</t>
  </si>
  <si>
    <t>ФУТБОЛЬНАЯ НАЦИОНАЛЬНАЯ ЛИГА (ФНЛ)</t>
  </si>
  <si>
    <t>19:37</t>
  </si>
  <si>
    <t>31.07.2021 19:43</t>
  </si>
  <si>
    <t>1. Форрест Гамп  2. Мадагаскар  3. Аватар - Легенда об Аанге</t>
  </si>
  <si>
    <t>Юлия Корниенко</t>
  </si>
  <si>
    <t>19:23</t>
  </si>
  <si>
    <t>1)Форрест Гамп 2)Мадагаскар 3)Аватар Легенда Об Аанге))</t>
  </si>
  <si>
    <t>Анастасия Разбежкина</t>
  </si>
  <si>
    <t>19:08</t>
  </si>
  <si>
    <t>01.08.2021 06:48</t>
  </si>
  <si>
    <t>Обход блокировок и ограничений операторов</t>
  </si>
  <si>
    <t>/forum/index.php?act=findpost&amp;pid=108340304  ma4ypei,
Блокировки будут, но не наши. Ещё у нас нельзя установить такое оборудование, ибо наше государство выступило против использования "доступного интернета", купите триколор с псевдобезлимитом за 1500р в месяц и пингом 800, зато скорость меньше чем в 3g  :)</t>
  </si>
  <si>
    <t>Cep113</t>
  </si>
  <si>
    <t>4pda.to</t>
  </si>
  <si>
    <t>4PDA &gt; Мобильная и стационарная связь, операторы</t>
  </si>
  <si>
    <t>Форум</t>
  </si>
  <si>
    <t>18:50</t>
  </si>
  <si>
    <t>31.07.2021 19:02</t>
  </si>
  <si>
    <t>"Форрест Гамп", "Мадагаскар", "Аватар. Легенда об Аанге"</t>
  </si>
  <si>
    <t>Алла Горбунова</t>
  </si>
  <si>
    <t>18:46</t>
  </si>
  <si>
    <t>01.08.2021 02:56</t>
  </si>
  <si>
    <t>Не на сайтах, а конкретно, в прямом эфире "Радио Родных Дорог" ( у меня на Триколор ТВ, а не в интернете :) )..</t>
  </si>
  <si>
    <t>Друзья мои! Пишите в инстаграме отзывы ещё и сюда:-</t>
  </si>
  <si>
    <t>Ника Андреева</t>
  </si>
  <si>
    <t>facebook.com</t>
  </si>
  <si>
    <t>paper product,text,document,software,diagram</t>
  </si>
  <si>
    <t>https://scontent.fcac2-1.fna.fbcdn.net/v/t39.30808-6/e15/q75/s960x960/227268881_1456307081416266_4466380141279235794_n.jpg?_nc_cat=111&amp;ccb=1-3&amp;_nc_sid=dbeb18&amp;_nc_ohc=fCly7ZAyOfEAX8VrgmP&amp;_nc_ad=z-m&amp;_nc_cid=0&amp;_nc_ht=scontent.fcac2-1.fna&amp;oh=bb38ec04e07edce00fd15f5d5dda3718&amp;oe=610BA227</t>
  </si>
  <si>
    <t>18:42</t>
  </si>
  <si>
    <t>31.07.2021 18:47</t>
  </si>
  <si>
    <t>Трансляция матча "Ротор" - "Волгарь" здесь https://yandex.ru/efir</t>
  </si>
  <si>
    <t>Объясните,почему на телефоне открывает триколор ТВ  что матч будет,а на телевизоре не получается?!</t>
  </si>
  <si>
    <t>Артем Самсонов</t>
  </si>
  <si>
    <t>ФК «Ротор» / FCRV Supporters</t>
  </si>
  <si>
    <t>Волгоградская область</t>
  </si>
  <si>
    <t>Волгоград</t>
  </si>
  <si>
    <t>18:22</t>
  </si>
  <si>
    <t>31.07.2021 18:22</t>
  </si>
  <si>
    <t>Привет всем. У кого была проблема с триколор тв, а именно приёмник не считывает смарт карту. Что делали? За дельные</t>
  </si>
  <si>
    <t>Там конденсаторы нужно менять</t>
  </si>
  <si>
    <t>Сергей Рукавишников</t>
  </si>
  <si>
    <t>Аша | VКурce</t>
  </si>
  <si>
    <t>18:21</t>
  </si>
  <si>
    <t>31.07.2021 18:24</t>
  </si>
  <si>
    <t>Николай Бычихин</t>
  </si>
  <si>
    <t>Вологодская область</t>
  </si>
  <si>
    <t>Великий Устюг</t>
  </si>
  <si>
    <t>31.07.2021 19:00</t>
  </si>
  <si>
    <t>Всё очень удобно,понятно и доступно.
v2.5.0</t>
  </si>
  <si>
    <t>Самсунг Прайм 2</t>
  </si>
  <si>
    <t>18:19</t>
  </si>
  <si>
    <t>02.08.2021 05:16</t>
  </si>
  <si>
    <t>Re: Обсуждение - новостей триколор тв</t>
  </si>
  <si>
    <t>pangs8300n писал(а):Кто вещает бесплатно 20 федералок? DTH?
по этому от них все сваливают</t>
  </si>
  <si>
    <t>лаМагра</t>
  </si>
  <si>
    <t>telesputnik.ru</t>
  </si>
  <si>
    <t>Телеспутник • Главная страница &gt; Проект Триколор-ТВ</t>
  </si>
  <si>
    <t>18:00</t>
  </si>
  <si>
    <t>31.07.2021 20:03</t>
  </si>
  <si>
    <t>Как оправдаться за неудачную и тупую шутку?
 Скажи, что ты серьёзно и это не шутка
 Главное, не переставай смеяться, вдруг кто-нибудь всё-таки присоединится к твоему позору
 Лучше вообще никогда не шути
 Посмейся и скажи, что перепутал анекдот 
А как выкручиваешься из неловкой ситуации ты? Самый простой способ – научиться хорошо шутить. И в эти выходные ты сможешь подтянуть свой скилл.
 Смотрите сегодня и завтра в 21:00 новый выпуск «Всероссийской лиги юмора» из Ставрополя в онлайн-проекте «Большой эфир» по ссылке https://clck.ru/W35EK, а с понедельника – в бесплатном приложении «Триколор Кино и ТВ» и веб-версии онлайн-сервиса по ссылке kino.tricolor.tv</t>
  </si>
  <si>
    <t>Сообщество</t>
  </si>
  <si>
    <t>sports equipment,text,exercise equipment,barbell</t>
  </si>
  <si>
    <t>sports</t>
  </si>
  <si>
    <t>https://scontent-ssn1-1.xx.fbcdn.net/v/t1.6435-9/p960x960/226607550_4131089143611991_2455262884158367640_n.png?_nc_cat=107&amp;ccb=1-3&amp;_nc_sid=730e14&amp;_nc_ohc=RUKeuGuHnWYAX99XZvA&amp;_nc_oc=AQk7_gm4kB1s3g-BjfofSpKOMxTBqm-qfyBMyI4DQR4K2J15_85GQs5uXPO3mch8ygg&amp;_nc_ad=z-m&amp;_nc_cid=0&amp;_nc_ht=scontent-ssn1-1.xx&amp;oh=05211727074075ab8be2bfa5197a426f&amp;oe=612CAEC3</t>
  </si>
  <si>
    <t>31.07.2021 18:19</t>
  </si>
  <si>
    <t>Как оправдаться за неудачную и тупую шутку?  Скажи, что ты серьёзно и это не шутка  Главное, не переставай смеяться,</t>
  </si>
  <si>
    <t>Как оправдаться за неудачную и тупую шутку?
 Скажи, что ты серьёзно и это не шутка
 Главное, не переставай смеяться, вдруг кто-нибудь всё-таки присоединится к твоему позору
 Лучше вообще никогда не шути
 Посмейся и скажи, что перепутал анекдот 
А как выкручиваешься из неловкой ситуации ты? Самый простой способ – научиться хорошо шутить. И в эти выходные ты сможешь подтянуть свой скилл.
 Смотрите сегодня и завтра в 21:00 новый выпуск «Всероссийской лиги юмора» из Ставрополя в онлайн-проекте «Большой эфир» по ссылке https://ok.me/9cnj, а с понедельника – в бесплатном приложении «Триколор Кино и ТВ» и веб-версии онлайн-сервиса по ссылке kino.tricolor.tv</t>
  </si>
  <si>
    <t>ok.ru</t>
  </si>
  <si>
    <t>31.07.2021 18:05</t>
  </si>
  <si>
    <t>Смотрите сегодня и завтра в 21:00 новый выпуск «Всероссийской лиги юмора» из Ставрополя в онлайн-проекте «Большой эфир» по ссылке https://bit.ly/37aHkqg, а с понедельника – в бесплатном приложении «Триколор Кино и ТВ» и веб-версии онлайн-сервиса http://kino.tricolor.tv</t>
  </si>
  <si>
    <t>twitter.com</t>
  </si>
  <si>
    <t>17:56</t>
  </si>
  <si>
    <t>31.07.2021 17:56</t>
  </si>
  <si>
    <t>Прчина в блоке питания.</t>
  </si>
  <si>
    <t>17:48</t>
  </si>
  <si>
    <t>31.07.2021 17:48</t>
  </si>
  <si>
    <t>#Слухи В ближайшее время телеканал "Живая природа" должен появиться в Триколор ТВ. Ведутся подготовительные работы</t>
  </si>
  <si>
    <t>Ваня, Здравствуйте,Ваня, если будут каналы через спутник новости пишите нам. хорошо</t>
  </si>
  <si>
    <t>Новости Спутникового ТВ! и Кабельного ТВ!</t>
  </si>
  <si>
    <t>Телеканалы Триколор ТВ</t>
  </si>
  <si>
    <t>17:42</t>
  </si>
  <si>
    <t>31.07.2021 17:44</t>
  </si>
  <si>
    <t>Форрест Гамп
 Мадагаскар
 Аватар - Легенда Об Аанге</t>
  </si>
  <si>
    <t>Александр Лапшин</t>
  </si>
  <si>
    <t>Челябинская область</t>
  </si>
  <si>
    <t>Магнитогорск</t>
  </si>
  <si>
    <t>17:37</t>
  </si>
  <si>
    <t>с 1 октября этого года в Интернете, по закону</t>
  </si>
  <si>
    <t>AlexTricolorTV</t>
  </si>
  <si>
    <t>17:27</t>
  </si>
  <si>
    <t>Кто вещает бесплатно 20 федералок? DTH?</t>
  </si>
  <si>
    <t>pangs8300n</t>
  </si>
  <si>
    <t>Тульская область</t>
  </si>
  <si>
    <t>Тула</t>
  </si>
  <si>
    <t>17:24</t>
  </si>
  <si>
    <t>31.07.2021 17:24</t>
  </si>
  <si>
    <t>Привет всем. У кого была проблема с триколор тв, а именно приёмник не считывает смарт карту. Что делали? За дельные советы спасибо!</t>
  </si>
  <si>
    <t>Стас Кузнецов</t>
  </si>
  <si>
    <t>Аша</t>
  </si>
  <si>
    <t>17:10</t>
  </si>
  <si>
    <t>02.08.2021 14:58</t>
  </si>
  <si>
    <t>Конвертер спутниковый круговой поляризации DVS - C102 (2 выхода) ТРИКОЛОР, НТВ</t>
  </si>
  <si>
    <t>Достоинства: Хорошее соотношение цена-качество
Недостатки: Есть небольшие зазоры по корпусу.
Недорогой качественный конвертер круговой поляризации для Триколор и НТВ+. Установил три комплекта, проблем нет. После монтажа не забудьте опустить защитную шторку.</t>
  </si>
  <si>
    <t>Дмитрий Александрович</t>
  </si>
  <si>
    <t>Конвертер спутниковый круговой поляризации  DVS - C102 (2 выхода) ТРИКОЛОР, НТВ</t>
  </si>
  <si>
    <t>16:58</t>
  </si>
  <si>
    <t>31.07.2021 17:16</t>
  </si>
  <si>
    <t>Плазменный телевизор LG 42PT250 - Бюджетный вариант</t>
  </si>
  <si>
    <t>. Легко переключает каналы.
Есть таймер сна, также при длительном просмотре автоматически выключается, есть защита от детей.
Телевизор у нас подключен к Триколор ТВ, качество изображений отличное. Смотрю фильмы HD, на качество тоже не жалуюсь.
К телевизору можно подключить флешку, просматривать видео, фотографии, слушать музыку.
Очень довольна телевизором. Очень доступная цена, хорошие изображения, удобное меню, достойные характеристики, читает большинство форматов.
Недостатки тоже есть: быстро нагревается экран, так как плазма.</t>
  </si>
  <si>
    <t>Mariana1984</t>
  </si>
  <si>
    <t>otzovik.com</t>
  </si>
  <si>
    <t>Плазменный телевизор LG 42PT250</t>
  </si>
  <si>
    <t>16:50</t>
  </si>
  <si>
    <t>31.07.2021 17:02</t>
  </si>
  <si>
    <t>Что может быть круче распродажи в онлайн-сервисе? Ничего!  В приёмнике, приложении для Smart TV ТВ и на сайте kino</t>
  </si>
  <si>
    <t>Выполните поиск каналов</t>
  </si>
  <si>
    <t>Жмаева Михаил</t>
  </si>
  <si>
    <t>16:49</t>
  </si>
  <si>
    <t>31.07.2021 17:15</t>
  </si>
  <si>
    <t>Вопрос к товарищам энтомологам из Крыма</t>
  </si>
  <si>
    <t>Ясн
Дед которому я триколор ставил и кабель по чердаку тащил назвал их пчелиный волк, из-за того что они залазят в ульи грохают королев пока пчелы не вымирают а потом мед у них тырят - он раньше задалбывался с ними с его слов, а он довольно дорогой мед делал у него акаций во дворе было с полсотни пока ему двор не порезали и дом многоквартирный не построили.</t>
  </si>
  <si>
    <t>viter2000</t>
  </si>
  <si>
    <t>pikabu.ru</t>
  </si>
  <si>
    <t>Treueheinrich</t>
  </si>
  <si>
    <t>Блог</t>
  </si>
  <si>
    <t>16:47</t>
  </si>
  <si>
    <t>31.07.2021 16:47</t>
  </si>
  <si>
    <t>Уважаемые жители!! Подскажите в Шушарах какой интернет и телевидение самое хорошее??!! Никак определиться не можем Всем</t>
  </si>
  <si>
    <t>Скайнет и триколор:)</t>
  </si>
  <si>
    <t>Андрей Алешин</t>
  </si>
  <si>
    <t>Шушары</t>
  </si>
  <si>
    <t>16:32</t>
  </si>
  <si>
    <t>01.08.2021 10:56</t>
  </si>
  <si>
    <t>Добрый день! Подскажите пожалуйста какова должна быть сила и качества при настройка Триколора?</t>
  </si>
  <si>
    <t>Сила и качество это величина условная, и у каждого ресивера индивидуальная. Более того в зависимости от прошивки она может меняться</t>
  </si>
  <si>
    <t>Ilnaz</t>
  </si>
  <si>
    <t>Спутниковый Чат</t>
  </si>
  <si>
    <t>15:55</t>
  </si>
  <si>
    <t>01.08.2021 14:56</t>
  </si>
  <si>
    <t>Прибор измерительный спутниковый стрелочный DiViSat DVS SF-9502</t>
  </si>
  <si>
    <t>Достоинства: все работает, элементарная настройка, все удобно
Недостатки: нет
легко настроил антенну триколор с помощью данного аппарата, по телику гораздо дольше мучаться, брал специально, так как уде есть опыт длительной возни с настройкой по телевизору. доставка быстрая, спасибо озону</t>
  </si>
  <si>
    <t>Михаил А.</t>
  </si>
  <si>
    <t>15:53</t>
  </si>
  <si>
    <t>31.07.2021 15:53</t>
  </si>
  <si>
    <t>«Триколор Кино и ТВ» для LG (webOS)</t>
  </si>
  <si>
    <t>У меня Ютьюб работает хорошо,без проблем.,и другие приложения тоже.Только Триколор.Телевизор 42UK6200PLA</t>
  </si>
  <si>
    <t>Анна Прокофьева</t>
  </si>
  <si>
    <t>Триколор Кино и ТВ: онлайн телевидение, фильмы</t>
  </si>
  <si>
    <t>Костромская область</t>
  </si>
  <si>
    <t>Кострома</t>
  </si>
  <si>
    <t>15:51</t>
  </si>
  <si>
    <t>31.07.2021 15:51</t>
  </si>
  <si>
    <t>Добрый вечер. Кто может помочь в настройке антенны триколор для телевизора. Предложение в лс</t>
  </si>
  <si>
    <t>Здравствуйте подскажите пожалуйста Тоже не работает триколор. Кто может помочь.?</t>
  </si>
  <si>
    <t>Ольга Антонова</t>
  </si>
  <si>
    <t>Жизнь в Лесколово</t>
  </si>
  <si>
    <t>15:44</t>
  </si>
  <si>
    <t>31.07.2021 16:44</t>
  </si>
  <si>
    <t>Экспресс покраска Ваз 2110.Распродали все тачки.Охотники за автохламом.Операция Кайен</t>
  </si>
  <si>
    <t>Пацаны, видел ваш ролик про копейку на триколор тв, канал v1 ego. Вы теперь и на тв?</t>
  </si>
  <si>
    <t>blackhunter1991</t>
  </si>
  <si>
    <t>автохлама.нет</t>
  </si>
  <si>
    <t>15:39</t>
  </si>
  <si>
    <t>31.07.2021 15:40</t>
  </si>
  <si>
    <t>Анна, ну это точно из этого у меня и YouTube не работает даже ,когда само видео включаешь он не воспроизводит,а навигация по приложению работает и заставки даже ,так и в Триколор ТВ навигация по приложению работает ,а сами ТВ каналы нет</t>
  </si>
  <si>
    <t>Алексей Полянский</t>
  </si>
  <si>
    <t>15:20</t>
  </si>
  <si>
    <t>31.07.2021 15:20</t>
  </si>
  <si>
    <t>Анна, обновление тоже 02/07/2021 ,у вас было обновление webOS самой системы телевизора? По-моему это стало после обновлг webOS</t>
  </si>
  <si>
    <t>15:04</t>
  </si>
  <si>
    <t>31.07.2021 15:06</t>
  </si>
  <si>
    <t>Алексей,</t>
  </si>
  <si>
    <t>text,display device,software,electronic device,gadget</t>
  </si>
  <si>
    <t>presentation</t>
  </si>
  <si>
    <t>31.07.2021 15:04</t>
  </si>
  <si>
    <t>Алексей, вот скрин с телевизора стоит версия приложения 1.4.2 обновлено2.07.,а уличном кабинете версия приложения 1.1.9.А у вас как?</t>
  </si>
  <si>
    <t>14:55</t>
  </si>
  <si>
    <t>31.07.2021 14:55</t>
  </si>
  <si>
    <t>Та же проблема LG webOS не работает, картинка не подгружается</t>
  </si>
  <si>
    <t>14:51</t>
  </si>
  <si>
    <t>31.07.2021 14:51</t>
  </si>
  <si>
    <t>Добрый день.Вопрос про телевидение в частном секторе для бабушки .Телевизор (старая модель ) , что лучше купить обычную</t>
  </si>
  <si>
    <t>Для смарт тв нужен инет, если есть и сможете научить, лучше его. А так, обычная антена (20 каналов, бесплатно) или триколор/нтв+/мтс</t>
  </si>
  <si>
    <t>Игорь Алексеев</t>
  </si>
  <si>
    <t>Мамы Павловского Посада</t>
  </si>
  <si>
    <t>Электрогорск</t>
  </si>
  <si>
    <t>14:26</t>
  </si>
  <si>
    <t>01.08.2021 04:02</t>
  </si>
  <si>
    <t>Менеджер Тимур абсолютно не заинтересован в новых клиентах. Во время разговора не слушает собеседника. По этой причине отказались обращаться в данную компанию.</t>
  </si>
  <si>
    <t>Ирина Т.</t>
  </si>
  <si>
    <t>Истра</t>
  </si>
  <si>
    <t>14:14</t>
  </si>
  <si>
    <t>31.07.2021 14:20</t>
  </si>
  <si>
    <t>Елена Некрасова</t>
  </si>
  <si>
    <t>13:51</t>
  </si>
  <si>
    <t>02.08.2021 07:36</t>
  </si>
  <si>
    <t>Блок питания для Триколор ТВ,МТС ТВ,KEENETIC роутеров,камер видеонаблюдения 12V/2A(5.5x2.5)</t>
  </si>
  <si>
    <t>Достоинства: Отличный
Будьте внимательны, шнур короткий. 
Подходит для роутеров и настольных ламп</t>
  </si>
  <si>
    <t>Ksenia P.</t>
  </si>
  <si>
    <t>13:47</t>
  </si>
  <si>
    <t>31.07.2021 14:02</t>
  </si>
  <si>
    <t>Александр Янус</t>
  </si>
  <si>
    <t>13:44</t>
  </si>
  <si>
    <t>31.07.2021 13:44</t>
  </si>
  <si>
    <t>Добрый день. Приставка Триколор. Не загружается, надпись boot. Блок питания рабочий. Кто сможет помочь?</t>
  </si>
  <si>
    <t>Светлана Украинская</t>
  </si>
  <si>
    <t>Южный город</t>
  </si>
  <si>
    <t>Самарская область</t>
  </si>
  <si>
    <t>Самара</t>
  </si>
  <si>
    <t>13:37</t>
  </si>
  <si>
    <t>31.07.2021 13:37</t>
  </si>
  <si>
    <t>1 Август Телепрограмма на канале MTV 00s! 06:00 Non-Stop Nostalgia 10:00 Class Of 2000! 11:00 We Love The 00s! 13:00 The</t>
  </si>
  <si>
    <t>Будет ли замена триколор ТВ на этом канале MTV 00s в связи с закрытием канала VH1?</t>
  </si>
  <si>
    <t>Алексей-Хозяин-Димогонь Лопатин</t>
  </si>
  <si>
    <t>Ставропольский край</t>
  </si>
  <si>
    <t>Ставрополь</t>
  </si>
  <si>
    <t>13:25</t>
  </si>
  <si>
    <t>31.07.2021 14:14</t>
  </si>
  <si>
    <t>всё супер приложение мой триколор тв
v2.5.0</t>
  </si>
  <si>
    <t>Иван Кондаков</t>
  </si>
  <si>
    <t>13:24</t>
  </si>
  <si>
    <t>31.07.2021 13:58</t>
  </si>
  <si>
    <t>Внезапный удачный проект в фб: группа Сбой матрицы. Надеюсь, вы его читаете. Читаю и думаю, какая у меня матрица чёткая.</t>
  </si>
  <si>
    <t>Ты вот щаз про заразность чтения группы… Я бы посмеялся, кабы не сегодняшнее утро. Пошел я туда, подписался, почитал, поржал. И думаю - а чож я колонку-то музыкальную из дома на веранду-то не припер (я на даче). И пошел за ней в дом. Захожу - и охуеваю - на втором этаже разговаривает кто-то. Двое О_о. Я на участке один, жена усвистела с ранья на рынок, там только кровать да телевизор. О, телевизор! Поднимаюсь - и да, работает, падла, фильму крутит какую-то с разговорами. Надо ли говорить, что проснувшись я телевизор не включал, вчера как оба пульта (от телека и триколора) положил, так они и лежат, случайно не включишь, тем более оба-сразу, никаких таймеров сроду не было нигде и ваще. 
Вот так-то. Теперь жду ночи и вещих снов.</t>
  </si>
  <si>
    <t>Товарищи Саахова</t>
  </si>
  <si>
    <t>Tanya Sazansky</t>
  </si>
  <si>
    <t>13:15</t>
  </si>
  <si>
    <t>31.07.2021 13:19</t>
  </si>
  <si>
    <t>Совершенно глючная поделка. Хлам как и весь триколор в прочем.
v2.5.0</t>
  </si>
  <si>
    <t>Алексей Игрунов</t>
  </si>
  <si>
    <t>13:12</t>
  </si>
  <si>
    <t>Достоинства: подошёл к роутеру 
Недостатки: работал месяц, испортился. за ремонт попростли 400р  дешевле новый купить. 
доставили быстро</t>
  </si>
  <si>
    <t>Пользователь OZON</t>
  </si>
  <si>
    <t>13:08</t>
  </si>
  <si>
    <t>31.07.2021 13:08</t>
  </si>
  <si>
    <t>Ну Смарт я думаю будет сложен для бабули если старенькая.рассмотрите антенну или триколор</t>
  </si>
  <si>
    <t>Наталия Тимошина</t>
  </si>
  <si>
    <t>Павловский Посад</t>
  </si>
  <si>
    <t>13:07</t>
  </si>
  <si>
    <t>Трансляция матча "Оренбург" - "Факел" 31.07.2021 19.00 (17.00 мск) https://yandex.ru/efir</t>
  </si>
  <si>
    <t>На триколоре канал футбольный тоже будет трансляция...</t>
  </si>
  <si>
    <t>Игорь Лихтин</t>
  </si>
  <si>
    <t>ГазоWiki. Пресса о ФК "Оренбург"</t>
  </si>
  <si>
    <t>Оренбургская область</t>
  </si>
  <si>
    <t>Бузулук</t>
  </si>
  <si>
    <t>Катя Александрова</t>
  </si>
  <si>
    <t>12:55</t>
  </si>
  <si>
    <t>31.07.2021 12:58</t>
  </si>
  <si>
    <t>Айдыс Донгак</t>
  </si>
  <si>
    <t>12:48</t>
  </si>
  <si>
    <t>31.07.2021 18:46</t>
  </si>
  <si>
    <t>General Satellite Пульт Триколор ТВ с батарейками ААА (оригинал)</t>
  </si>
  <si>
    <t>Очень хорошо работает, доставили быстро .</t>
  </si>
  <si>
    <t>Альбина</t>
  </si>
  <si>
    <t>wildberries.ru</t>
  </si>
  <si>
    <t>12:41</t>
  </si>
  <si>
    <t>01.08.2021 19:53</t>
  </si>
  <si>
    <t>не включается приставка триколор тв</t>
  </si>
  <si>
    <t>Спасибо, мой случай!</t>
  </si>
  <si>
    <t>Александр Садым</t>
  </si>
  <si>
    <t>IVAN MEDVED</t>
  </si>
  <si>
    <t>12:18</t>
  </si>
  <si>
    <t>31.07.2021 12:20</t>
  </si>
  <si>
    <t>Спасибо, пока не плохо.
v2.5.0</t>
  </si>
  <si>
    <t>Владимир чипизубов</t>
  </si>
  <si>
    <t>12:17</t>
  </si>
  <si>
    <t>31.07.2021 12:17</t>
  </si>
  <si>
    <t>Вопросы и Ответы</t>
  </si>
  <si>
    <t>Телеканалы Триколор ТВ, это глюк 100% ресивер</t>
  </si>
  <si>
    <t>Дмитрий Гелло</t>
  </si>
  <si>
    <t>12:15</t>
  </si>
  <si>
    <t>31.07.2021 12:15</t>
  </si>
  <si>
    <t>Телеканалы Триколор ТВ, Да, каналы работают</t>
  </si>
  <si>
    <t>12:10</t>
  </si>
  <si>
    <t>Татьяна Федорова-Калинина</t>
  </si>
  <si>
    <t>Одинцовский район</t>
  </si>
  <si>
    <t>12:09</t>
  </si>
  <si>
    <t>31.07.2021 12:10</t>
  </si>
  <si>
    <t>Телеканалы Триколор ТВ, я делал сброс, но увы.</t>
  </si>
  <si>
    <t>11:55</t>
  </si>
  <si>
    <t>31.07.2021 11:58</t>
  </si>
  <si>
    <t>Игорь Гаврилов</t>
  </si>
  <si>
    <t>11:54</t>
  </si>
  <si>
    <t>Супер! И теперь вместо 1500₽/год будете платить за тот же набор каналов 2500₽/год всегда!!!    А ещё и убогий приёмник без Wi-Fi вам сунули</t>
  </si>
  <si>
    <t>Виталий Юрьевич</t>
  </si>
  <si>
    <t>11:51</t>
  </si>
  <si>
    <t>31.07.2021 11:51</t>
  </si>
  <si>
    <t>Услуги Триколора. Ваши вопросы</t>
  </si>
  <si>
    <t>Триколор, так можно как-то увидеть список бесплатных каналов входящих в этот тариф?</t>
  </si>
  <si>
    <t>Оля Михеева</t>
  </si>
  <si>
    <t>Ленинградская область</t>
  </si>
  <si>
    <t>Кириши</t>
  </si>
  <si>
    <t>11:43</t>
  </si>
  <si>
    <t>31.07.2021 11:43</t>
  </si>
  <si>
    <t>Юбилейная, (пятиэтажки) есть-ли у нас «кабельное телевидение»?
Дайте координаты.
Триколор заколебал = даже на тучи тёмные глючит - про дождь и грозу уже не пишу!!!</t>
  </si>
  <si>
    <t>Александр Колесов</t>
  </si>
  <si>
    <t>Кузьмолово. Новости нашего дома.</t>
  </si>
  <si>
    <t>11:41</t>
  </si>
  <si>
    <t>31.07.2021 11:42</t>
  </si>
  <si>
    <t>Триколор, все эти каналы бесплатные в тарифе? Не показывают к примеру, никелодеон, Ник Джуниор, хотя в списке они указаны</t>
  </si>
  <si>
    <t>11:36</t>
  </si>
  <si>
    <t>01.08.2021 13:52</t>
  </si>
  <si>
    <t>Пульт для Триколор ТВ (DDL-1034) с батарейками ААА  ( 2 шт.)</t>
  </si>
  <si>
    <t>Недостатки: нет
пульт не отличается от оригинала.</t>
  </si>
  <si>
    <t>Наталья Б.</t>
  </si>
  <si>
    <t>Пульт для Триколор ТВ  (DDL-1034) с батарейками ААА    ( 2 шт.)</t>
  </si>
  <si>
    <t>11:30</t>
  </si>
  <si>
    <t>(Томск). Наш спорт 4
17:50 — Нефтехимик (Нижнекамск) — Металлург (Липецк). Бум
17:50 — Краснодар-2 — Олимп-Долгопрудный. Наш спорт 9
18:50 — Кубань (Краснодар) — Спартак-2 (Москва). Наш спорт 6
18:50 — Ротор (Волгоград) — Волгарь (Астрахань). Наш спорт 5 / Футбольный
Смотрите матчи на канале «Футбольный» и в онлайн-плеерах «Наш спорт» в приложении «Триколор Кино и ТВ» на мобильных устройствах и планшетах, телевизорах с функцией Smart TV и в веб-версии онлайн-кинотеатра kino.tricolor.tv
 Трансляции матчей по ссылке: https://clck.ru/UbTWa
#ЛучшаяЛигаМира #нашспортздесь</t>
  </si>
  <si>
    <t>text</t>
  </si>
  <si>
    <t>presentation,sports,competition</t>
  </si>
  <si>
    <t>https://scontent-ssn1-1.xx.fbcdn.net/v/t1.6435-9/e15/q75/p960x960/227147444_4131049033616002_2202107836817683316_n.jpg?_nc_cat=108&amp;ccb=1-3&amp;_nc_sid=730e14&amp;_nc_ohc=Oj-4DsmmdhIAX_buDbM&amp;_nc_ad=z-m&amp;_nc_cid=0&amp;_nc_ht=scontent-ssn1-1.xx&amp;oh=138b49155539b36588487bbf3a061da9&amp;oe=612A6A1D</t>
  </si>
  <si>
    <t>31.07.2021 11:40</t>
  </si>
  <si>
    <t>В субботу, 31 июля, в Футбольной национальной лиге состоится 4-й тур первенства сезона 2021–2022. По итогам прошедших</t>
  </si>
  <si>
    <t>(Томск). Наш спорт 4
17:50 — Нефтехимик (Нижнекамск) — Металлург (Липецк). Бум
17:50 — Краснодар-2 — Олимп-Долгопрудный. Наш спорт 9
18:50 — Кубань (Краснодар) — Спартак-2 (Москва). Наш спорт 6
18:50 — Ротор (Волгоград) — Волгарь (Астрахань). Наш спорт 5 / Футбольный
Смотрите матчи на канале «Футбольный» и в онлайн-плеерах «Наш спорт» в приложении «Триколор Кино и ТВ» на мобильных устройствах и планшетах, телевизорах с функцией Smart TV и в веб-версии онлайн-кинотеатра kino.tricolor.tv
 Трансляции матчей по ссылке: https://ok.me/mE1g 
Футбольная Национальная Лига (ФНЛ) 
#ЛучшаяЛигаМира #нашспортздесь</t>
  </si>
  <si>
    <t>text,muscle</t>
  </si>
  <si>
    <t>31.07.2021 11:35</t>
  </si>
  <si>
    <t>Смотрите матчи ФНЛ @FNLeague на канале «Футбольный» и в онлайн-плеерах «Наш спорт» в приложении «Триколор Кино и ТВ» на мобильных устройствах и планшетах, телевизорах с функцией Smart TV и в веб-версии онлайн-кинотеатра http://kino.tricolor.tv</t>
  </si>
  <si>
    <t>11:29</t>
  </si>
  <si>
    <t>31.07.2021 11:29</t>
  </si>
  <si>
    <t>Спасибо триколор! Мне позвонили с триколора, предложили поменять триколор GS-8304 на GS B623L за 2500 руб 50% от стоимости оборудования плюс бесплатная подписка на пакет Единый Ultra HD. Все классно показывает.</t>
  </si>
  <si>
    <t>Татьяна Имекова</t>
  </si>
  <si>
    <t>Иркутская область</t>
  </si>
  <si>
    <t>Бохан</t>
  </si>
  <si>
    <t>11:11</t>
  </si>
  <si>
    <t>31.07.2021 11:11</t>
  </si>
  <si>
    <t>Добрый день! Напишите, пожалуйста, список каналов в тарифе единый мультик лайт.</t>
  </si>
  <si>
    <t>11:06</t>
  </si>
  <si>
    <t>01.08.2021 10:54</t>
  </si>
  <si>
    <t>Комплект спутникового ТВ Триколор Комплект установщика</t>
  </si>
  <si>
    <t>Достоинства: Пришла посылка вовремя, как и заявлено полный комплект, тарелка с кронштейном и конвектор.
Недостатки: Нет
Продавцу огромное спасибо! Отличный комплект, за такие деньги я думаю больше нигде не купить. Планирую и дальше делать покупки у этого продавца.</t>
  </si>
  <si>
    <t>Игорь Камбулов</t>
  </si>
  <si>
    <t>market.yandex.ru</t>
  </si>
  <si>
    <t>Калужская область</t>
  </si>
  <si>
    <t>Малоярославец</t>
  </si>
  <si>
    <t>11:02</t>
  </si>
  <si>
    <t>31.07.2021 11:20</t>
  </si>
  <si>
    <t>Матрица, План побега, Бэтмен против Супермена: На заре справедливости</t>
  </si>
  <si>
    <t>10:56</t>
  </si>
  <si>
    <t>31.07.2021 11:01</t>
  </si>
  <si>
    <t>@fcsm_youth @FNLeague Триколор ТВ канал  наш спорт 6 а на канале наш спорт 5 сейчас начнется юфл 2 матч рубин - спартак</t>
  </si>
  <si>
    <t>Sergey</t>
  </si>
  <si>
    <t>10:51</t>
  </si>
  <si>
    <t>31.07.2021 18:03</t>
  </si>
  <si>
    <t>Всем привет. Хочу провести интернет в частный сектор, чтоб и интернет и тв было, подскажите у кого какой? Какой лучше</t>
  </si>
  <si>
    <t>а где вы увидели что б я писала что то про каналы каналы никто и не подключает это мы интернет тянули он же проводной у нас вот за это подключение и отдавали 10 000 а так в месяц если интернет и тв то 650 руб у меня только интернет за 400 руб телек у меня триколор</t>
  </si>
  <si>
    <t>Инна Ефименко</t>
  </si>
  <si>
    <t>Отдам Даром,г ШАХТЫ,Ростовская область.</t>
  </si>
  <si>
    <t>Ростовская область</t>
  </si>
  <si>
    <t>Шахты</t>
  </si>
  <si>
    <t>10:46</t>
  </si>
  <si>
    <t>Достоинства: Компактный
Недостатки: Не выявлено
Покупался под приставку триколор тв. Выходное напряжение и сила тока соответствуют описанию. Не греется, нареканий на работу блока питания нет.</t>
  </si>
  <si>
    <t>10:42</t>
  </si>
  <si>
    <t>31.07.2021 10:59</t>
  </si>
  <si>
    <t>Софья Подмецкая</t>
  </si>
  <si>
    <t>Таганрог</t>
  </si>
  <si>
    <t>10:41</t>
  </si>
  <si>
    <t>31.07.2021 10:41</t>
  </si>
  <si>
    <t>На триколоре- это какой канал ?</t>
  </si>
  <si>
    <t>Алексей Савельев</t>
  </si>
  <si>
    <t>10:31</t>
  </si>
  <si>
    <t>31.07.2021 10:39</t>
  </si>
  <si>
    <t>Татьяна Рыжкова</t>
  </si>
  <si>
    <t>Марина Сапрыкина</t>
  </si>
  <si>
    <t>Электросталь</t>
  </si>
  <si>
    <t>10:30</t>
  </si>
  <si>
    <t>10:29</t>
  </si>
  <si>
    <t>Марина Титюхина</t>
  </si>
  <si>
    <t>10:28</t>
  </si>
  <si>
    <t>Матрица,
План побега, Бэтмен против Супермена на заре Справедливости</t>
  </si>
  <si>
    <t>10:21</t>
  </si>
  <si>
    <t>01.08.2021 22:02</t>
  </si>
  <si>
    <t>Блок питания для ресиверов Триколор ТВ 12V/2A (5.5x2.5)</t>
  </si>
  <si>
    <t>Все подошло.</t>
  </si>
  <si>
    <t>Светлана Т.</t>
  </si>
  <si>
    <t>Блок питания для ресиверов Триколор ТВ 12V/2A  (5.5x2.5)</t>
  </si>
  <si>
    <t>10:14</t>
  </si>
  <si>
    <t>31.07.2021 10:16</t>
  </si>
  <si>
    <t>Все просто!
v2.5.0</t>
  </si>
  <si>
    <t>Вячеслав Костяков</t>
  </si>
  <si>
    <t>10:12</t>
  </si>
  <si>
    <t>31.07.2021 10:20</t>
  </si>
  <si>
    <t>Сергей Милков</t>
  </si>
  <si>
    <t>10:10</t>
  </si>
  <si>
    <t>31.07.2021 10:10</t>
  </si>
  <si>
    <t>Доброе утро .Может кто нибудь одолжить цифровую приставку на день или два нужно проверить сигнал на дачи будет ловить или нет или придётся триколор ставить .</t>
  </si>
  <si>
    <t>Молодой Человек</t>
  </si>
  <si>
    <t>Дружный Чкаловск (Калининград)</t>
  </si>
  <si>
    <t>Калининградская область</t>
  </si>
  <si>
    <t>Калининград</t>
  </si>
  <si>
    <t>09:25</t>
  </si>
  <si>
    <t>03.08.2021 04:56</t>
  </si>
  <si>
    <t>Триколор ТВ в Заокском</t>
  </si>
  <si>
    <t>Спасибо! Всегда рады помочь.</t>
  </si>
  <si>
    <t>maps.google.com</t>
  </si>
  <si>
    <t>Заокский</t>
  </si>
  <si>
    <t>09:23</t>
  </si>
  <si>
    <t>31.07.2021 11:23</t>
  </si>
  <si>
    <t>Как обойтись без пульта от ресивера Триколор ТВ</t>
  </si>
  <si>
    <t>Добрый день, я у одних людей видел что от телика пульт (Филипс) переключали приставку триколор</t>
  </si>
  <si>
    <t>А Б</t>
  </si>
  <si>
    <t>Крафандобриум</t>
  </si>
  <si>
    <t>08:48</t>
  </si>
  <si>
    <t>31.07.2021 08:48</t>
  </si>
  <si>
    <t>Телеканалы Триколор ТВ, Походу мой ресивер хана скоро будет
что это Красный?</t>
  </si>
  <si>
    <t>text,display device,electronic device,software,gadget,signage,flat panel display</t>
  </si>
  <si>
    <t>07:45</t>
  </si>
  <si>
    <t>01.08.2021 05:06</t>
  </si>
  <si>
    <t>Тарелку спутникого ТВ для получения интернета</t>
  </si>
  <si>
    <t>можно триколор подключить
https://internet.tricolor.tv/tariffs/internet-bezlimitnyy-10/</t>
  </si>
  <si>
    <t>Zotak</t>
  </si>
  <si>
    <t>otvet.mail.ru</t>
  </si>
  <si>
    <t>Ответы@Mail.Ru: Все категории &gt; Прочее компьютерное</t>
  </si>
  <si>
    <t>07:38</t>
  </si>
  <si>
    <t>31.07.2021 19:44</t>
  </si>
  <si>
    <t>Kotok Malyj Я со свечкой в президентской спальне не стою. Я был постоянным слушателем радио "Эхо Москвы" с примерно 1995 года до 2015, когда закрыли "Эхо Москвы в Туле" и на "правой поляризации" в спутнике "Триколор". И был зрителем "Дождя" с момента создания до прекращения трансляции на спутнике "Триколор"
Я свидетель, как по лекалам большого зомбоящика, промывающего мозги за Путина, на этих станциях зомбировали аудиторию за Навального.
В частности в 2013 году малый змбоящик полгода активно с июня по декабрь промывал аудитрии мозги и лепил из</t>
  </si>
  <si>
    <t>Игорь Бурдуков</t>
  </si>
  <si>
    <t>Не стреляй!</t>
  </si>
  <si>
    <t>07:17</t>
  </si>
  <si>
    <t>Достоинства: Обычный блок питания, используем для Триколора. Работает нормально. Цена была по Акции. 
Недостатки: Нет
Купили его так как был нужен плоский блок питания для того, чтобы была возможность подключить его за телевизор, который близко висит к стене.</t>
  </si>
  <si>
    <t>Надежда Рязанова</t>
  </si>
  <si>
    <t>06:15</t>
  </si>
  <si>
    <t>31.07.2021 06:15</t>
  </si>
  <si>
    <t>Талибы уничтожают телевизор, потому что это происки дьявола! А ведь в чём-то они правы... Но как они знают тогда, что за</t>
  </si>
  <si>
    <t>Я тоже у ничтожил 3 штуки,накопились за 20 лет,взял и разобрал,но 2 оставил смотрю триколор научно позновательные каналы.</t>
  </si>
  <si>
    <t>Юрий Исаев</t>
  </si>
  <si>
    <t>НОВОСТИ СВЕРХДЕРЖАВЫ</t>
  </si>
  <si>
    <t>06:05</t>
  </si>
  <si>
    <t>31.07.2021 06:52</t>
  </si>
  <si>
    <t>Не могу оплатить пакет, пишут обновить , у меня подключено авто обновление</t>
  </si>
  <si>
    <t>Наталья Семичева</t>
  </si>
  <si>
    <t>05:38</t>
  </si>
  <si>
    <t>31.07.2021 05:52</t>
  </si>
  <si>
    <t>Матрица
План побега
Бэтмен против Супермена на заре Справедливости</t>
  </si>
  <si>
    <t>04:07</t>
  </si>
  <si>
    <t>31.07.2021 04:08</t>
  </si>
  <si>
    <t>с мест сообщают: советские мультики 18+ "Удивительное рядом, или как поставщики интернет-контента "защищают" детей</t>
  </si>
  <si>
    <t>Это специально так делают, это система. Приведу другой пример. Я помню, когда только появился телеканал Царьград, в какой-то момент его допустили на телевидение, но в унизительном порядке, его канал был расположен сразу после ряда каналов с порнографией - это касается самого популярного на тот момент оператора Триколор ТВ. А Царьград себя тогда уже начал позиционировать как "Первый русский". А потом их и вовсе убрали из эфира, и они окончательно перешли в интернет.
Это всё делается специально, и вся эта блядс.кая шобла смеётся таким образом над русскими людьми.</t>
  </si>
  <si>
    <t>Андрей Журавлёв</t>
  </si>
  <si>
    <t>ВОЛК-ГОМОФОБ</t>
  </si>
  <si>
    <t>Это специально так делают, это система. Приведу другой пример. Я помню, когда только появился телеканал Царьград, в какой-то момент его допустили на телевидение, но в унизительном порядке, его канал был расположен сразу после ряда каналов с порнографией - это касается самого популярного на тот момент оператора Триколор ТВ. А Царьград себя тогда уже начал позиционировать как "Первый русский". А потом их и вовсе убрали из эфира, и они окончательно перешли в интернет.
Это всё делается специально, и вся эта бляд.ская шобла смеётся таким образом над русскими людьми.</t>
  </si>
  <si>
    <t>04:06</t>
  </si>
  <si>
    <t>31.07.2021 04:07</t>
  </si>
  <si>
    <t>Это специально так делают, это система. Приведу другой пример. Я помню, когда только появился телеканал Царьград, в какой-то момент его допустили на телевидение, но в унизительном порядке, его канал был расположен сразу после ряда каналов с порнографией - это касается самого популярного на тот момент оператора Триколор ТВ. А Царьград себя тогда уже начал позиционировать как "Первый русский". А потом их и вовсе убрали из эфира, и они окончательно перешли в интернет.
Это всё делается специально, и вся эта бля.дская шобла смеётся таким образом над русскими людьми.</t>
  </si>
  <si>
    <t>03:40</t>
  </si>
  <si>
    <t>31.07.2021 03:40</t>
  </si>
  <si>
    <t>Онкология исключена из противопоказаний для вакцинации от COVID. Об этом заявили в Минздраве. Специалисты уверены, что</t>
  </si>
  <si>
    <t>У меня тарелка триколор тв. Днём почта пришла, что если вакцинируетесь, несколько месяцев подписки в подарок или типа того. Может не совсем в эту тему, но это же пиздец полный уже!!!</t>
  </si>
  <si>
    <t>Аня Черткова</t>
  </si>
  <si>
    <t>ВЕСТИ</t>
  </si>
  <si>
    <t>03:06</t>
  </si>
  <si>
    <t>31.07.2021 03:14</t>
  </si>
  <si>
    <t>Подскажите. На второй приставке, пропал звук на всех каналах, сброс до заводских не помог. В чем может быть проблема?</t>
  </si>
  <si>
    <t>Айпи шнур поменять</t>
  </si>
  <si>
    <t>Федя Федоров</t>
  </si>
  <si>
    <t>Белорецк</t>
  </si>
  <si>
    <t>01:16</t>
  </si>
  <si>
    <t>31.07.2021 05:42</t>
  </si>
  <si>
    <t>(no title)</t>
  </si>
  <si>
    <t>По программе триколора (в интернете какую-то нашёл) в 17:00 стоит матч Оренбург - Факел. Торпедо на сегодня в программе нет.</t>
  </si>
  <si>
    <t>Арнольд Пыркин</t>
  </si>
  <si>
    <t>torpedom.ru</t>
  </si>
  <si>
    <t>ТОРПЕДО МОСКВА ФК - Форум &gt; ТОРПЕДО МОСКВА ФК - Форум</t>
  </si>
  <si>
    <t>00:15</t>
  </si>
  <si>
    <t>31.07.2021 00:33</t>
  </si>
  <si>
    <t>1.Матрица, 2.План побега, 3.Бэтмен против Супермена на заре Справедливости</t>
  </si>
  <si>
    <t>Галина Ким</t>
  </si>
  <si>
    <t>00:10</t>
  </si>
  <si>
    <t>31.07.2021 00:14</t>
  </si>
  <si>
    <t>30.07.2021</t>
  </si>
  <si>
    <t>23:44</t>
  </si>
  <si>
    <t>30.07.2021 23:45</t>
  </si>
  <si>
    <t>У меня такая же проблема,фильмы показывает а тв не хочет</t>
  </si>
  <si>
    <t>Александр Гоголев</t>
  </si>
  <si>
    <t>23:34</t>
  </si>
  <si>
    <t>02.08.2021 05:07</t>
  </si>
  <si>
    <t>Наболело, второй пульт от Apple TV разбивается вдребезги от малейшего удара. Кто как чинил или защищал?</t>
  </si>
  <si>
    <t>Нужно его в чехол одевать(в магазинах,где обычно торгуют Триколор и НТВ+ установщики-там могут продавать чехлы на замочках для пультов)!</t>
  </si>
  <si>
    <t>Сергей Левицкий</t>
  </si>
  <si>
    <t>Uliana Smolskaya</t>
  </si>
  <si>
    <t>Краснодарский край</t>
  </si>
  <si>
    <t>Апшеронск</t>
  </si>
  <si>
    <t>23:16</t>
  </si>
  <si>
    <t>30.07.2021 23:16</t>
  </si>
  <si>
    <t>Здравствуйте, подскажите как работает ростелеком а первомайской, стоит ли его подключать? Спасибочки.</t>
  </si>
  <si>
    <t>Да я как говорится держу точку Ростелеком, плачу 120 рублей в месяц, но не пользуюсь, на всякий случай, пусть будет, Раньше сын подключил, были ситуации, но отказались, что Триколор и не нужно. Но скажу, что всё работало хорошо и советую. Интернет, телевидение и телефон было 500р сейчас дороже</t>
  </si>
  <si>
    <t>Светлана Грибова</t>
  </si>
  <si>
    <t>Подслушано Щёкино</t>
  </si>
  <si>
    <t>Смоленская область</t>
  </si>
  <si>
    <t>Щекино</t>
  </si>
  <si>
    <t>22:58</t>
  </si>
  <si>
    <t>30.07.2021 23:12</t>
  </si>
  <si>
    <t>22:56</t>
  </si>
  <si>
    <t>22:55</t>
  </si>
  <si>
    <t>22:53</t>
  </si>
  <si>
    <t>30.07.2021 22:53</t>
  </si>
  <si>
    <t>22:50</t>
  </si>
  <si>
    <t>22:47</t>
  </si>
  <si>
    <t>Александр Седякин</t>
  </si>
  <si>
    <t>Пензенская область</t>
  </si>
  <si>
    <t>Пенза</t>
  </si>
  <si>
    <t>22:45</t>
  </si>
  <si>
    <t>30.07.2021 23:00</t>
  </si>
  <si>
    <t>Триколор, Ростелеком и другие: опубликован рейтинг провайдеров платного телевидения</t>
  </si>
  <si>
    <t>Информационно-аналитическое агентство TelecomDaily поделилось результатами анализа рынка платного ТВ в России. Стали известны провайдеры-лидеры, а также количество жителей страны, которые платят за услуги телевидения.По данным аналитиков, общее количество абонентов платного ТВ в России составило 4</t>
  </si>
  <si>
    <t>new9.ru</t>
  </si>
  <si>
    <t>СМИ</t>
  </si>
  <si>
    <t>gadget,smartphone,electronic device,communication device,portable communications device</t>
  </si>
  <si>
    <t>22:43</t>
  </si>
  <si>
    <t>30.07.2021 22:49</t>
  </si>
  <si>
    <t>Всё удобно! Класс!
v2.5.0</t>
  </si>
  <si>
    <t>Спартак Москва</t>
  </si>
  <si>
    <t>22:37</t>
  </si>
  <si>
    <t>22:20</t>
  </si>
  <si>
    <t>30.07.2021 22:35</t>
  </si>
  <si>
    <t>Возможно просто HDMI кабель на телеке в другой разъем подключить....hdmi 2 например. На филипках и самсунгах такое часто бывает</t>
  </si>
  <si>
    <t>Дима Калякулин</t>
  </si>
  <si>
    <t>22:18</t>
  </si>
  <si>
    <t>Написано же, на втором приёмнике, значит клиент-сервер. Все вопросы к первому аппарату....патч-корд или само соединение</t>
  </si>
  <si>
    <t>30.07.2021 22:15</t>
  </si>
  <si>
    <t>Екатерина Иваникова</t>
  </si>
  <si>
    <t>21:34</t>
  </si>
  <si>
    <t>01.08.2021 01:11</t>
  </si>
  <si>
    <t>Триколор Интернет попробуем установить</t>
  </si>
  <si>
    <t>Выброси на помойку</t>
  </si>
  <si>
    <t>name</t>
  </si>
  <si>
    <t>RUS LAN</t>
  </si>
  <si>
    <t>21:32</t>
  </si>
  <si>
    <t>30.07.2021 21:32</t>
  </si>
  <si>
    <t>ZEE TV Россия в Триколор ТВ</t>
  </si>
  <si>
    <t>Как найти самостоятельно  ZEETV канал?</t>
  </si>
  <si>
    <t>Ирина Королевская</t>
  </si>
  <si>
    <t>ZEE TV Россия. Индийские сериалы и фильмы</t>
  </si>
  <si>
    <t>21:29</t>
  </si>
  <si>
    <t>30.07.2021 21:35</t>
  </si>
  <si>
    <t>Танзиля Гильмутдинова</t>
  </si>
  <si>
    <t>21:28</t>
  </si>
  <si>
    <t>01.08.2021 00:04</t>
  </si>
  <si>
    <t>Страдающий метеозавимостью провайдер спутникового тв  "Триколор" постоянно в дождь отключается в тот момент, когда по телевизору показывают президента.
Вопрос': нельзя ли обьявить "Триколор" иностранным агентом и поручить Газпрому  вместе с бесплатной газификацией обеспечить клиентов "Триколора" проводным интернетом?</t>
  </si>
  <si>
    <t>Vadim Vladimirov</t>
  </si>
  <si>
    <t>20:39</t>
  </si>
  <si>
    <t>31.07.2021 06:11</t>
  </si>
  <si>
    <t>MIRANT Пульт для ресиверов Триколор ТВ GS8306 / GENERAL SATELLITE</t>
  </si>
  <si>
    <t>Быстрая доставка и ещё 2 барашки в подарок! Очень довольна!</t>
  </si>
  <si>
    <t>Камила</t>
  </si>
  <si>
    <t>20:07</t>
  </si>
  <si>
    <t>30.07.2021 20:16</t>
  </si>
  <si>
    <t>матрица,
план побега, Бэтмен против Супермена на заре Справедливости</t>
  </si>
  <si>
    <t>Давид Квирикашвили</t>
  </si>
  <si>
    <t>Белгородская область</t>
  </si>
  <si>
    <t>Белгород</t>
  </si>
  <si>
    <t>20:02</t>
  </si>
  <si>
    <t>Валентина Сергеева</t>
  </si>
  <si>
    <t>30.07.2021 20:35</t>
  </si>
  <si>
    <t>отл работает!
v2.5.0</t>
  </si>
  <si>
    <t>Александр Юсупов</t>
  </si>
  <si>
    <t>Алёна Скачкова</t>
  </si>
  <si>
    <t>19:59</t>
  </si>
  <si>
    <t>Виталий Скачков</t>
  </si>
  <si>
    <t>19:58</t>
  </si>
  <si>
    <t>30.07.2021 19:58</t>
  </si>
  <si>
    <t>"Ротор" - "Волгарь". Трансляция  В связи с запретом РОСПОТРЕБНАДЗОРА на посещение матчей на "Волгоград Арене", мы</t>
  </si>
  <si>
    <t>Фёдор, руководство "Волгоград-24" не заинтересована в трансляции домашних матчей "Ротора". Сейчас сигнал на Яндекс и Триколор даёт "Волгоград-1", но так же не заинтересован тратить средства на трансляцию матчей на своём канале</t>
  </si>
  <si>
    <t>Эльдар Аскеров</t>
  </si>
  <si>
    <t>ФК "Ротор".  Единый фан-портал</t>
  </si>
  <si>
    <t>Матрица, план побега, бэтмэн против супермена</t>
  </si>
  <si>
    <t>Евгений Бортник</t>
  </si>
  <si>
    <t>Ростов-на-Дону</t>
  </si>
  <si>
    <t>19:48</t>
  </si>
  <si>
    <t>Услуга активна единый</t>
  </si>
  <si>
    <t>19:38</t>
  </si>
  <si>
    <t>Здравствуйте Услуга активна</t>
  </si>
  <si>
    <t>30.07.2021 19:38</t>
  </si>
  <si>
    <t>Класс.
v2.5.0</t>
  </si>
  <si>
    <t>Макс Безумный</t>
  </si>
  <si>
    <t>30.07.2021 21:48</t>
  </si>
  <si>
    <t>Универсальный функциональный пульт для ресиверов Триколор ТВ</t>
  </si>
  <si>
    <t>Достоинства: Подошёл. Цена недорогая</t>
  </si>
  <si>
    <t>Расуля В.</t>
  </si>
  <si>
    <t>19:12</t>
  </si>
  <si>
    <t>30.07.2021 19:13</t>
  </si>
  <si>
    <t>Продам срочно универсальный пульт для телевизоров и спутникового телевидения. Для каких именно марок видно на фото.</t>
  </si>
  <si>
    <t>Это пульт от триколор</t>
  </si>
  <si>
    <t>Нина Бирюкова</t>
  </si>
  <si>
    <t>Подслушано в Бутурлино</t>
  </si>
  <si>
    <t>30.07.2021 19:17</t>
  </si>
  <si>
    <t>Матрица
Полицейская  академия
 Бэтмен против Супермена на заре Справедливости.</t>
  </si>
  <si>
    <t>19:06</t>
  </si>
  <si>
    <t>01.08.2021 00:36</t>
  </si>
  <si>
    <t>Канал ТНТ + PREMIER</t>
  </si>
  <si>
    <t>В ЛК Триколора появился пакет"Премьер" по цене 199 р в м-ц.Так и на самом сайте "Премьера" цена такая же-199 р в м-ц  В чём выгода?</t>
  </si>
  <si>
    <t>diletant</t>
  </si>
  <si>
    <t>Телеспутник • Главная страница &gt; Обсуждение телеканалов</t>
  </si>
  <si>
    <t>19:04</t>
  </si>
  <si>
    <t>30.07.2021 19:10</t>
  </si>
  <si>
    <t>Смотрите новый выпуск проекта «Нагорный LIFE: Олимпийские хроники». Наш чемпион, гимнаст Никита Нагорный расскажет в новой серии об Олимпийской деревне. Ищите все выпуски в приложении «Триколор Кино и ТВ» на мобильных устройствах и Smart TV, а также на http://kino.tricolor.tv</t>
  </si>
  <si>
    <t>text,diagram</t>
  </si>
  <si>
    <t>design</t>
  </si>
  <si>
    <t>18:59</t>
  </si>
  <si>
    <t>Торговая компания Nolimit electronics</t>
  </si>
  <si>
    <t>Обращалась недавно в данный сервисный центр по ремонту оборудования NoLimit находится он в г. Краснодаре, на ул. Сормовской, 7. Осталась крайне не довольна. Дело в том, что у нас вышел из строя ресивер Триколор Тв, с данным оборудованием и документом акта приемки работ компании ТВ Технологии, (у которой приобретался данный приемник  06.03.2021 г) , мы пришли в данный сервисный центр, т.к он один в нашем городе. Находится очень далеко от нас.При приемке оборудования сотрудник компании Пономаренко Михаил, проверив оборудование, сообщил, что</t>
  </si>
  <si>
    <t>kroleva_e</t>
  </si>
  <si>
    <t>yell.ru</t>
  </si>
  <si>
    <t>Краснодарский</t>
  </si>
  <si>
    <t>18:56</t>
  </si>
  <si>
    <t>30.07.2021 18:57</t>
  </si>
  <si>
    <t>Как подключить Wi-Fi к приёмнику? С модулем управления сделать это совсем просто! Он не только раздаёт Wi-Fi в приёмник,</t>
  </si>
  <si>
    <t>Нужно указывать , что скорость иннета должна быть не менше 12 . У меня скорость 10 и ни какие причмочки не доступны (((</t>
  </si>
  <si>
    <t>Роман Иванов</t>
  </si>
  <si>
    <t>30.07.2021 19:00</t>
  </si>
  <si>
    <t>Сегодня Российские фехтовальщики добыли серебро на Олимпиаде-2020, уступив в финале японцам! От всей души поздравляем</t>
  </si>
  <si>
    <t>Сегодня Российские фехтовальщики добыли серебро на Олимпиаде-2020, уступив в финале японцам! От всей души поздравляем команду и добавляем ещё одну медаль в нашу копилку!
Тем временем вас ждёт новый выпуск «Нагорный LIFE: Олимпийские хроники» с участием гимнаста Никиты Нагорного, который покажет вам окрестности Олимпийской деревни!
Смотрите проект в приложении «Триколор Кино и ТВ» на мобильных устройствах и Smart TV, а также на сайте kino.tricolor.tv
Нагорный LIFE: Олимпийские хроники</t>
  </si>
  <si>
    <t>shirt,clothing,text,poster,fictional character,facial hair,t-shirt</t>
  </si>
  <si>
    <t>art,design,movie</t>
  </si>
  <si>
    <t>18:55</t>
  </si>
  <si>
    <t>30.07.2021 19:55</t>
  </si>
  <si>
    <t>https://scontent.fbcn1-1.fna.fbcdn.net/v/t15.5256-10/e15/q75/p180x540/224264775_1315296832254059_4825893706246090950_n.jpg?_nc_cat=104&amp;ccb=1-3&amp;_nc_sid=ad6a45&amp;_nc_ohc=44yHAE23lOAAX_EAFnn&amp;_nc_oc=AQlNFZaUKpilMAAk6pUmdxzFBu4mzYnO7NOPFvJcFz4Bk1pXKZLENhc9EOm6FY0Zvns&amp;_nc_ad=z-m&amp;_nc_cid=0&amp;_nc_ht=scontent.fbcn1-1.fna&amp;oh=30c2d756799064f7c5ba5656ccac6923&amp;oe=6109D555</t>
  </si>
  <si>
    <t>18:40</t>
  </si>
  <si>
    <t>30.07.2021 19:35</t>
  </si>
  <si>
    <t>Hyundai EU7008 series (H-LED43EU7008, H-LED50EU7008, H-LED55EU7008) - Обсуждение</t>
  </si>
  <si>
    <t>flymelove @ 29.07.21, 9:02  /forum/index.php?act=findpost&amp;pid=108286176 приложение Триколор Кино и ТВ, естественно от приставки я отказался. Но при каждом выключении постоянно отваливается авторизация, как эту проблему решить, кто нибудь сталкивался? Плюс авторизация проходит только через айди клиента, а через ЛК вылазиет ошибка авторизации.
у меня приложение триколор версии 2.5.5 работает без глюков уже достаточно давно. Авторизация за все время ни разу не слетала.</t>
  </si>
  <si>
    <t>StP_29</t>
  </si>
  <si>
    <t>4PDA &gt; Телевизоры</t>
  </si>
  <si>
    <t>18:30</t>
  </si>
  <si>
    <t>30.07.2021 18:39</t>
  </si>
  <si>
    <t>Привет</t>
  </si>
  <si>
    <t>андрей крылов</t>
  </si>
  <si>
    <t>17:59</t>
  </si>
  <si>
    <t>Re: Обсуждение новостей триколор тв</t>
  </si>
  <si>
    <t>Ну подключить на 531 - ультра... Ооочень интересно)
Ну и то, что на балансе приемника лежат деньги... Очень меня позабавило)
Я думал на балансе договора или на лицевом счете, а у них деньгами владеют премники)))
Вспоминается- это не твой зуб- это его зуб
https://www.youtube.com/watch?v=7gfeadrpQkU&amp;t=1s</t>
  </si>
  <si>
    <t>Телеспутник • Главная страница &gt; Оператор Триколор-ТВ</t>
  </si>
  <si>
    <t>17:57</t>
  </si>
  <si>
    <t>30.07.2021 18:13</t>
  </si>
  <si>
    <t>"Матрица", "Полицейская  академия", "Бэтмен против Супермена на заре Справедливости".</t>
  </si>
  <si>
    <t>17:55</t>
  </si>
  <si>
    <t>30.07.2021 17:59</t>
  </si>
  <si>
    <t>⚽ ЮФЛ. 2-й ТУР. «ЧЕРТАНОВО» – «ЛОКОМОТИВ». ПЕРЕД МАТЧЕМ  Сезон-2021/22 в Юношеской Футбольной Лиге пройдёт с 24 июля</t>
  </si>
  <si>
    <t>Олег, мы всегда публикуем ссылки на трансляции в день матча, чтобы новость не уходила вниз в ленте. Но если уже нужно знать сейчас, то трансляции будут здесь: https://kino.tricolor.tv/channels/watch/nash-sport-2/
Смотреть Наш спорт 2 в прямом эфире онлайн в хорошем качестве на «Триколор Кино и ТВ».
Смотрите Наш спорт 2 онлайн на «Триколор Кино и ТВ»: прямой эфир, высокое качество.
https://kino.tricolor.tv/channels/watch/nash-sport-2/</t>
  </si>
  <si>
    <t>ФК «ЧЕРТАНОВО»</t>
  </si>
  <si>
    <t>30.07.2021 17:35</t>
  </si>
  <si>
    <t>Привет месяц прошёл раздел радио так и нету</t>
  </si>
  <si>
    <t>17:26</t>
  </si>
  <si>
    <t>31.07.2021 06:29</t>
  </si>
  <si>
    <t>HUAYU Пульт GS 8306 для ресиверов Триколор</t>
  </si>
  <si>
    <t>Недорогой, работает отлично!</t>
  </si>
  <si>
    <t>Андрей</t>
  </si>
  <si>
    <t>17:21</t>
  </si>
  <si>
    <t>31.07.2021 07:15</t>
  </si>
  <si>
    <t>Не возможно дозвонится до операторов ,заплатил за 280 каналов а ловит только 165</t>
  </si>
  <si>
    <t>Магомед Магомедов</t>
  </si>
  <si>
    <t>Республика Дагестан</t>
  </si>
  <si>
    <t>Махачкала</t>
  </si>
  <si>
    <t>30.07.2021 17:13</t>
  </si>
  <si>
    <t>Абонентская база платного ТВ в России увеличилась</t>
  </si>
  <si>
    <t>незначительными и "свидетельствует о насыщении рынка платного телевидения в целом, которое наблюдается в России последние несколько лет, а также о наступлении дачного сезона, традиционно сопровождающегося всплеском спроса".
Дальнейшая динамика платного ТВ, по мнению Кирилла Махновского, во многом будет зависеть от темпов восстановления рекламного рынка. Он добавил, что сейчас Россия следует общему тренду на всестороннюю монетизацию платформ и абонентских баз.
Напомним, что, по данным TelecomDaily, по итогам 2020 года число российских подписчиков платного ТВ достигло https://www.cableman.ru/content/telecomdaily-v-rossii-uskorilsya-rost-platnogo-tv 44,847 млн, что на 817 тысяч больше, чем в 2019 году.</t>
  </si>
  <si>
    <t>cableman.ru</t>
  </si>
  <si>
    <t>paper product,text,diagram,document</t>
  </si>
  <si>
    <t>16:30</t>
  </si>
  <si>
    <t>30.07.2021 16:36</t>
  </si>
  <si>
    <t>Так и не ясно, кто виноват в проблемах трансляции Олимпиады в Крыму Вопрос трансляции мероприятий Олимпиады в интернете</t>
  </si>
  <si>
    <t>У меня "триколор" , все ок</t>
  </si>
  <si>
    <t>Геннадий Радионов</t>
  </si>
  <si>
    <t>Форпост-Севастополь | Новости Севастополя</t>
  </si>
  <si>
    <t>Севастополь</t>
  </si>
  <si>
    <t>16:28</t>
  </si>
  <si>
    <t>30.07.2021 22:59</t>
  </si>
  <si>
    <t>Модуль Триколор ТВ CI+ с картой доступа Центр (поддержка Ultra HD) Тариф 2500 р/год</t>
  </si>
  <si>
    <t>Достоинства: Быстрая доставка. Всё работает.</t>
  </si>
  <si>
    <t>Виталий С.</t>
  </si>
  <si>
    <t>16:25</t>
  </si>
  <si>
    <t>30.07.2021 18:32</t>
  </si>
  <si>
    <t>Такими услугами пользуются многие россияне Информационно-аналитическое агентство TelecomDaily поделилось результатами анализа рынка платного ТВ в России. Стали известны провайдеры-лидеры, а также количество жителей страны, которые платят за услуги телевидения.   По данным аналитиков, общее количество абонентов платного ТВ в России составило 45,104 млн домохозяйств по итогам второго квартала 2021 года. В среднем абоненты платят за услуги 194 рубля в месяц без НДС.   В топ-5 крупнейших операторов платного телевидения в России вошли «Триколор» (12,25 млн пользователей), «Ростелеком» (10,71 млн), МТС (4,45 млн), «ЭР-Телеком» (3,81 млн) и «Орион» (3,03 млн).   В целом, аналитики увидели во втором квартале 2021 года небольшой прирост рынка. В прошлом же году он смог набрать обороты благодаря пандемии.</t>
  </si>
  <si>
    <t>Ferra.ru</t>
  </si>
  <si>
    <t>ferra.ru</t>
  </si>
  <si>
    <t>16:19</t>
  </si>
  <si>
    <t>30.07.2021 16:58</t>
  </si>
  <si>
    <t>Live Power Блок питания для Триколор ТВ,МТС ТВ,KEENETIC роутеров,камер видеонаблюдения 12V/2A(5.5x2.5)</t>
  </si>
  <si>
    <t>Вполне исправеный.</t>
  </si>
  <si>
    <t>Олег</t>
  </si>
  <si>
    <t>16:18</t>
  </si>
  <si>
    <t>30.07.2021 16:22</t>
  </si>
  <si>
    <t>Сегодня депутат Белгородской областной Думы Ольга Ткаченко оценила ход проведения работ по реализации проектов в рамках</t>
  </si>
  <si>
    <t>А некоторые рабочие вчера на улице Островского сломали нам антенну триколор теперь телевизор не работает устанавливали краном бетонные блоки и зацепили антенну</t>
  </si>
  <si>
    <t>Наталья Соловьева</t>
  </si>
  <si>
    <t>Администрация Новооскольского городского округа</t>
  </si>
  <si>
    <t>Новый Оскол</t>
  </si>
  <si>
    <t>16:07</t>
  </si>
  <si>
    <t>31.07.2021 07:12</t>
  </si>
  <si>
    <t>ТРИКОЛОР ТВ Конвертор спутниковый круговой поляризации, два выхода для Триколор ТВ и НТВ-ПЛЮС</t>
  </si>
  <si>
    <t>Все отлично работает спасибо</t>
  </si>
  <si>
    <t>15:46</t>
  </si>
  <si>
    <t>30.07.2021 15:50</t>
  </si>
  <si>
    <t>Александр, Анна, жаль, что не помогло.. Есть ли возможность передать логин с паролем, чтобы разработчики смогли проверить на своём оборудовании? Если согласитесь, передайте, пожалуйста в личные сообщения нашей группы: vk.me/tricolor_kinoitv, чтобы не выкладывать их в открытом доступе.
Можете предварительно сменить пароль в личном кабинете, а потом сменить его обратно после того как разработчики всё проверят.</t>
  </si>
  <si>
    <t>15:41</t>
  </si>
  <si>
    <t>30.07.2021 15:44</t>
  </si>
  <si>
    <t>Вопросы по ТВ</t>
  </si>
  <si>
    <t>Включите в ЧТП телеканал Футбольный производства триколор</t>
  </si>
  <si>
    <t>Павел Эчин</t>
  </si>
  <si>
    <t>Дом.ру</t>
  </si>
  <si>
    <t>14:54</t>
  </si>
  <si>
    <t>31.07.2021 02:17</t>
  </si>
  <si>
    <t>Фрагмент эфира (Dange TV, 04.06.15)</t>
  </si>
  <si>
    <t>Он был у нас в триколоре и у бабушки в кабельном тв</t>
  </si>
  <si>
    <t>Best Animation logos channel [OBS 2020 in Tokyo]</t>
  </si>
  <si>
    <t>R&amp;В</t>
  </si>
  <si>
    <t>14:50</t>
  </si>
  <si>
    <t>30.07.2021 14:59</t>
  </si>
  <si>
    <t>«Все комики “Всероссийской лиги юмора” хотят одного…»  Давайте закончим фразу! Мы предлагаем так: откройте 54 страницу</t>
  </si>
  <si>
    <t>Триколор, канал MTV востребован во всем мире аж с 1981 года. Вам этого мало?</t>
  </si>
  <si>
    <t>Александр Пистолетов</t>
  </si>
  <si>
    <t>Рязанская область</t>
  </si>
  <si>
    <t>Рязань</t>
  </si>
  <si>
    <t>14:46</t>
  </si>
  <si>
    <t>30.07.2021 16:00</t>
  </si>
  <si>
    <t>ПРЯМО СЕЙЧАС ТОВАРИЩЕСКИЙ МАТЧ АВАНГАРД — ВИТЯЗЬ Обсуждаем матч здесь «АВАНГАРД» — «ВИТЯЗЬ» | Товарищеский матч | СТУДИЯ</t>
  </si>
  <si>
    <t>Ну это наверное у кого тарелка триколор ТВ</t>
  </si>
  <si>
    <t>Людмила Милованова</t>
  </si>
  <si>
    <t>"Авангард" Омск — чемпионы!</t>
  </si>
  <si>
    <t>31.07.2021 07:48</t>
  </si>
  <si>
    <t>https://pcnews.ru/#
Информационно-аналитическое агентство TelecomDaily поделилось результатами анализа рынка платного ТВ в России. Стали известны провайдеры-лидеры, а также количество жителей страны, которые платят за услуги телевидения.
По данным аналитиков, общее количество абонентов платного ТВ в России составило 45,104 млн домохозяйств по итогам второго квартала 2021 года. В среднем абоненты платят за услуги 194 рубля в месяц без НДС.
В топ-5 крупнейших операторов платного телевидения в России вошли «Триколор» (12,25 млн пользователей</t>
  </si>
  <si>
    <t>pcnews.ru</t>
  </si>
  <si>
    <t>14:43</t>
  </si>
  <si>
    <t>Триколор, максимальные сроки каковы? Если канал не будет добавлен - тоже сообщите?</t>
  </si>
  <si>
    <t>14:39</t>
  </si>
  <si>
    <t>30.07.2021 14:40</t>
  </si>
  <si>
    <t>Триколор Кино и ТВ: онлайн телевидение, фильмы, не помогает</t>
  </si>
  <si>
    <t>Александр Кочергин</t>
  </si>
  <si>
    <t>14:35</t>
  </si>
  <si>
    <t>Триколор, заждались этот великолепнейший канал</t>
  </si>
  <si>
    <t>14:25</t>
  </si>
  <si>
    <t>30.07.2021 15:21</t>
  </si>
  <si>
    <t>Подсчитана численность абонентов платного ТВ в России</t>
  </si>
  <si>
    <t>домохозяйств выросло на 6,5 процента», – говорится в сообщении агентства.
В целом спутниковый сегмент платного ТВ, в который входят «Триколор», «Орион», МТС, «НТВ Плюс») собрал за квартал более 50 тыс. домохозяйств. При этом основной вклад в подключения внес МТС, отметил гендиректор TelecomDaily Денис Кусков.
«Во втором квартале 2021 года мы снова увидели небольшой прирост рынка услуг платного ТВ, который в прошлом году, лишь благодаря пандемии, смог набрать обороты»,  – сказал Кусков, слова которого приводятся в материалах компании.
При этом «Ростелеком» активно сконцентрировался на продвижении сервиса wink, что позволило компании заметно повысить позиции на рынке онлайн-видео», добавил руководитель Telecom Daily.
Изображение: Lori.ru</t>
  </si>
  <si>
    <t>rspectr.com</t>
  </si>
  <si>
    <t>furniture</t>
  </si>
  <si>
    <t>business,comfort,management</t>
  </si>
  <si>
    <t>14:22</t>
  </si>
  <si>
    <t>Триколор, пожалуйста добавьте музыкальный канал MTV 80's. Он будет прекрасным дополнением к уже вещающему MTV 90's</t>
  </si>
  <si>
    <t>14:12</t>
  </si>
  <si>
    <t>30.07.2021 14:19</t>
  </si>
  <si>
    <t>Матрица, Побег из Шоушенка, Бэтмен против Супермена на заре справедлисти</t>
  </si>
  <si>
    <t>13:57</t>
  </si>
  <si>
    <t>30.07.2021 13:58</t>
  </si>
  <si>
    <t>Триколор, сделала,не помогло</t>
  </si>
  <si>
    <t>13:55</t>
  </si>
  <si>
    <t>31.07.2021 02:58</t>
  </si>
  <si>
    <t>Организация очень очень плохая работнике ноль</t>
  </si>
  <si>
    <t>Владимир Самсонов</t>
  </si>
  <si>
    <t>Татарстан</t>
  </si>
  <si>
    <t>Казань</t>
  </si>
  <si>
    <t>13:54</t>
  </si>
  <si>
    <t>30.07.2021 13:59</t>
  </si>
  <si>
    <t>А как насчёт того, чтобы отгадать все фильмы по одним лишь эмодзи? Задача не из простых, но мы верим, что вы с</t>
  </si>
  <si>
    <t>Терминатор 2. Американский пирог. Вокруг света за 80 дней</t>
  </si>
  <si>
    <t>Юля Ермакова</t>
  </si>
  <si>
    <t>13:53</t>
  </si>
  <si>
    <t>"Матрица", "Побег из Шоушенка", "Бэтмен против Супермена на заре Справедливости</t>
  </si>
  <si>
    <t>30.07.2021 13:25</t>
  </si>
  <si>
    <t>Анон Обменяю тарелку триколор тв на хороший смартфон Цена на продажу 3000</t>
  </si>
  <si>
    <t>Хорошие смартфоны нынче стоят не меньше 15тыс
За тарелку триколор тв вам вряд-ли кто-то отдаст смартфон</t>
  </si>
  <si>
    <t>Амин Кульмурзин</t>
  </si>
  <si>
    <t>Подслушано Исянгулово (главное)</t>
  </si>
  <si>
    <t>Всем добрый день. Люди подскажите пожалуйста что Ростелекомом все довольны? То работает интернет, то не работает, то</t>
  </si>
  <si>
    <t>Светлана, обнаглели. Надо от них уходить. Интернет другого оператора подключить. Телевидение триколор... Оно лучше и дешевле чем тут.</t>
  </si>
  <si>
    <t>Ирина Ковальчук</t>
  </si>
  <si>
    <t>Типичный Льгов</t>
  </si>
  <si>
    <t>Курская область</t>
  </si>
  <si>
    <t>Льгов</t>
  </si>
  <si>
    <t>13:22</t>
  </si>
  <si>
    <t>30.07.2021 14:23</t>
  </si>
  <si>
    <t>Отчет TelecomDaily: Рынок платного ТВ в России по результатам 2Q2021 года</t>
  </si>
  <si>
    <t>,5% (в прошлом году за аналогичный период на 6,4%).
Пятёрка крупнейших операторов платного ТВ по итогам 2Q2021 года
№ п/п
Название компании
Число абонентов 2Q 2021
Число абонентов 1Q 2021
1
«Триколор»
12 259 000
12 257 000
2
«Ростелеком»
10 710 000
10 708 000
3
МТС
4 454 000
4 331 000
4
«ЭР-Телеком»
3 810 000
3 800 000
5
«Орион»
3 038 166
3 022 600
В топ-5 крупнейших операторов платного ТВ на рынке изменений не произошло: в числе лидеров остались «Триколор» (12,25 млн пользователей), «Ростелеком» (10,71 млн), МТС (4,45 млн), «ЭР-Телеком» (3,81</t>
  </si>
  <si>
    <t>releases.ict-online.ru</t>
  </si>
  <si>
    <t>text,trademark</t>
  </si>
  <si>
    <t>calligraphy</t>
  </si>
  <si>
    <t>13:20</t>
  </si>
  <si>
    <t>30.07.2021 13:21</t>
  </si>
  <si>
    <t>Матрица, Побег из Шоушенка, Бэтмен против Супермена на заре Справедливости</t>
  </si>
  <si>
    <t>13:19</t>
  </si>
  <si>
    <t>30.07.2021 13:19</t>
  </si>
  <si>
    <t>Установить антену триколор(Димитрова),,,цена?</t>
  </si>
  <si>
    <t>А вам просто повесить или кабель тоже провезти если просто повесить то 2000</t>
  </si>
  <si>
    <t>Фанис Ражапович</t>
  </si>
  <si>
    <t>Халтура Магнитогорск • Услуги • Работа</t>
  </si>
  <si>
    <t>02.08.2021 10:54</t>
  </si>
  <si>
    <t>Спутниковое телевидение "Триколор ТВ" - мошенники</t>
  </si>
  <si>
    <t>нет
обманывают постоянно. стабильно раз в год отключают где-то на неделю вещание, ссылаясь на якобы "старое оборудование", а потом волшебным образом все снова работает.
Поменяли старое оборудование на новое в прошлом году за 5т. р. А в этом году нам говорят, что якобы мы оформили рассрочку на оборудование и теперь должны по 200р в месяц платить дополнительно за пользование оборудованием. При оформлении ни слова об этом не было, в документах ни слова об этом нет, впрочем, как нет и названия тарифа, который нам подключили.
Оплатили 1500р</t>
  </si>
  <si>
    <t>Asyvorotkina</t>
  </si>
  <si>
    <t>Спутниковое телевидение "Триколор ТВ"</t>
  </si>
  <si>
    <t>13:03</t>
  </si>
  <si>
    <t>30.07.2021 13:03</t>
  </si>
  <si>
    <t>Анна, кэш почистите, если андроид, а потом переустановка. Мне помогало с ошибками, советовали в поддержке.</t>
  </si>
  <si>
    <t>Александр Пупкин</t>
  </si>
  <si>
    <t>13:02</t>
  </si>
  <si>
    <t>30.07.2021 13:02</t>
  </si>
  <si>
    <t>Здравствуйте! Хочется Триколор поприветствовать в Черном списке! Уже много лет сотрудничаю с ними. Оплачиваю авансом</t>
  </si>
  <si>
    <t>Lyudmila, это может быть скорее из-за перебоев сети, ключи активации нормально приходят. Можно к интернету подключить приёмник, тогда это быстрее будет происходить и меньше вероятность сбоев</t>
  </si>
  <si>
    <t>Черный список - Калининград и область</t>
  </si>
  <si>
    <t>12:57</t>
  </si>
  <si>
    <t>30.07.2021 13:01</t>
  </si>
  <si>
    <t>Здравствуйте. У вас какой то сбой на сайте? Почему мне не приходит код на телефон для подтверждения регистрации?</t>
  </si>
  <si>
    <t>Виктор Новиков</t>
  </si>
  <si>
    <t>«Матрица», "Побег из Шоушенка", "Бэтмен против Супермена на заре Справедливости"</t>
  </si>
  <si>
    <t>Шамиль Гильмутдинов</t>
  </si>
  <si>
    <t>12:54</t>
  </si>
  <si>
    <t>"Матрица", "Побег из Шоушенка", "Бэтмен против Супермена на заре Справедливости"</t>
  </si>
  <si>
    <t>12:43</t>
  </si>
  <si>
    <t>31.07.2021 23:55</t>
  </si>
  <si>
    <t>Конвертор круговой Circular (Триколор, НТВ) на 1 вых.</t>
  </si>
  <si>
    <t>Достоинства: Не дорогой и очень качественный товар. Картинка на экране супер. 
Недостатки: Нет.
Рекомендую всем этот товар. Я установил на антенну триколор.</t>
  </si>
  <si>
    <t>Игорь Ш.</t>
  </si>
  <si>
    <t>30.07.2021 12:23</t>
  </si>
  <si>
    <t>Будьте внимательны! Кривое зеркало: с владельцев сайтов-двойников суды взыскивают крупные компенсации Широкая</t>
  </si>
  <si>
    <t>Виктор, да писали в группе что оплатили не там и пытаются вернуть деньги. Куда смотрят вообще)</t>
  </si>
  <si>
    <t>Триколор ТВ VK</t>
  </si>
  <si>
    <t>12:08</t>
  </si>
  <si>
    <t>30.07.2021 12:34</t>
  </si>
  <si>
    <t>Всё хорошо и быстро.
v2.5.0</t>
  </si>
  <si>
    <t>Таисья Марик</t>
  </si>
  <si>
    <t>12:03</t>
  </si>
  <si>
    <t>30.07.2021 12:04</t>
  </si>
  <si>
    <t>Здравствуйте. Хотела бы узнать, какую тарелку(Триколор, МТС)  лучше поставить для ТВ? И есть ли возможность провести в дом интернет, Wi-Fi? Всем заранее спасибо</t>
  </si>
  <si>
    <t>Анна Химич</t>
  </si>
  <si>
    <t>~УНГАСЁМЫ~</t>
  </si>
  <si>
    <t>Чувашия</t>
  </si>
  <si>
    <t>Чебоксары</t>
  </si>
  <si>
    <t>11:52</t>
  </si>
  <si>
    <t>30.07.2021 11:54</t>
  </si>
  <si>
    <t>Триколор, ну,  я понимаю два три дня,  но не больше  недели же...</t>
  </si>
  <si>
    <t>Ден Чернецов</t>
  </si>
  <si>
    <t>11:40</t>
  </si>
  <si>
    <t>Из-за очень большого количества правильных ответов,главный приз переносится в музей "Что?Где?Когда?".</t>
  </si>
  <si>
    <t>Владислав Саввин</t>
  </si>
  <si>
    <t>Новочеркасск</t>
  </si>
  <si>
    <t>11:13</t>
  </si>
  <si>
    <t>30.07.2021 11:13</t>
  </si>
  <si>
    <t>Завтра стартует 4-й тур #ФНЛ 31 июля Енисей - Алания Оренбург - Факел Акрон - Балтика Камаз - СКА-Хабаровск Торпедо -</t>
  </si>
  <si>
    <t>А в приложении триколор трансляция будет или только Яндекс эфир?</t>
  </si>
  <si>
    <t>Данил Ковалев</t>
  </si>
  <si>
    <t>11:04</t>
  </si>
  <si>
    <t>30.07.2021 11:40</t>
  </si>
  <si>
    <t>Триколор обновил веб-версию Личного кабинета клиента</t>
  </si>
  <si>
    <t>, пользователи получили возможность самостоятельно обменивать оборудование для использования услуг Триколора, заказанное в интернет-магазине. Для этого больше не потребуется обращаться к дилерам оператора или в Службу поддержки. Ознакомиться с изменениями в Личном кабинете клиенты Триколора могут на странице lk.tricolor.tv.
При первом входе в новый Личный кабинет клиенту необходимо авторизоваться с помощью Триколор ID или номера мобильного телефона и пароля от старой версии. В случае необходимости на странице входа можно воспользоваться функцией</t>
  </si>
  <si>
    <t>11:03</t>
  </si>
  <si>
    <t>⛔⛔⛔Оплата на Триколор и Телекарту.Регистрация оборудования!</t>
  </si>
  <si>
    <t>Igor 35 писал(а):Единый Мульти Лайт успешно активирован. Всё чётко!!!</t>
  </si>
  <si>
    <t>rafshan76</t>
  </si>
  <si>
    <t>Телеспутник • Главная страница &gt; Коммерция</t>
  </si>
  <si>
    <t>11:00</t>
  </si>
  <si>
    <t>30.07.2021 11:01</t>
  </si>
  <si>
    <t>Александр, Анна, добрый день. Попробуйте, пожалуйста, удалить все устройства в списке в личном кабинете https://lk-subscr.tricolor.tv/#Login и повторить авторизацию в приложении на ТВ.</t>
  </si>
  <si>
    <t>10:59</t>
  </si>
  <si>
    <t>30.07.2021 11:17</t>
  </si>
  <si>
    <t>Матрица
Побег из Шоушенка
Бэтмен против Супермена на заре Справедливости</t>
  </si>
  <si>
    <t>10:26</t>
  </si>
  <si>
    <t>30.07.2021 10:38</t>
  </si>
  <si>
    <t>Триколор, вы другой ответ знаете???  Я вам про одно,  а вы одно и то же...  И каналы,  которые вы перечислили,  я знаю прекрасно,  и две недели можно смотреть одно и то же...</t>
  </si>
  <si>
    <t>10:00</t>
  </si>
  <si>
    <t>30.07.2021 10:00</t>
  </si>
  <si>
    <t>Триколор, не знаю,  какие вы там переговоры ведёте,  и откуда вы рейтинги берёте,  но практически на всех каналах крутят одно и то же неделями...  У меня есть функция перемотки,  и я это прекрасно вижу...</t>
  </si>
  <si>
    <t>09:57</t>
  </si>
  <si>
    <t>01.08.2021 07:20</t>
  </si>
  <si>
    <t>Пульт для спутниковых приставок Триколор ТВ (GS-B211)</t>
  </si>
  <si>
    <t>Достоинства: Работает без нареканий 
Недостатки: Нет
Жена даже не заметила, что поменял</t>
  </si>
  <si>
    <t>Galina E.</t>
  </si>
  <si>
    <t>gadget,electronic device,communication device,smartphone,portable communications device</t>
  </si>
  <si>
    <t>09:47</t>
  </si>
  <si>
    <t>Триколор, ну,  по сути,  большинство каналов вещает одно и то же...  Особенно киноканалы...  По неделям крутят одно и то же...</t>
  </si>
  <si>
    <t>09:26</t>
  </si>
  <si>
    <t>30.07.2021 09:40</t>
  </si>
  <si>
    <t>Матрица
Побег из Шоушенка
Бэтмен против супермэна на заре справедливости</t>
  </si>
  <si>
    <t>Ирина Воейкова</t>
  </si>
  <si>
    <t>09:04</t>
  </si>
  <si>
    <t>30.07.2021 09:21</t>
  </si>
  <si>
    <t>07:50</t>
  </si>
  <si>
    <t>30.07.2021 12:08</t>
  </si>
  <si>
    <t>триколор спутниковый интернет</t>
  </si>
  <si>
    <t>Скайп у меня не установлен. Конечно будет работать по Вайбер спокойно можно разговаривать по видео связи . Там особенности только в том что пинг 600мс и это минимальный и на обратном  канале скорость  меньше соответственно качество видео  хуже которое идёт от меня.  Когда идёт дождь   сигнал также может пропадать.</t>
  </si>
  <si>
    <t>russiankran</t>
  </si>
  <si>
    <t>30.07.2021 17:15</t>
  </si>
  <si>
    <t>stitofff, Может хотели манну небесную предложить,а Вы трубу не сняли  Кстати если кто не заметил детский теперь 1500р в год стоит,а по месячно 250р,подорожал малость однако,хотя чему тут удивляться,всё кругом дорожает,причём куда чаще чем тут  Касаемо личного кабинета,заметил странность,в старой версии (текущая подписка единый ультра ну и прицепом ночной ультра за ноль р в год прикручен)так вот в старой версии кабинета ночной ультра продлён далее за ноль р в год,а в новой версии кабинета висит "без продления",странность однако</t>
  </si>
  <si>
    <t>Евгений 1970</t>
  </si>
  <si>
    <t>07:40</t>
  </si>
  <si>
    <t>30.07.2021 07:40</t>
  </si>
  <si>
    <t>У кого есть wi-fi, расскажите, какого оператора лучше выбрать, где приобрести оборудование, какая скорость?</t>
  </si>
  <si>
    <t>Ростелеком. Вполне на все хватает (Триколор работает через вай-фай, комп, планшет-телефоны и т.п.). НО постоянно тварь рвется, ну просто постоянно. Раньше звонила, делали вид что что-то ремонтируют, сейчас уже и звонить попустилась, какой в этом смысл, интернет как рвался каждые чуть не 15 минут, так и рвется. Несмотря на все их якобы ремонты. Пока все линии не поменяют - так и будет, а линии менять им невыгодно, очень дорого.</t>
  </si>
  <si>
    <t>Татьяна Демидова</t>
  </si>
  <si>
    <t>Подслушано ТАЛИЦА</t>
  </si>
  <si>
    <t>30.07.2021 15:37</t>
  </si>
  <si>
    <t>Число абонентов платного ТВ выросло на 160 тыс. во втором квартале</t>
  </si>
  <si>
    <t>. Денис Кусков, генеральный директор ИАА «TelecomDaily»: Во втором квартале 2021 года мы снова увидели небольшой прирост рынка услуг платного ТВ, который в прошлом году лишь благодаря пандемии смог набрать обороты. «Ростелеком» активно сконцентрировался на продвижении сервиса wink, что позволило компании заметно повысить позиции на рынке онлайн-видео. Также Кусков отметил, что спутниковый сегмент («Триколор», «Орион», МТС, «НТВ Плюс») собрал за квартал более 50 тысяч домохозяйств, а основной вклад в подключения внес МТС. По словам генерального</t>
  </si>
  <si>
    <t>sostav.ru</t>
  </si>
  <si>
    <t>paper product,text,document,diagram</t>
  </si>
  <si>
    <t>06:51</t>
  </si>
  <si>
    <t>Можно и так сказать. Он с пороговым уменьшением скорости. У меня тариф 40мб. За 5500р. при потреблении трафика более 200гб скорость падает до 64кб.с</t>
  </si>
  <si>
    <t>06:30</t>
  </si>
  <si>
    <t>30.07.2021 07:29</t>
  </si>
  <si>
    <t>Количество абонентов платного ТВ в РФ увеличилось на 1,7% - новости за 30 июля 2021 г.</t>
  </si>
  <si>
    <t>Количество абонентов платного телевидения в РФ во II квартале 2021 года увеличилось на 1,7% по сравнению с аналогичным периодом прошлого года и составило 45,1 млн домохозяйств, говорится в исследовании аналитического агентства TelecomDaily. На конец отчетного периода проникновение сервисов платного ТВ составило 81%. Согласно данным аналитиков, лидерство по количеству абонентов в этом сегменте сохраняет "Триколор" - 12,26 млн. Также в топ-3 по абонентам вошли "Ростелеком" (10,71 млн) и "МТС" (4,45 млн). Средний чек на абонента (ARPU) составил 194 рубля без учета НДС.</t>
  </si>
  <si>
    <t>bankodrom.ru</t>
  </si>
  <si>
    <t>30.07.2021 07:28</t>
  </si>
  <si>
    <t>Количество абонентов платного ТВ в РФ увеличилось на 1,7%</t>
  </si>
  <si>
    <t>Количество абонентов платного ТВ в РФ увеличилось на 1,7%
Москва. 30 июля. INTERFAX.RU - Количество абонентов платного телевидения в РФ во II квартале 2021 года увеличилось на 1,7% по сравнению с аналогичным периодом прошлого года и составило 45,1 млн домохозяйств, говорится в исследовании аналитического агентства TelecomDaily.
На конец отчетного периода проникновение сервисов платного ТВ составило 81%.
Согласно данным аналитиков, лидерство по количеству абонентов в этом сегменте сохраняет "Триколор" - 12,26 млн. Также в топ-3 по абонентам вошли "Ростелеком" (10,71 млн) и "МТС" (4,45 млн). Средний чек на абонента (ARPU) составил 194 рубля без учета НДС.</t>
  </si>
  <si>
    <t>interfax.ru</t>
  </si>
  <si>
    <t>paper product,text,document</t>
  </si>
  <si>
    <t>06:04</t>
  </si>
  <si>
    <t>30.07.2021 08:58</t>
  </si>
  <si>
    <t>Триколор Онлайн ТВ</t>
  </si>
  <si>
    <t>/forum/index.php?act=findpost&amp;pid=108306238  flymelove,
у меня было такое, но после того, как стал нажимать "назад" до появления запроса о выходе и подтверждении его, прошло, приложение стало сохранять логин/пароль</t>
  </si>
  <si>
    <t>cadett18</t>
  </si>
  <si>
    <t>4PDA &gt; Мультимедиа</t>
  </si>
  <si>
    <t>05:26</t>
  </si>
  <si>
    <t>/forum/index.php?act=findpost&amp;pid=108293164  flymelove,
перед выключением выходите из приложения?</t>
  </si>
  <si>
    <t>05:20</t>
  </si>
  <si>
    <t>30.07.2021 05:21</t>
  </si>
  <si>
    <t>04:48</t>
  </si>
  <si>
    <t>Интернет безлимитный?</t>
  </si>
  <si>
    <t>04:05</t>
  </si>
  <si>
    <t>Да . Пользуюсь с марта 2020</t>
  </si>
  <si>
    <t>04:02</t>
  </si>
  <si>
    <t>30.07.2021 04:06</t>
  </si>
  <si>
    <t>Реалити шоу. Против меня применили местное ТВ</t>
  </si>
  <si>
    <t>Всем доброго времени суток!!! Честно не смотрю ТВ почти на 100%  восемь с хвостиком лет! Почему почти на 100%, живу я в обществе, среди людей, и вот следствие, если дома устройство называемое телевизор, отсутсвует, так и  принимающие, и передающие любым доступным способом движущеюся картинку, изображение на расстояние радио сигналом, там укв или устройства уже работающие в цифре и т. д. как и кабель для получения сигнала от принимающих радио или иные волны  антен!! В интернете знакомясь с видео рядом, если даже в качестве прежлагаемого</t>
  </si>
  <si>
    <t>Олег Дивизионный</t>
  </si>
  <si>
    <t>Лохпожизни</t>
  </si>
  <si>
    <t>01:56</t>
  </si>
  <si>
    <t>30.07.2021 18:36</t>
  </si>
  <si>
    <t>Антенна HARPER ADVB-2440</t>
  </si>
  <si>
    <t>Достоинства: Система крепления удобна и проста, на выбор - к трубе (Ф45мм + -) или к плоскости стены. 
В зависимости от модели ТВ тюнера, встроенного или приставки, кол-во каналов разное. 
Возможности трансляций областного ТВ также влияют кол-во принимаемых ТВ каналов (+3 радио канала). 
ТВ приставкой  BBK, в районе Солнечногорска и Зеленограда, антенной Harper       удалось "засечь" ~50 ТВ каналов (90% уровень качества и сигнала приёма) 
А во владимирской области,  только 20 (+3 радио) телевизором Samsung UE324000AK. 
Данную модель антенны</t>
  </si>
  <si>
    <t>Evgen Evgenskij</t>
  </si>
  <si>
    <t>00:29</t>
  </si>
  <si>
    <t>30.07.2021 10:56</t>
  </si>
  <si>
    <t>Блок питания для приемника ТРИКОЛОР ТВ (12В, 2А, штекер 5.5)</t>
  </si>
  <si>
    <t>Достоинства: отлично, все работает
Недостатки: нет
быстро доставили</t>
  </si>
  <si>
    <t>Виктория Б.</t>
  </si>
  <si>
    <t>30.07.2021 00:44</t>
  </si>
  <si>
    <t>Количество абонентов платного ТВ достигло 45 млн домохозяйств</t>
  </si>
  <si>
    <t>снова увидели небольшой прирост рынка услуг платного ТВ, который в прошлом году, лишь благодаря пандемии, смог набрать обороты. Спутниковый сегмент ("Триколор", "Орион", МТС, "НТВ Плюс") собрал за квартал более 50 тыс. домохозяйств, а основной вклад в подключения внес МТС. При этом "Ростелеком" активно сконцентрировался на продвижении сервиса wink, что позволило компании заметно повысить позиции на ранее онлайн-видео", - подчеркнул он.
По данным агентства, в топ-5 крупнейших операторов платного ТВ на рынке вошли "Триколор" (12,25 млн пользователей), "Ростелеком" (10,71 млн), МТС (4,45 млн), "ЭР-Телеком" (3,81 млн) и "Орион" (3,03 млн).
ТегиРоссия https://tass.ru/tag/rossiya</t>
  </si>
  <si>
    <t>tass.ru</t>
  </si>
  <si>
    <t>planet,text,earth</t>
  </si>
  <si>
    <t>00:14</t>
  </si>
  <si>
    <t>30.07.2021 00:38</t>
  </si>
  <si>
    <t>Ok
v2.5.0</t>
  </si>
  <si>
    <t>Алексей Решетов</t>
  </si>
  <si>
    <t>00:11</t>
  </si>
  <si>
    <t>30.07.2021 00:11</t>
  </si>
  <si>
    <t>Сегодня в выпуске федеральных новостей сообщили, что в США в Нью-Йорке людям, которые привились будут выдавать 100</t>
  </si>
  <si>
    <t>Пенсионерам по 10000 выплачивают, триколор TV - месяц бесплатного просмотра дает</t>
  </si>
  <si>
    <t>Николай Емельянов</t>
  </si>
  <si>
    <t>Северодвинск ONLINE</t>
  </si>
  <si>
    <t>Архангельская область</t>
  </si>
  <si>
    <t>Северодвинск</t>
  </si>
  <si>
    <t>00:00</t>
  </si>
  <si>
    <t>31.07.2021 20:31</t>
  </si>
  <si>
    <t>Рынок платного ТВ в России по результатам 2Q2021 года - IKSMEDIA.RU</t>
  </si>
  <si>
    <t>тыс., то есть во втором квартале рынок немного разогнался. Всего за первое полугодие 2021 года количество подключенных домохозяйств выросло на 6,5% (в прошлом году за аналогичный период на 6,4%).  Пятёрка крупнейших операторов платного ТВ по итогам 2Q2021 года
№ п/п
Название компании
Число абонентов 2Q 2021
Число абонентов 1Q 2021
1
«Триколор»
12 259 000
12 257
000
2
«Ростелеком»
10 710 000
10 708 000
3
МТС
4 454 000
4 331 000
4
«ЭР-Телеком»
3 810 000
3 800 000
5
«Орион»
3 038 166
3 022 600
В топ-5 крупнейших операторов платного ТВ на рынке</t>
  </si>
  <si>
    <t>iksmedia.ru</t>
  </si>
  <si>
    <t>paper product,text,diagram,document,software</t>
  </si>
  <si>
    <t>29.07.2021</t>
  </si>
  <si>
    <t>23:52</t>
  </si>
  <si>
    <t>29.07.2021 23:53</t>
  </si>
  <si>
    <t>Анна, И приложение не откатить, там только последняя версия, в магазине</t>
  </si>
  <si>
    <t>23:49</t>
  </si>
  <si>
    <t>29.07.2021 23:55</t>
  </si>
  <si>
    <t>Александр, и я тоже, толку нет,возможно ошибка с обновлением.Мне в тех поддержке сказали,что куда-то там передали информацию.Ну вот иногда фильм подключается,если выключить,то больше не включится.И канал один раз мелькнул на две секунды и всё.Ошибка 20 или 28 вылезает</t>
  </si>
  <si>
    <t>23:29</t>
  </si>
  <si>
    <t>29.07.2021 23:37</t>
  </si>
  <si>
    <t>Уже и интернет отключал и приложение удалял устанавливал, не помогает</t>
  </si>
  <si>
    <t>23:20</t>
  </si>
  <si>
    <t>У меня обновилось приложение, потом ОС в тв и после этого началось</t>
  </si>
  <si>
    <t>23:19</t>
  </si>
  <si>
    <t>Александр, вот сейчас у меня включился бесплатный фильм.Выключила,опять включила и уже всё....В техподдержке мне не помогли</t>
  </si>
  <si>
    <t>23:13</t>
  </si>
  <si>
    <t>29.07.2021 23:17</t>
  </si>
  <si>
    <t>Только канал пятница работает, другие нет</t>
  </si>
  <si>
    <t>Не работает приложение, нет связи с сервером (ошибка 20) и так несколько дней</t>
  </si>
  <si>
    <t>23:04</t>
  </si>
  <si>
    <t>29.07.2021 23:38</t>
  </si>
  <si>
    <t>Задолбал этот Ростелеком!!! Чуть свет моргнул и нет ни интернета ни телевизора. Деньги гребут охрененные, а поставить</t>
  </si>
  <si>
    <t>Триколор та же печаль. Картинка есть, звука нет. Притом что звук есть на You Tube и инете, а на каналах нет</t>
  </si>
  <si>
    <t>Екатерина Герасимова</t>
  </si>
  <si>
    <t>ТВ - Типичные Вахруши</t>
  </si>
  <si>
    <t>23:03</t>
  </si>
  <si>
    <t>29.07.2021 22:59</t>
  </si>
  <si>
    <t>Цитата: black Jack от 2 часов  назаднтв+на сегодняшний день в разы круче,особенно по фильмовым каналламКакими каналами круче?
Новости и обсуждение Триколор ТВ (Часть 2)
https://gisclub.tv/novosti-mira-ultra-hd-4k-3d-hd-hd-sd-tv/novosti-i-obsuzhdenie-trikolor-tv-(chast-2)/msg615799/#msg615799</t>
  </si>
  <si>
    <t>Форум Gisclub.tv</t>
  </si>
  <si>
    <t>30.07.2021 05:02</t>
  </si>
  <si>
    <t>Уважаемые КБ друзья! Показывать игру Кр.Советов-Спартак будет Матч Премьер!</t>
  </si>
  <si>
    <t>А я по Триколору смотрю когда на даче) в Москве принципиально не хочу платить МатчПримьеру за трансляции, инет в помощь)))</t>
  </si>
  <si>
    <t>Андрей Гетманов</t>
  </si>
  <si>
    <t>За Спартак!</t>
  </si>
  <si>
    <t>29.07.2021 23:23</t>
  </si>
  <si>
    <t>Вот такая история Помню, в нашем классе когда-то висел стенд для стенгазеты, а на нём был написан задорный</t>
  </si>
  <si>
    <t>на счет триколор, если у вас смарт ТВ и кабельный инет, то поставьте приложение wifiretv
400 каналов бесплатно по сети,
наша тверская антенна задолбала, тнт и стс не возможно смотреть.</t>
  </si>
  <si>
    <t>Юрий Власиков</t>
  </si>
  <si>
    <t>Подслушано Тверь и Тверская область</t>
  </si>
  <si>
    <t>Тверская область</t>
  </si>
  <si>
    <t>Тверь</t>
  </si>
  <si>
    <t>22:38</t>
  </si>
  <si>
    <t>29.07.2021 23:15</t>
  </si>
  <si>
    <t>Сколько слышала отрицательных отзывов об услугах телекома, но триколор это вообще полный кошмар. Телеком решает любые</t>
  </si>
  <si>
    <t>Татьяна, это кратковременная проблема, 1-2 раза в год. Триколор меня устраивает.</t>
  </si>
  <si>
    <t>Анатолий Демьянов</t>
  </si>
  <si>
    <t>ЧП Старая Русса ©</t>
  </si>
  <si>
    <t>Новгородская область</t>
  </si>
  <si>
    <t>Дубовицы</t>
  </si>
  <si>
    <t>22:36</t>
  </si>
  <si>
    <t>29.07.2021 22:37</t>
  </si>
  <si>
    <t>1 матрица
2 Побег из Шоушенка
3 Бэтмэн против супермэна на заре справедливости</t>
  </si>
  <si>
    <t>Алексей Ломановский</t>
  </si>
  <si>
    <t>22:29</t>
  </si>
  <si>
    <t>29.07.2021 23:08</t>
  </si>
  <si>
    <t>Можно ли остановить спил деревьев во дворе, кто решает, что спиливать и насколько это законно. Как спасти любимую</t>
  </si>
  <si>
    <t>Елена, в этом случае срезать надо тарелку Триколор ТВ , так как она установлена на фасад дома с нарушением Жилищного Кодекса . Вы попробуйте такую тарелку установить в многоквартирном доме в Европе !</t>
  </si>
  <si>
    <t>Любовь Андреева</t>
  </si>
  <si>
    <t>Подслушано Великие Луки</t>
  </si>
  <si>
    <t>Псковская область</t>
  </si>
  <si>
    <t>Великие Луки</t>
  </si>
  <si>
    <t>22:12</t>
  </si>
  <si>
    <t>29.07.2021 22:16</t>
  </si>
  <si>
    <t>1. Матрица, 2. Побег из Шоушенка, 3. Бэтмен против Супермена на заре Справедливости</t>
  </si>
  <si>
    <t>Сергей Каюмов</t>
  </si>
  <si>
    <t>22:00</t>
  </si>
  <si>
    <t>30.07.2021 04:13</t>
  </si>
  <si>
    <t>Обзор на ТВ приставку Xiaomi TV Box S</t>
  </si>
  <si>
    <t>Триколора не нашла
Тв можно смотреть 
Фильмы тоже можно смотреть через кинопоиск или иви</t>
  </si>
  <si>
    <t>Mary Mirabella Ивлева</t>
  </si>
  <si>
    <t>21:59</t>
  </si>
  <si>
    <t>30.07.2021 00:20</t>
  </si>
  <si>
    <t>На Mi Box S вышло очередное обновление Android TV</t>
  </si>
  <si>
    <t>Здравствуйте скажите пожалуйста можно ли на него установить приложение Триколор кино и ТВ?...</t>
  </si>
  <si>
    <t>MARIO MARIO</t>
  </si>
  <si>
    <t>ОбЗор полеЗных беЗплатных программ и не только</t>
  </si>
  <si>
    <t>Здравствуйте скажите пожалуйста можно ли скачать из плэй маркета приложение Триколор кино и ТВ?...</t>
  </si>
  <si>
    <t>21:53</t>
  </si>
  <si>
    <t>29.07.2021 23:59</t>
  </si>
  <si>
    <t>Как обновить Android TV на примере Mi Box S ?</t>
  </si>
  <si>
    <t>Здравствуйте скажите пожалуйста можно ли скачать из плэй маркета приложение Триколор кино и ТВ...и нормально оно там работает?..</t>
  </si>
  <si>
    <t>21:52</t>
  </si>
  <si>
    <t>29.07.2021 22:30</t>
  </si>
  <si>
    <t>Юлия, мы выкинули три приемника после 4-летних мучений. Как нам объяснил наш мастер, они специально посылают битые коды на приёмник и пропадает сигнал. В службе поддержки сразу говорят мол несите к нам на диагностику. Если принести, то там скажут, что полетела матрица или хз ещё что, только менять на новый приёмник. Причём если не звонить и потерпеть семь дней до следующего обновления кодов, то приёмник чудесным образом начинает работать))) Но в итоге они нас этим просто замучили и мы всё нахрен выкинули.</t>
  </si>
  <si>
    <t>Lyudmila Efimova</t>
  </si>
  <si>
    <t>29.07.2021 21:40</t>
  </si>
  <si>
    <t>Особенно, когда дождь и снег, телевизоры не показывают</t>
  </si>
  <si>
    <t>Татьяна Гукова</t>
  </si>
  <si>
    <t>21:19</t>
  </si>
  <si>
    <t>29.07.2021 21:39</t>
  </si>
  <si>
    <t>«Триколор Кино и ТВ» для Android</t>
  </si>
  <si>
    <t>Только канал Пятница показывает, остальные нет, пишет про ошибку и повторите позже и так несколько дней</t>
  </si>
  <si>
    <t>Спутниковый конвертер Green Line GL-201 SRL UHD (Триколор ТВ , НТВ +)</t>
  </si>
  <si>
    <t>Достоинства: Отлично работает можно брать</t>
  </si>
  <si>
    <t>Александр П.</t>
  </si>
  <si>
    <t>21:16</t>
  </si>
  <si>
    <t>29.07.2021 21:17</t>
  </si>
  <si>
    <t>Здравствуйте, не работает кино и тв от триколора на смарт тв LG, нет связи с сервером (ошибка 20)</t>
  </si>
  <si>
    <t>20:51</t>
  </si>
  <si>
    <t>31.07.2021 10:36</t>
  </si>
  <si>
    <t>Перезагрузка Триколор ТВ B211, B210 циклическая.</t>
  </si>
  <si>
    <t>Пока ничего сказать не могу, как только принесут рес с такой неисправностью, сразу выложу видео ремонта.</t>
  </si>
  <si>
    <t>крутой лудильщик</t>
  </si>
  <si>
    <t>20:45</t>
  </si>
  <si>
    <t>29.07.2021 20:56</t>
  </si>
  <si>
    <t>Матрица
Побег из Шоушенка
Бэтмен против супермена : на заре справедливости</t>
  </si>
  <si>
    <t>Елена Кузнецова</t>
  </si>
  <si>
    <t>Тамбовская область</t>
  </si>
  <si>
    <t>Тамбов</t>
  </si>
  <si>
    <t>20:44</t>
  </si>
  <si>
    <t>Всё отлично пульт весь рабочий, батарейки в подарок</t>
  </si>
  <si>
    <t>Алексей</t>
  </si>
  <si>
    <t>20:41</t>
  </si>
  <si>
    <t>30.07.2021 21:41</t>
  </si>
  <si>
    <t>Пульт для спутниковых приставок Триколор ТВ (универсальный)</t>
  </si>
  <si>
    <t>Достоинства: Быстро пришёл,все кнопки работают
Недостатки: Нет батареек в комплекте</t>
  </si>
  <si>
    <t>Александр С.</t>
  </si>
  <si>
    <t>20:30</t>
  </si>
  <si>
    <t>29.07.2021 20:43</t>
  </si>
  <si>
    <t>Кайфую от нее даже в зм Какие антенны поставить?</t>
  </si>
  <si>
    <t>Муслим, триколор лат</t>
  </si>
  <si>
    <t>No-Name No-Name</t>
  </si>
  <si>
    <t>Atyrau_gr</t>
  </si>
  <si>
    <t>20:23</t>
  </si>
  <si>
    <t>29.07.2021 20:36</t>
  </si>
  <si>
    <t>Здравствуйте! Подскажите, пожалуйста, кто живёт в частном доме? Какой у вас интернет? Купили телевизор со смарт-тв, а</t>
  </si>
  <si>
    <t>Телевизор Триколор, интернет Сибирский медведь.   Всё устраивает.</t>
  </si>
  <si>
    <t>Ирина Яковлева</t>
  </si>
  <si>
    <t>Женский Саратов</t>
  </si>
  <si>
    <t>Саратовская область</t>
  </si>
  <si>
    <t>Саратов</t>
  </si>
  <si>
    <t>20:08</t>
  </si>
  <si>
    <t>29.07.2021 20:39</t>
  </si>
  <si>
    <t>Любовь, у моей бабушки дерево тарелку Триколор ТВ перекрыло и мы обратились в управляющую компанию и дерево спилили. Тоже самопосадка.</t>
  </si>
  <si>
    <t>Елена Колосова</t>
  </si>
  <si>
    <t>20:06</t>
  </si>
  <si>
    <t>29.07.2021 20:15</t>
  </si>
  <si>
    <t>Здравствуйте, у меня САМ модуль Триколор оплачено до января 2021 г, недели 2 назад начал показывать 5 минут кажет затем</t>
  </si>
  <si>
    <t>Борис, скорее всего, физически модуль сдыхает и глючит) лучше новый купить отдельно без карты. Совет: сейчас новые модули марки DRAGU с черной этикеткой - это самые новые!</t>
  </si>
  <si>
    <t>СПУТНИКОВАЯ БАРАХОЛОЧКА</t>
  </si>
  <si>
    <t>20:04</t>
  </si>
  <si>
    <t>Здравствуйте. А сколько стоит Единый?</t>
  </si>
  <si>
    <t>Вячеслав, да, просто карта будет от модуля или от другого ресивера с тарифом 1500р. Либо б/у зарегистрированные от дтс 53-54 карты с новыми ресиверами. Карты можно перерегистрировать официально на свои данные!</t>
  </si>
  <si>
    <t>20:03</t>
  </si>
  <si>
    <t>Дмитрий, эти ресиверы с любой картой 255 и 265 серии работают, так что не говорите, если не знаете.. какое нахрен FTA?? Эти ДТС лучше работают, чем b210, 211 и т.д. Мы их как обменные используем взамен вышедших из строя - и конечному пользователю дешевле получается)) так-то!</t>
  </si>
  <si>
    <t>20:00</t>
  </si>
  <si>
    <t>29.07.2021 20:04</t>
  </si>
  <si>
    <t>Почему нет возможности оплатить не за год, а за месяц? Очень неудобно. Мы, например, квартиры продаем. И оплачивать подписку на год, когда по факту будем пользоваться ей месяца два - три, такое себе...
v2.5.0</t>
  </si>
  <si>
    <t>Светлана А</t>
  </si>
  <si>
    <t>19:47</t>
  </si>
  <si>
    <t>29.07.2021 23:19</t>
  </si>
  <si>
    <t>Хочу поделиться информацией, которая возможно кому-то поможет в будущем при выборе оператора спутникового телевидения.
Речь пойдет об обмене оборудования Триколор ТВ, а точнее об обмане и принуждении к обмену заведомо исправного оборудования на новое, разумеется за отдельную плату.
Даже если ваш ресивер поддерживает HD, и ему всего пару лет, это еще не повод, чтобы не раскрутить вас на обмен оборудования @tricolor_tv 
СХЕМА ОБМАНА И ПРИНУЖДЕНИЯ ОЧЕНЬ ПРОСТАЯ. В определённый день у вас перестают показывать каналы #триколор
Просто перестают</t>
  </si>
  <si>
    <t>Сергей Николаевич Черкашин</t>
  </si>
  <si>
    <t>instagram.com</t>
  </si>
  <si>
    <t>text,symbol,signage,diagram</t>
  </si>
  <si>
    <t>https://scontent-arn2-1.cdninstagram.com/v/t51.2885-15/e35/s1080x1080/225917604_789566425041954_755457695964192887_n.jpg?_nc_ht=scontent-arn2-1.cdninstagram.com&amp;_nc_cat=106&amp;_nc_ohc=CUoLWHfHqGMAX-vXTfA&amp;edm=AA0rjkIBAAAA&amp;ccb=7-4&amp;oh=ac0dd42bb0e150ffe2ea803be818d413&amp;oe=610AB982&amp;_nc_sid=d997c6</t>
  </si>
  <si>
    <t>30.07.2021 05:50</t>
  </si>
  <si>
    <t>MIRANT Пульт универсальный GS B211 (B212) для спутникового ресивера Триколор/GENERAL SATELLITE</t>
  </si>
  <si>
    <t>Пульт работает отлично!</t>
  </si>
  <si>
    <t>Антон</t>
  </si>
  <si>
    <t>19:42</t>
  </si>
  <si>
    <t>30.07.2021 20:58</t>
  </si>
  <si>
    <t>Спутниковый ресивер General Satellite GS C593 (Триколор ТВ)</t>
  </si>
  <si>
    <t>Достоинства: Приставка работает хорошо
Недостатки: Пока не нашол</t>
  </si>
  <si>
    <t>Александр Б.</t>
  </si>
  <si>
    <t>Ямало-Ненецкий автономный округ</t>
  </si>
  <si>
    <t>Новый Уренгой</t>
  </si>
  <si>
    <t>19:30</t>
  </si>
  <si>
    <t>29.07.2021 19:37</t>
  </si>
  <si>
    <t>Триколор, Веду статистику.Выше перечисленные фильмы транслируются уже год.</t>
  </si>
  <si>
    <t>19:20</t>
  </si>
  <si>
    <t>31.07.2021 03:05</t>
  </si>
  <si>
    <t>Триколор Кино и ТВ онлайн</t>
  </si>
  <si>
    <t>Ценник
Что то я не поняла, почему оплатить не дали, хоть и пыталась, теперь подписка с 149 рублей стоит 349?! Вы серьезно?! На 200 р сразу</t>
  </si>
  <si>
    <t>сугроб</t>
  </si>
  <si>
    <t>itunes.apple.com</t>
  </si>
  <si>
    <t>29.07.2021 19:19</t>
  </si>
  <si>
    <t>На "Дом кино" кроме Убойной силы,Сватов и Следа больше ничего не транслируется?</t>
  </si>
  <si>
    <t>19:11</t>
  </si>
  <si>
    <t>29.07.2021 19:22</t>
  </si>
  <si>
    <t>Битва телешоу!  Что будете смотреть этим вечером?  Признаемся, передач о ремонте домов на телеканале HGTV так много,</t>
  </si>
  <si>
    <t>Elena, добрый вечер! На данный момент такой возможности нет, но мы не стоим на месте!
Сейчас Вы можете найти наш канал в базовых пакетах операторов «Ростелеком», «ЭР-Телеком», «МегаФон», NetByNet, онлайн-сервисе MEGOGO, Билайн, МТС, Акадо и Триколор. Список операторов будет пополняться.
Следите за изменениями в программе и обновлениями на нашей странице, мы обязательно будем сообщать обо всех новостях.</t>
  </si>
  <si>
    <t>HGTV Russia</t>
  </si>
  <si>
    <t>19:05</t>
  </si>
  <si>
    <t>29.07.2021 19:15</t>
  </si>
  <si>
    <t>Триколор ТВ ВСТРЕЧАЙТЕ !!! Новые услуги от Триколор: 1. Пакет телеканалов "Единый Ultra HD" переименован в "Единый</t>
  </si>
  <si>
    <t>В плане ТВ, моё мнение лучше всего это приставка на андроиде, кучи бесплатных бесплатных онлайн кинотеатров,  IPTV, обычных каналов, ютуб без рекламы, вобще не за что платить не надо, единственное последние время правообладатели взялись за этот пиратский контент, Wink заблокировали  4 pda  тоже, в плане тв каналов сейчас по сложнее чем было.</t>
  </si>
  <si>
    <t>Игорь Скорик</t>
  </si>
  <si>
    <t>Tricolorkin Все о Спутниковом ТВ</t>
  </si>
  <si>
    <t>19:01</t>
  </si>
  <si>
    <t>29.07.2021 19:06</t>
  </si>
  <si>
    <t>Очень радует что есть триколлор тв
v2.5.0</t>
  </si>
  <si>
    <t>Лаура Баймуратова</t>
  </si>
  <si>
    <t>18:44</t>
  </si>
  <si>
    <t>29.07.2021 20:08</t>
  </si>
  <si>
    <t>Как подключить Wi-Fi к приёмнику? С модулем управления сделать это совсем просто!
Он не только раздаёт Wi-Fi в приёмник, но и объединяет все устройства умного дома в одну систему. А приобрести модуль можно всего за 299 руб. по промокоду TRICOLOR2021 в интернет-магазине Триколора или на Ozon.
Подключив приёмник к интернету, вы получите новые возможности.
✓ Доступ к сервисам управления просмотром: пауза, перемотка, просмотр передач из архива.
✓ Тысячи фильмов и сериалов онлайн-сервиса «Триколор Кино и ТВ».
 ✓ Дистанционное управление</t>
  </si>
  <si>
    <t>electronic device,text,gadget</t>
  </si>
  <si>
    <t>18:37</t>
  </si>
  <si>
    <t>29.07.2021 19:26</t>
  </si>
  <si>
    <t>Как подключить Wi-Fi к приёмнику? С модулем управления сделать это совсем просто!
Он не только раздаёт Wi-Fi в приёмник, но и объединяет все устройства умного дома в одну систему. А приобрести модуль можно всего за 299 руб. по промокоду TRICOLOR2021 в интернет-магазине Триколора или на Ozon.
Подключив приёмник к интернету, вы получите новые возможности.
✅ Доступ к сервисам управления просмотром: пауза, перемотка, просмотр передач из архива.
✅ Тысячи фильмов и сериалов онлайн-сервиса «Триколор Кино и ТВ».
✅ Дистанционное управление системой «Триколор Умный Дом», при приобретении доп устройств. 
Подробности акции по ссылке https://ok.me/Axsf
Модуль управления умным домом</t>
  </si>
  <si>
    <t>text,electronic device,gadget</t>
  </si>
  <si>
    <t>18:26</t>
  </si>
  <si>
    <t>30.07.2021 09:32</t>
  </si>
  <si>
    <t>Сделали всё быстро и качественно! Хорошие цены.</t>
  </si>
  <si>
    <t>Владимир Кочанов</t>
  </si>
  <si>
    <t>Новомосковск</t>
  </si>
  <si>
    <t>18:07</t>
  </si>
  <si>
    <t>29.07.2021 18:18</t>
  </si>
  <si>
    <t>Встречайте новый «Детский»!  Теперь пакет включает 21 телеканал специально для детей, а ещё огромную онлайн-библиотеку</t>
  </si>
  <si>
    <t>Здравствуйте Услуга активна 250 рублей.</t>
  </si>
  <si>
    <t>18:05</t>
  </si>
  <si>
    <t>29.07.2021 18:13</t>
  </si>
  <si>
    <t>Добрый день. У кого мтс тарелка напишите пожалуйста отзывыкак работает, качества и интернет как? Стоит ли брать. Или</t>
  </si>
  <si>
    <t>1500 уже триколор</t>
  </si>
  <si>
    <t>Ильдар Габдуллин</t>
  </si>
  <si>
    <t>Подслушано Кукмор</t>
  </si>
  <si>
    <t>Теперь и в десктопе: Триколор обновил веб-версию Личного кабинета клиента</t>
  </si>
  <si>
    <t>Обновленный Личный кабинет Триколора приобрел более понятный пользователю интерфейс и современный визуальный стиль — дизайн стал более лаконичным и интуитивным. Теперь на главную страницу веб-версии вынесена информация о подключенных услугах, текущем балансе и акциях оператора — это поможет клиенту быстро и удобно управлять своими подписками. Кроме того, пользователи получили возможность самостоятельно обменивать оборудование для использования услуг Триколора, заказанное в интернет-магазине. Для этого больше не потребуется обращаться к дилерам</t>
  </si>
  <si>
    <t>29.07.2021 18:29</t>
  </si>
  <si>
    <t>— это поможет клиенту быстро и удобно управлять своими подписками. Кроме того, пользователи получили возможность самостоятельно обменивать оборудование для использования услуг Триколора, заказанное в интернет-магазине. Для этого больше не потребуется обращаться к дилерам оператора или в Службу поддержки. Ознакомиться с изменениями в Личном кабинете клиенты Триколора могут на странице lk.tricolor.tv.
При первом входе в новый Личный кабинет клиенту необходимо авторизоваться с помощью Триколор ID или номера мобильного телефона и пароля от старой</t>
  </si>
  <si>
    <t>Спутник</t>
  </si>
  <si>
    <t>computer,monitor,output device,software,display device,electronic device,gadget,personal computer,computer monitor,laptop</t>
  </si>
  <si>
    <t>17:50</t>
  </si>
  <si>
    <t>29.07.2021 18:01</t>
  </si>
  <si>
    <t>Если начинать с того как вы занимались спутниковым ТВ и какая у вас стрёмная реклама, начальное оборудование спутникового ТВ было хорошее, а теперь хуже некуда, работники тех поддержки по спутниковому ТВ в данный момент меньше могут помочь чем просто операторы. Не рекомендую устанавливать это приложение, потому что это отбор денег как и само спутниковое ТВ
v2.5.0</t>
  </si>
  <si>
    <t>Николай Кузнецов</t>
  </si>
  <si>
    <t>17:46</t>
  </si>
  <si>
    <t>29.07.2021 17:58</t>
  </si>
  <si>
    <t>Матрица, побег из шоушенка, бэтмен против супермена</t>
  </si>
  <si>
    <t>Андрей Легостаев</t>
  </si>
  <si>
    <t>Орловская область</t>
  </si>
  <si>
    <t>Орёл</t>
  </si>
  <si>
    <t>17:25</t>
  </si>
  <si>
    <t>Добрый день! Сделал все по инструкции . Но не работает так же перезагружается, приёмник B211 ,заметил такую хрень ,только подключаю кабель антенны и всё уходит на перезагрузку.</t>
  </si>
  <si>
    <t>GlobalWar</t>
  </si>
  <si>
    <t>29.07.2021 17:29</t>
  </si>
  <si>
    <t>Здравствуйте!Приложение работать перестало.Оно загружается,есть программа передач.Но каналы не воспроизводятся,идёт постоянно значок буферизации.Версия приложения 1.1.9.Телевизор  LG webOS UK6200PLA версия п.о 05.40.06</t>
  </si>
  <si>
    <t>17:22</t>
  </si>
  <si>
    <t>29.07.2021 17:26</t>
  </si>
  <si>
    <t>В мире всего два типа людей: те, кто любит смотреть фильмы дома, и те, кто предпочитает на большом экране в кинотеатре!</t>
  </si>
  <si>
    <t>Триколор, здравствуйте у вас в онлайн кинотеатре раньше все фильмы были бесплатные из за подключенного пакета единый а теперь почти все фильмы стали платными исправьте пожалуйста ато чтобы их посмотреть надо подключить дополнительный пакет а это дорого мне и стандартного пакета единый хватает и сделайте пожалуйста собственный телеканал с китайскими фильмами и сериалами в поддержку телеканала дорама мне бы хотелось чтобы таких каналов с китайскими фильмами и сериалами было больше заранее спасибо.</t>
  </si>
  <si>
    <t>Кирилл Сядуков</t>
  </si>
  <si>
    <t>Большая Таяба</t>
  </si>
  <si>
    <t>17:17</t>
  </si>
  <si>
    <t>29.07.2021 17:21</t>
  </si>
  <si>
    <t>кажут? Не вводят рес в ступор- Например Fashion &amp; LifeStyle ? На этом транспондере есь ещё 3 сервисных станции- они вроде открытые. Я думаю у Триколора на этом транспондере какие то сбои. По этому так и работает.
https://gisclub.tv/vu-uno-4k-se-obsuzhdenie/vuuno-4k-se/msg615791/#msg615791</t>
  </si>
  <si>
    <t>17:16</t>
  </si>
  <si>
    <t>29.07.2021 17:17</t>
  </si>
  <si>
    <t>Матрица
Побег из Шоушенка
Бэтмен против Супермена: На заре справедливости</t>
  </si>
  <si>
    <t>Александр Владимиров</t>
  </si>
  <si>
    <t>30.07.2021 09:33</t>
  </si>
  <si>
    <t>Приношу свою благодарность за то что мой вопрос был решён быстро и профессионально</t>
  </si>
  <si>
    <t>Гаяне Тамарян</t>
  </si>
  <si>
    <t>Анапа</t>
  </si>
  <si>
    <t>16:54</t>
  </si>
  <si>
    <t>29.07.2021 16:57</t>
  </si>
  <si>
    <t>Сколько слышала отрицательных отзывов об услугах телекома, но триколор это вообще полный кошмар. Телеком решает любые проблемы с интернетом и телевидением в течение суток. А мастер триколора выезжает  1 раз в неделю. Остальное время смотри на телевизоре «нет сигнала».</t>
  </si>
  <si>
    <t>Наташа Алексеева</t>
  </si>
  <si>
    <t>29.07.2021 16:58</t>
  </si>
  <si>
    <t>Марина Шляхтенко</t>
  </si>
  <si>
    <t>29.07.2021 16:26</t>
  </si>
  <si>
    <t>СЫЕНДУК ► УРОКИ ****ЫХ МАНЕР - Карусель Безумия | Реакция</t>
  </si>
  <si>
    <t>Мои родители купили триколор тв (через несколько лет  приёмник лагает как говно ).
И по диснею реально крутят какую то непонятную дичь</t>
  </si>
  <si>
    <t>Nikolanchik</t>
  </si>
  <si>
    <t>Майни</t>
  </si>
  <si>
    <t>29.07.2021 16:20</t>
  </si>
  <si>
    <t>Триколор, нет не удобно . Именно поэтому я вообще более детским пакетом пользоваться не буду</t>
  </si>
  <si>
    <t>Жорик Вартанов</t>
  </si>
  <si>
    <t>16:14</t>
  </si>
  <si>
    <t>29.07.2021 23:22</t>
  </si>
  <si>
    <t>Отлично</t>
  </si>
  <si>
    <t>Валерий Сухачев</t>
  </si>
  <si>
    <t>16:13</t>
  </si>
  <si>
    <t>29.07.2021 16:14</t>
  </si>
  <si>
    <t>Триколор, онлайн библиотека меня не интересует для онлайна есть много других сервисов за которые платить не надо</t>
  </si>
  <si>
    <t>16:12</t>
  </si>
  <si>
    <t>29.07.2021 16:12</t>
  </si>
  <si>
    <t>Триколор, мне удобно было платить в месяц поэтому существенно подоражал пакет</t>
  </si>
  <si>
    <t>15:57</t>
  </si>
  <si>
    <t>29.07.2021 15:57</t>
  </si>
  <si>
    <t>Триколор, да и расширение сомнительно очень</t>
  </si>
  <si>
    <t>Триколор, а месячная ох как выросла и по итогу стала с 2400р год 3000р год . Жадность однако</t>
  </si>
  <si>
    <t>15:42</t>
  </si>
  <si>
    <t>29.07.2021 15:43</t>
  </si>
  <si>
    <t>Добрый день! Столкнулся с такой проблемой. У меня Триколор модуль C+. Перестал показывать. Попытался перенастроить-нет сигнала. Выбрал в настройках вмесо Триколор (НТВ-Плюс и т.д.) просто "Спутник". Нашёл много каналов, которые раньше при такой настройке показывали почти все, а сейчас показывают около пяти каналов. Значит обрыва нет. Откат модуля на заводские настройки результатов не дал. При выборе в нстройках Триколор-ТВ, по-прежнему выдаёт "нет сигнала". В чем может быть причина?</t>
  </si>
  <si>
    <t>Эдуард Холмогоров</t>
  </si>
  <si>
    <t>30.07.2021 02:23</t>
  </si>
  <si>
    <t>Выбор саундбара</t>
  </si>
  <si>
    <t>/forum/index.php?act=findpost&amp;pid=108294487  phox,Ну это скорее всего брак,а тв тоже самсунг?Я вообще ничего не делал в настройках,просто подключил бар к тв,включается вместе с тв,выключается тоже.Изначально подключал по hdmi,сейчас по оптике(первый вариант не устроил алгоритм работы с тв приставкой триколора)сейчас все работает нормально,звук регулирую с пульта от тв,тонкие настройки один раз настроил на пульте от бара,особо им не пользуюсь,разве что подкрутить звук на вуфере и перпеключить режимы для кого нибудь фильма.</t>
  </si>
  <si>
    <t>SERJIK899</t>
  </si>
  <si>
    <t>4PDA &gt; Выбор и Сравнение (редирект)</t>
  </si>
  <si>
    <t>15:21</t>
  </si>
  <si>
    <t>30.07.2021 05:25</t>
  </si>
  <si>
    <t>Покупал пульт взамену скончавшемуся.
Заведение фирменное триколоровское. Напоминает склад-мастерскую</t>
  </si>
  <si>
    <t>Трофимов  Алексей</t>
  </si>
  <si>
    <t>Смоленск</t>
  </si>
  <si>
    <t>15:14</t>
  </si>
  <si>
    <t>29.07.2021 15:14</t>
  </si>
  <si>
    <t>Никита, у нас курск онлайн больше года, ни одного нарекания, 500р в месяц и отказались от тарелки триколор, смотрим через инет мтс кион))) очень довольны</t>
  </si>
  <si>
    <t>Андрей-И-Света Жарких</t>
  </si>
  <si>
    <t>15:13</t>
  </si>
  <si>
    <t>29.07.2021 15:18</t>
  </si>
  <si>
    <t>Супер
v2.5.0</t>
  </si>
  <si>
    <t>Николай Хасаншин</t>
  </si>
  <si>
    <t>15:12</t>
  </si>
  <si>
    <t>29.07.2021 16:09</t>
  </si>
  <si>
    <t>Все о работе в компании Ростелеком</t>
  </si>
  <si>
    <t>В точности по тому же принципу была устроена работа в колл-центре Триколор ТВ, ну, по крайней мере 10 лет назад. Но платили по тем деньгам нормально.</t>
  </si>
  <si>
    <t>Анонимный Пользователь</t>
  </si>
  <si>
    <t>Все Работы Хороши</t>
  </si>
  <si>
    <t>15:10</t>
  </si>
  <si>
    <t>29.07.2021 15:20</t>
  </si>
  <si>
    <t>Да ну за такую цену он мне не нужен,я по6имаю когда вы годовую подняли ну вот ежемесячную это пря жадность жадная показанна . старая цена 12×200=2400р зачем её поднимать ?</t>
  </si>
  <si>
    <t>29.07.2021 16:39</t>
  </si>
  <si>
    <t>Покупал для GS 8302. Работает как и должно быть.</t>
  </si>
  <si>
    <t>Геннадий</t>
  </si>
  <si>
    <t>15:06</t>
  </si>
  <si>
    <t>Принес ресивер триколор в ремонт , мега мастер включил в розетку и стал щелкать пультом после пятиминутного мучения вынес вердикт.,,ОН СЛОМАН И РЕМОНТУ НН ПОДЛЕЖИТ, ТОЛЬКО ОБМЕН ЗА 4 ТЫР.развод полный.
Обратился в другую мастерскую,оказалось полетел блок питания, цена вопроса 500 рублей.</t>
  </si>
  <si>
    <t>роман с.</t>
  </si>
  <si>
    <t>15:05</t>
  </si>
  <si>
    <t>29.07.2021 15:06</t>
  </si>
  <si>
    <t>Алексей, по-моему у триколор за спутниковое тв выгоднее ценник чем у остальных. Но каждому своё) Просто не все могут кабель провести</t>
  </si>
  <si>
    <t>Вадим Акуленко</t>
  </si>
  <si>
    <t>Бобров</t>
  </si>
  <si>
    <t>29.07.2021 15:05</t>
  </si>
  <si>
    <t>Юлия, мне один раз позвонили, вежливо отказался. Приставкой пользуюсь больше 5 лет, всё норм</t>
  </si>
  <si>
    <t>15:03</t>
  </si>
  <si>
    <t>Спутниковое телевидение "Триколор ТВ" - Нехорошие люди</t>
  </si>
  <si>
    <t>Здравствуйте! Приносим извинения за неудобства, и спасибо за обратную связь. Коллеги уже разбираются с ситуацией, пожалуйста, ожидайте обратной связи.</t>
  </si>
  <si>
    <t>Tricolor support</t>
  </si>
  <si>
    <t>15:02</t>
  </si>
  <si>
    <t>29.07.2021 15:31</t>
  </si>
  <si>
    <t>Спутниковое телевидение Триколор ТВ</t>
  </si>
  <si>
    <t>Здравствуйте, приносим извинения за данные неудобства. Коллеги уже разбираются с обращением, пожалуйста, ожидайте ответ по обращению от них.</t>
  </si>
  <si>
    <t>Tricolor Support</t>
  </si>
  <si>
    <t>irecommend.ru</t>
  </si>
  <si>
    <t>15:00</t>
  </si>
  <si>
    <t>29.07.2021 15:00</t>
  </si>
  <si>
    <t>Кто может настроить уровень сигнала и чистоту на триколор ТВ</t>
  </si>
  <si>
    <t>Александр, Антон спасибо за поддержку все сделали.Все отлично</t>
  </si>
  <si>
    <t>Александр Бондарев</t>
  </si>
  <si>
    <t>К-510</t>
  </si>
  <si>
    <t>29.07.2021 14:52</t>
  </si>
  <si>
    <t>Либо карта отходит, тогда подсунуть какую либо визитку, либо скорее всего сигнал плохой и модуль ключи теряет.</t>
  </si>
  <si>
    <t>Антон Гильдеев</t>
  </si>
  <si>
    <t>14:49</t>
  </si>
  <si>
    <t>29.07.2021 15:01</t>
  </si>
  <si>
    <t>Матрица 1 часть
Побег из шоушенко
Бэтмен против супермена</t>
  </si>
  <si>
    <t>Станислав Масленников</t>
  </si>
  <si>
    <t>Триколор, В "Матрице" главный герой не выбирал таблетки!</t>
  </si>
  <si>
    <t>14:40</t>
  </si>
  <si>
    <t>Кхе-кхе! А почему трое тёмных очков,капсула с лекарством и синий-красный являются аналогом фильма "Матрица"? :) Наивные пользователи группы вконтакте! Скорее "Трое против всех".Или "Три икса".</t>
  </si>
  <si>
    <t>14:31</t>
  </si>
  <si>
    <t>29.07.2021 14:40</t>
  </si>
  <si>
    <t>❗️Внимание: возможны перерывы в вещании❗️ Из-за неблагоприятного атмосферного фона в Москве в районе расположения ЦКС</t>
  </si>
  <si>
    <t>Галина, нормально ничего открыть да единый, баланс</t>
  </si>
  <si>
    <t>14:29</t>
  </si>
  <si>
    <t>Всем доброго дня, никто случайно не сталкивался с постоянным вылетом авторизации после выключения ТВ? Как эту болячку вылечить? Постоянно требует код доступа с телефона, а с помощью логина и пароля, и подавно не хочет авторизовываться, пишет : проблема с сервером :mellow:</t>
  </si>
  <si>
    <t>flymelove</t>
  </si>
  <si>
    <t>14:28</t>
  </si>
  <si>
    <t>29.07.2021 15:51</t>
  </si>
  <si>
    <t>Олимпийские Игры в ТОКИО 2020-2021</t>
  </si>
  <si>
    <t>Сообщение от Фотинa
https://forum.littleone.ru/showthread.php?p=176337457#post176337457
У нас гроза, триколор барахлит((
На море тв россия 1
Я смотрю по тлф</t>
  </si>
  <si>
    <t>*Nord*</t>
  </si>
  <si>
    <t>forum.littleone.ru</t>
  </si>
  <si>
    <t>Обо всем остальном</t>
  </si>
  <si>
    <t>14:23</t>
  </si>
  <si>
    <t>Матрица
Побег из Шоушенка
Бетмен против Супермена: На заре справедливости</t>
  </si>
  <si>
    <t>14:15</t>
  </si>
  <si>
    <t>29.07.2021 14:21</t>
  </si>
  <si>
    <t>Матрица; Побег из Шоушенка; Бэтмен против Супермена на заре Справедливости</t>
  </si>
  <si>
    <t>Ирландия</t>
  </si>
  <si>
    <t>29.07.2021 13:59</t>
  </si>
  <si>
    <t>Матрица
Побег из Шоушенка
Бэтмен против Супермена на заре Справедливости.</t>
  </si>
  <si>
    <t>13:52</t>
  </si>
  <si>
    <t>Смотрите «Мир! Дружба! Жвачка! 2» в подписках «Единый Ультра» и PREMIER:
в разделе «Кино Онлайн» на подключённом к интернету приёмнике 
на сайте https://kino.tricolor.tv/ 
в приложении «Триколор Кино и ТВ» на мобильных устройствах и Smart TV: https://kino.onelink.me/qhDw/premier</t>
  </si>
  <si>
    <t>paper product,text,poster,magazine</t>
  </si>
  <si>
    <t>movie,friendship</t>
  </si>
  <si>
    <t>13:50</t>
  </si>
  <si>
    <t>C 27 июля для оборудования модели GS А230 будет доступна новая версия ПО! Какие обновления вас ждут? Добавлено</t>
  </si>
  <si>
    <t>В 527 версия по приёмник 4.15.421 версия по модуль 0.0.225</t>
  </si>
  <si>
    <t>29.07.2021 14:22</t>
  </si>
  <si>
    <t>Если вы ностальгируете по душераздирающим песням Тани Булановой о ещё одной ночи вдвоём, брутальным мужчинам в</t>
  </si>
  <si>
    <t>Если вы ностальгируете по душераздирающим песням Тани Булановой о ещё одной ночи вдвоём, брутальным мужчинам в спортивных костюмах, кожанках и цепях, разборкам в подворотнях, то сериал про Сашу Рябинина будет вам как бальзам на душу!
Сериал о лихих 90-х, когда в России шумно гуляли бандиты, а за место под солнцем нужно было бороться, снова на ваших экранах!
Смотрите «Мир! Дружба! Жвачка! 2» в подписках «Единый Ультра» и PREMIER:
в разделе «Кино Онлайн» на подключённом к интернету приёмнике
на сайте https://kino.tricolor.tv/  
в приложении «Триколор Кино и ТВ» на мобильных устройствах и Smart TV: https://kino.onelink.me/qhDw/premier</t>
  </si>
  <si>
    <t>13:49</t>
  </si>
  <si>
    <t>https://scontent-arn2-1.xx.fbcdn.net/v/t1.6435-9/e15/q75/p960x960/221831634_4127433200644252_2018440686925296730_n.jpg?_nc_cat=103&amp;ccb=1-3&amp;_nc_sid=730e14&amp;_nc_ohc=sr7xvH_XpqMAX9rZQoi&amp;_nc_ad=z-m&amp;_nc_cid=0&amp;_nc_ht=scontent-arn2-1.xx&amp;oh=8a96344d039bf9c94217c5d94c21fc7f&amp;oe=6128F353</t>
  </si>
  <si>
    <t>13:46</t>
  </si>
  <si>
    <t>Алексей, обновление по версии новой ужасс будет работать антенна нельзя менять менять выключаю прошло 30 секунд</t>
  </si>
  <si>
    <t>13:16</t>
  </si>
  <si>
    <t>30.07.2021 07:31</t>
  </si>
  <si>
    <t>Блок питания (сетевой адаптер) Триколор 12V/2A (5.5x2.5),роутеров KEENETIC,светодиодных лент</t>
  </si>
  <si>
    <t>Достоинства: цена
Недостатки: шнур короткий
брал для приставки триколор,подошел идеально.</t>
  </si>
  <si>
    <t>Владимир М.</t>
  </si>
  <si>
    <t>Блок питания (сетевой адаптер) Триколор 12V/2A  (5.5x2.5),роутеров KEENETIC,светодиодных лент</t>
  </si>
  <si>
    <t>12:59</t>
  </si>
  <si>
    <t>29.07.2021 13:00</t>
  </si>
  <si>
    <t>" Матрица", "Побег из Шоушенка", "Бэтмен против Супермена на заре Справедливости".</t>
  </si>
  <si>
    <t>12:53</t>
  </si>
  <si>
    <t>1. Матрица
2. Побег из Шоушенка
3. Бэтмен против Супермена на заре Справедливости</t>
  </si>
  <si>
    <t>Григорий Киселев</t>
  </si>
  <si>
    <t>Матрица,
Побег из Шоушенка,
Бэтмен против Супермена на заре Справедливости</t>
  </si>
  <si>
    <t>12:47</t>
  </si>
  <si>
    <t>12:46</t>
  </si>
  <si>
    <t>Матрица,
Побег из Шоушенка, Бэтмен против Супермена на заре Справедливости</t>
  </si>
  <si>
    <t>12:42</t>
  </si>
  <si>
    <t>12:36</t>
  </si>
  <si>
    <t>30.07.2021 20:10</t>
  </si>
  <si>
    <t>TV-тюнер Eplutus DVB-125T</t>
  </si>
  <si>
    <t>Достоинства: Лучше чем Триколор ТВ в 200 раз
Недостатки: Недостатков нет
Всё супер</t>
  </si>
  <si>
    <t>Моисей</t>
  </si>
  <si>
    <t>12:35</t>
  </si>
  <si>
    <t>02.08.2021 06:50</t>
  </si>
  <si>
    <t>Live-Power Блок питания для Триколор ТВ,светодиодных лент,камер видеонаблюдения 12V/2A (5.5x2.5)</t>
  </si>
  <si>
    <t>Всё работает</t>
  </si>
  <si>
    <t>Ирина</t>
  </si>
  <si>
    <t>12:31</t>
  </si>
  <si>
    <t>29.07.2021 14:00</t>
  </si>
  <si>
    <t>Подскажите пожалуйста на боксе Tx9s будет триколор онлайн работать?</t>
  </si>
  <si>
    <t>amarkov175</t>
  </si>
  <si>
    <t>12:28</t>
  </si>
  <si>
    <t>29.07.2021 12:41</t>
  </si>
  <si>
    <t>12:27</t>
  </si>
  <si>
    <t>"Матрица", "Побег из Шоушенка", "Бэтмен против Супермена на заре Справедливости".</t>
  </si>
  <si>
    <t>12:26</t>
  </si>
  <si>
    <t>Вопросы и ответы</t>
  </si>
  <si>
    <t>Здраствуйте подключили детский пакет и нечего непоказывает.</t>
  </si>
  <si>
    <t>Дмитрий Григорьев</t>
  </si>
  <si>
    <t>Триколор ТВ</t>
  </si>
  <si>
    <t>Пено</t>
  </si>
  <si>
    <t>12:25</t>
  </si>
  <si>
    <t>12:24</t>
  </si>
  <si>
    <t>12:22</t>
  </si>
  <si>
    <t>12:21</t>
  </si>
  <si>
    <t>29.07.2021 12:19</t>
  </si>
  <si>
    <t>Матрица", "Побег из Шоушенка", "Бэтмен против Супермена на заре Справедливости".</t>
  </si>
  <si>
    <t>12:06</t>
  </si>
  <si>
    <t>Полина Матюхова</t>
  </si>
  <si>
    <t>12:05</t>
  </si>
  <si>
    <t>12:01</t>
  </si>
  <si>
    <t>29.07.2021 12:00</t>
  </si>
  <si>
    <t>Матрица, Побег из Шоушенка, Бэтмен против Супермена: на заре справедливости</t>
  </si>
  <si>
    <t>Оксана Вамеш-Белова</t>
  </si>
  <si>
    <t>11:53</t>
  </si>
  <si>
    <t>Дарья Перцева</t>
  </si>
  <si>
    <t>11:50</t>
  </si>
  <si>
    <t>30.07.2021 01:36</t>
  </si>
  <si>
    <t>Хорошое обслуживание ,все быстро и четко</t>
  </si>
  <si>
    <t>Артем Сумин</t>
  </si>
  <si>
    <t>Республика Алтай</t>
  </si>
  <si>
    <t>Горно-Алтайск</t>
  </si>
  <si>
    <t>11:49</t>
  </si>
  <si>
    <t>29.07.2021 12:27</t>
  </si>
  <si>
    <t>Ужасно,никакого сервиса,за всё берут плату, а телек стоит второй год и не показывает,вызываем мастера за 700 руб на дом,начинает показывать,потом через пару дней/недель заново пропадают все каналы.Полный отстой!
v2.5.0</t>
  </si>
  <si>
    <t>The Best</t>
  </si>
  <si>
    <t>11:39</t>
  </si>
  <si>
    <t>29.07.2021 22:09</t>
  </si>
  <si>
    <t>Xiaomi Mi Box 2016 [Android TV]</t>
  </si>
  <si>
    <t>/forum/index.php?act=findpost&amp;pid=108288963  Dombrovsky,
Антенны wifi у бокса расположены на плате , местоположение очень влияет . У ТВ под всем экраном подложка , металл . Если за ТВ стоит/висит - подложка гасит сигнал . Попробуйте поменять расположение бокса , некоторым помогало 15-20 см в сторону . Если у wifi , 2.4 диапазон забит соседями , поискать руками наименее загруженный канал или сменить на 5 Ггц .
Я тоже видеобокс юзаю + MX player , проблем нет с ними , ТриколорТВ через инет хорошо работает , скорость не мерял , на HD каналах затыков нет , расход инета на Триколоре от 1.5 Ггб в час .....
Бокс стоит Под Тв на тумбе , до роутера метра 4 , в пределах прямой видимости . Диапазон 2.4 , пустой , у меня частный дом .</t>
  </si>
  <si>
    <t>DEEP ZEPPELIN</t>
  </si>
  <si>
    <t>4PDA &gt; Медиа-приставки</t>
  </si>
  <si>
    <t>11:33</t>
  </si>
  <si>
    <t>Мой Триколор</t>
  </si>
  <si>
    <t>Триколор работает
Оплатил за 1 сек . Все понятно. Но пока не показывает. Жду активации системы. Прошло всего 3 минуты с момента оплаты)</t>
  </si>
  <si>
    <t>Maximaa1208</t>
  </si>
  <si>
    <t>11:31</t>
  </si>
  <si>
    <t>29.07.2021 11:41</t>
  </si>
  <si>
    <t>Та же фигня</t>
  </si>
  <si>
    <t>Антон Майский</t>
  </si>
  <si>
    <t>11:27</t>
  </si>
  <si>
    <t>29.07.2021 11:59</t>
  </si>
  <si>
    <t>IAB Russia представляет первый кейсбук по мобильной рекламе</t>
  </si>
  <si>
    <t>, MediaСom, MediaGuru, Media Instinct Group, Nurofen, OMD OM Group, OMNIMIX, People &amp; Screens, Росмэн, "Россия" телевидение и радио, Pulpy, q.bid, RTB House, 12 STOREEZ, Tutu.ru, Триколор, Эконика, Wavemaker, Zen Mobile Agency.
Михаил Цуприков, председатель комитета IAB Russia Mobile Ad, Директор по мобильным технологиям и продуктам Mediascope:
“Идея создания этого кейсбука была продиктована желанием рынка увидеть наглядные примеры успешных рекламных интеграций, которые, прежде всего, задают тренды мобильной рекламы или являются их отражением. Мы</t>
  </si>
  <si>
    <t>advertology.ru</t>
  </si>
  <si>
    <t>11:21</t>
  </si>
  <si>
    <t>11:14</t>
  </si>
  <si>
    <t>29.07.2021 11:33</t>
  </si>
  <si>
    <t>Вы супер телевидение.
v2.5.0</t>
  </si>
  <si>
    <t>Михаил Гладких</t>
  </si>
  <si>
    <t>11:10</t>
  </si>
  <si>
    <t>29.07.2021 17:18</t>
  </si>
  <si>
    <t>»edem госпидя, а разговоров то было...</t>
  </si>
  <si>
    <t>Гланц основной, эдем доп. для амер каналов. Год смотрю и hd и 4k - проблем вообще ноль. При этом оплачен и wifire tv и триколор онлайн тв - там всё похуже даже.</t>
  </si>
  <si>
    <t>Andrew Voronkov</t>
  </si>
  <si>
    <t>Keenetic</t>
  </si>
  <si>
    <t>29.07.2021 11:02</t>
  </si>
  <si>
    <t>Андрей, С 1 октября 2020 года прекращается регистрация и обмен старого оборудования "Триколор ТВ" на ресиверы моделей DTS-53 и DTS-54. То есть, если у дилеров есть такие ресиверы и они нигде не будут зарегистрированы до указанной даты, то они превратятся с октября в ресиверы FTA.</t>
  </si>
  <si>
    <t>Дмитрий Бажин</t>
  </si>
  <si>
    <t>11:01</t>
  </si>
  <si>
    <t>Вячеслав,
С 1 октября 2020 года прекращается регистрация и обмен старого оборудования "Триколор ТВ" на ресиверы моделей DTS-53 и DTS-54. То есть, если у дилеров есть такие ресиверы и они нигде не будут зарегистрированы до указанной даты, то они превратятся с октября в ресиверы FTA.</t>
  </si>
  <si>
    <t>10:53</t>
  </si>
  <si>
    <t>30.07.2021 08:34</t>
  </si>
  <si>
    <t>Адаптер WI-FI для цифровых приставок и ресиверов Триколор DC7601B</t>
  </si>
  <si>
    <t>Достоинства: хорошо втдет вайфай советую
Недостатки: 
-</t>
  </si>
  <si>
    <t>Адаптер WI-FI для цифровых приставок  и ресиверов Триколор DC7601B</t>
  </si>
  <si>
    <t>10:52</t>
  </si>
  <si>
    <t>29.07.2021 11:00</t>
  </si>
  <si>
    <t>У какой счёт на сайте написано доступен 21 детский и мы просмотрите поможет)))</t>
  </si>
  <si>
    <t>10:48</t>
  </si>
  <si>
    <t>29.07.2021 10:48</t>
  </si>
  <si>
    <t>работает. Приходится пока в ручную по каждому каналу в настройках добавлять уровень громкости, но это весьма геморойно. Нет более простого решения?На форуме VU человек писал, что надо выставить уровень звука бокса на 100% и регулировать звук пультом телевизора, сигнал/шум в таком случае максимальный и уровень громкости нужен небольшой. Отключаю в ...
https://gisclub.tv/vu-uno-4k-se-obsuzhdenie/vuuno-4k-se/msg615782/#msg615782</t>
  </si>
  <si>
    <t>10:43</t>
  </si>
  <si>
    <t>29.07.2021 10:43</t>
  </si>
  <si>
    <t>Пока думаете над правильным вариантом ответа, смотрите легендарные фильмы на телеканале «Кино ТВ» в Триколоре!</t>
  </si>
  <si>
    <t>Иван Петров</t>
  </si>
  <si>
    <t>10:35</t>
  </si>
  <si>
    <t>30.07.2021 23:48</t>
  </si>
  <si>
    <t>Триколор ТВ установка, продажа, обслуживание</t>
  </si>
  <si>
    <t>консультант грамотный,посоветовал,что лучше приобрести,если в двух словах оценить то,все четко по делу,без лишних слов</t>
  </si>
  <si>
    <t>Наталья Владимировна</t>
  </si>
  <si>
    <t>29.07.2021 10:41</t>
  </si>
  <si>
    <t>Работает просто nick Jr. и мульт, Уникум, мультимузыка,</t>
  </si>
  <si>
    <t>10:25</t>
  </si>
  <si>
    <t>Здравствуйте просто работает телеканал 21 условия порядок работы в меню спутниковое каналов вещание пожалуйста нет окно спутниковое антенна необходимо смотреть на экране обновления.</t>
  </si>
  <si>
    <t>10:18</t>
  </si>
  <si>
    <t>29.07.2021 10:19</t>
  </si>
  <si>
    <t>Триколор тв, спутниковый ресивер и тарелка, пульт ду, адаптер питания от сети 220 В, пользовательская документация. В</t>
  </si>
  <si>
    <t>Трояк  и по рукам</t>
  </si>
  <si>
    <t>Алексей Гамаль</t>
  </si>
  <si>
    <t>Кореновск Объявления</t>
  </si>
  <si>
    <t>Кореновск</t>
  </si>
  <si>
    <t>10:15</t>
  </si>
  <si>
    <t>Окей! Спасибо большое</t>
  </si>
  <si>
    <t>10:09</t>
  </si>
  <si>
    <t>29.07.2021 15:28</t>
  </si>
  <si>
    <t>Выбор 4K/UHD медиаплеера (часть 3) [36]</t>
  </si>
  <si>
    <t>хозява кабелей. Вот потому народик и сваливает в iptv от провайдеров и ищет где подешелве чтобы было.
Кстати говоря для HD хватит 3-5Мбит, для UHD около 15-20, но опять же это никакого отнощения к КАЧЕСТВУ не имеет, всего лишь набор услуг.
В тарелке (у меня лично) все каналы 36" спутника (НТВ+\\Трико) за чуть больше чем 100р в месяц, а порой и вообще бесплатно. Если кабеля от нее проложены на стадии ремонта грамотно то м ленький ресивер под ТВ или за ТВ снова никакой "тяжести" бытия не выдает. У тарелки один минус - если плотная грозовая туча</t>
  </si>
  <si>
    <t>tarzan2000</t>
  </si>
  <si>
    <t>forum.ixbt.com</t>
  </si>
  <si>
    <t>Домашний кинотеатр: проигрыватели и источники сигнала</t>
  </si>
  <si>
    <t>10:02</t>
  </si>
  <si>
    <t>Терминатор, Американский пирог, вокруг света за 80 дней</t>
  </si>
  <si>
    <t>10:01</t>
  </si>
  <si>
    <t>А второй этап когда?</t>
  </si>
  <si>
    <t>09:48</t>
  </si>
  <si>
    <t>29.07.2021 09:48</t>
  </si>
  <si>
    <t>Прошу ответить соответствующим службам, что с цифровым
эфирным телевидением? Вчера вообще не было и постоянно идут сбои. Не у каждого есть  Триколор.</t>
  </si>
  <si>
    <t>Сергей Карамзин</t>
  </si>
  <si>
    <t>НЕТИПИЧНЫЙ ЧЕРНЫЙ СПИСОК САФОНОВО -ДОРОГОБУЖ</t>
  </si>
  <si>
    <t>09:45</t>
  </si>
  <si>
    <t>29.07.2021 22:51</t>
  </si>
  <si>
    <t>Пульт Триколор универсальный (для всех моделей) с кожаным чехлом и батарейками</t>
  </si>
  <si>
    <t>Достоинства: Отличный пульт
Недостатки: Нет
Пульт отличный. Подошел к нашей моделе приставки. Чехол вообще супер. Батарейки прилагались.</t>
  </si>
  <si>
    <t>Марина С.</t>
  </si>
  <si>
    <t>09:37</t>
  </si>
  <si>
    <t>То что нужно</t>
  </si>
  <si>
    <t>Наталья</t>
  </si>
  <si>
    <t>Достоинства: доставка
подозрительно очень мало весит</t>
  </si>
  <si>
    <t>Сергей С.</t>
  </si>
  <si>
    <t>29.07.2021 17:50</t>
  </si>
  <si>
    <t>/forum/index.php?act=findpost&amp;pid=108286176  flymelove,
А в теме приложения поспрашивать? Триколор Онлайн ТВ https://4pda.to/forum/index.php?showtopic=916407  Или конвертер с несколькими выходами на тарелку и https://shop.tricolor.…onal-access-module-ci/ https://shop.tricolor.tv/catalog/komplekty-sputnikovogo-tv/modul-uslovnogo-dostupa-conditional-access-module-ci/ 
Сообщение отредактировал chernenkin //4pda.to/forum/index.php?showuser=1754539  - Сегодня, 09:26</t>
  </si>
  <si>
    <t>chernenkin</t>
  </si>
  <si>
    <t>29.07.2021 17:04</t>
  </si>
  <si>
    <t>Евгений 1970 писал(а):Подозреваю обзванивают неактивных абонентов,
У меня в пропущенных звонок был. Подписка активна, но заканчивается (в середине августа).</t>
  </si>
  <si>
    <t>stitofff</t>
  </si>
  <si>
    <t>09:18</t>
  </si>
  <si>
    <t>29.07.2021 09:32</t>
  </si>
  <si>
    <t>Все супер!!!
v2.5.0</t>
  </si>
  <si>
    <t>ДМИТРИЙ</t>
  </si>
  <si>
    <t>09:02</t>
  </si>
  <si>
    <t>29.07.2021 17:49</t>
  </si>
  <si>
    <t>Добрый день! Купил это чудо, вообщем устраивает, но.. Есть проблемка.. У меня стоит тарелка триколор, так, как в этом телевизоре можно поставить приложение Триколор Кино и ТВ, естественно от приставки я отказался. Но при каждом выключении постоянно отваливается авторизация, как эту проблему решить, кто нибудь сталкивался? Плюс авторизация проходит только через айди клиента, а через ЛК вылазиет ошибка авторизации.</t>
  </si>
  <si>
    <t>08:49</t>
  </si>
  <si>
    <t>Очень удобно оплатить и следить за болансом
v2.5.0</t>
  </si>
  <si>
    <t>Максим Гаргалык</t>
  </si>
  <si>
    <t>08:44</t>
  </si>
  <si>
    <t>30.07.2021 05:32</t>
  </si>
  <si>
    <t>Что вы будете делать, если все телеканалы прекратят вещание и на экране телевизора будет только такая картинка? (внутри)</t>
  </si>
  <si>
    <t>У меня триколор ТВ. За такие дела триколор тв не получил ежегодную оплату 2000 рублей в будущем году. Если они будут косячить</t>
  </si>
  <si>
    <t>Semyon Polikarpov</t>
  </si>
  <si>
    <t>Ответы@Mail.Ru: Все категории &gt; Общество</t>
  </si>
  <si>
    <t>08:25</t>
  </si>
  <si>
    <t>TV — Выбираем телевизоры</t>
  </si>
  <si>
    <t>lelik79 @ 29.07.21, 08:21  /forum/index.php?act=findpost&amp;pid=108285488 Подскажите, пожалуйста, слева от обычной антенны, для чего этот вход?
Спутниковую тарелку подключать. CAM модуль вставляете, триколор, +++, ещё кто и смотрите
Сообщение отредактировал Semuch //4pda.to/forum/index.php?showuser=4330687  - Сегодня, 08:26</t>
  </si>
  <si>
    <t>Semuch</t>
  </si>
  <si>
    <t>07:49</t>
  </si>
  <si>
    <t>29.07.2021 07:49</t>
  </si>
  <si>
    <t>Лучше триколор. Говорю как пользователь. 1200 в год. 400+ каналов</t>
  </si>
  <si>
    <t>Инсаф Мухамитов</t>
  </si>
  <si>
    <t>07:06</t>
  </si>
  <si>
    <t>29.07.2021 07:23</t>
  </si>
  <si>
    <t>Здравствуйте , почему все каналы заикаются сила 100% качество скачет 40-10 % все кроме тнт</t>
  </si>
  <si>
    <t>Какой ресивер? Если старый, типа 8300, то блок питания под ремонт. Конденсаторы вздулись от старости. Это при условии хорошего сигнала от самой антенны.</t>
  </si>
  <si>
    <t>Виталий Наумов</t>
  </si>
  <si>
    <t>Пермский край</t>
  </si>
  <si>
    <t>Усть-Кишерть</t>
  </si>
  <si>
    <t>29.07.2021 06:15</t>
  </si>
  <si>
    <t>Ауу...уу??? У кого какое мнение по работе Ростелекома? Перестал работать телевизор. Интернет есть, а вот телевизор не</t>
  </si>
  <si>
    <t>Триколор самый нормальный</t>
  </si>
  <si>
    <t>Никита Кожемяка</t>
  </si>
  <si>
    <t>Подслушано Рощинский</t>
  </si>
  <si>
    <t>Тольятти</t>
  </si>
  <si>
    <t>05:58</t>
  </si>
  <si>
    <t>29.07.2021 06:03</t>
  </si>
  <si>
    <t>Хотите оказаться в эпицентре Олимпийских игр в Токио не выходя из дома? Тогда смотрите новый эксклюзивный спецпроект</t>
  </si>
  <si>
    <t>Без Англии и Испании нечего подключать и матч-премьер показывает одни повторы?</t>
  </si>
  <si>
    <t>Владимир Сабешкин</t>
  </si>
  <si>
    <t>Мордовия</t>
  </si>
  <si>
    <t>Саранск</t>
  </si>
  <si>
    <t>01:39</t>
  </si>
  <si>
    <t>30.07.2021 08:37</t>
  </si>
  <si>
    <t>Ремонт ресивера Триколор GS B531M</t>
  </si>
  <si>
    <t>У Вас скорее всего БП нужно поменять, а можно попробовать его отремонтировать, На моем канале есть видео, как отремонтировать блок. :)</t>
  </si>
  <si>
    <t>MasterSam</t>
  </si>
  <si>
    <t>01:24</t>
  </si>
  <si>
    <t>окей, есть такой же приемник и проблема следующая. 
при долгом отключении его от сети, происходит очень долгая загрузка. Т.е при запуска выдает сначала красный, потом желтый, после чуть светодиод доходит до зеленого - он уходит в ребут.  И так может минут 20-30 включаться. Пробовал вытаскивать антену из тюнера, он включался, но стоит подрубить антену назад - он опять уходит в ребут. Получается такая же проблема с кондером или стоит попробовать сменить БП?</t>
  </si>
  <si>
    <t>dIXTo</t>
  </si>
  <si>
    <t>01:09</t>
  </si>
  <si>
    <t>29.07.2021 01:09</t>
  </si>
  <si>
    <t>Триколор, до меня дошёл слух,что при оплаченом пакетет"Детский "в случае окончания подписки пакета "Единый",детский продолжает работать,это -правда ?</t>
  </si>
  <si>
    <t>Зохан Сокол</t>
  </si>
  <si>
    <t>28.07.2021</t>
  </si>
  <si>
    <t>23:51</t>
  </si>
  <si>
    <t>29.07.2021 17:33</t>
  </si>
  <si>
    <t>Сегодня был тут, очень понравилось обслуживание, очень грамотная девушка работает,</t>
  </si>
  <si>
    <t>сергей д.</t>
  </si>
  <si>
    <t>Раменское</t>
  </si>
  <si>
    <t>23:32</t>
  </si>
  <si>
    <t>28.07.2021 23:33</t>
  </si>
  <si>
    <t>Алекса, видимо забыли заплатить за основную подписку</t>
  </si>
  <si>
    <t>Сергей Зайцев</t>
  </si>
  <si>
    <t>Казахстан</t>
  </si>
  <si>
    <t>Западно-Казахстанская область</t>
  </si>
  <si>
    <t>Уральск</t>
  </si>
  <si>
    <t>23:30</t>
  </si>
  <si>
    <t>Сергей, а ты че думал на телеканале мульт задарма работают?</t>
  </si>
  <si>
    <t>23:17</t>
  </si>
  <si>
    <t>28.07.2021 23:17</t>
  </si>
  <si>
    <t>Не знаю кому как,но триколор изжил себя лет пять назад, у меня три приемника ихних в гараже валяются, так как цена не соответствует действительности в предоставлении ТВ, вместо того чтобы развиваться, они цены гнут. Поэтому не долго думая провёл в дом инет, и никаких проблем, шесть тв боксов и разные гаджеты летают без проблем, а что касается тв то каналов под 800 штук, выбор огромный, и к тому же без рекламы фильмы. Хотя на триколоре был 10 лет, думал они будут развиваться и расширяться, но увы.</t>
  </si>
  <si>
    <t>Алексей Мрыхин</t>
  </si>
  <si>
    <t>28.07.2021 23:16</t>
  </si>
  <si>
    <t>Кто пользуется спутниковым телевидением от МТС на даче довольны ли вы качеством сигнала? Не влияют ли факторы:</t>
  </si>
  <si>
    <t>В том году подключил. Сначала качеством был не сильно доволен, хотел сменить на триколор, но весной все улучшилось. Меня вполне устраивает.</t>
  </si>
  <si>
    <t>Руслан Магдеев</t>
  </si>
  <si>
    <t>Зеленодольск Life</t>
  </si>
  <si>
    <t>Зеленодольск</t>
  </si>
  <si>
    <t>23:14</t>
  </si>
  <si>
    <t>28.07.2021 23:28</t>
  </si>
  <si>
    <t>Кусты напротив антенны опили.</t>
  </si>
  <si>
    <t>28.07.2021 22:53</t>
  </si>
  <si>
    <t>Приставка Триколор-ТВ GS B626L: спутниковая тарелка не нужна Под каждым обзором тв-приставок нас спрашивали - а будет ли</t>
  </si>
  <si>
    <t>Гадасть</t>
  </si>
  <si>
    <t>Владимир Сирота</t>
  </si>
  <si>
    <t>Content-Review.com</t>
  </si>
  <si>
    <t>22:09</t>
  </si>
  <si>
    <t>28.07.2021 22:25</t>
  </si>
  <si>
    <t>Здравствуйте, подскажите не было меня три недели через спутник октивировался приёмник а через интернет пишет ошибка 26</t>
  </si>
  <si>
    <t>Андрей, спасибо а я то думал что случилось,до этого работал через интернет как пуля</t>
  </si>
  <si>
    <t>Дмитрий Бибик</t>
  </si>
  <si>
    <t>Беларусь</t>
  </si>
  <si>
    <t>Минск</t>
  </si>
  <si>
    <t>22:08</t>
  </si>
  <si>
    <t>28.07.2021 22:43</t>
  </si>
  <si>
    <t>А сколько такое в месяц? И сколько она стоит?</t>
  </si>
  <si>
    <t>Все остальное от ваших хотелок - андроид не имеет границ. Скачаете триколор? - федеральные каналы бесплатно, остальное по тем же тарифам что и тарелка. Скачаете Винк?  Все по тарифам Ростелекома. И ТД. Если найдете пиратские приложения, которые дают возможность смотреть бесплатно? Значит все бесплатно. Например для фильмов КиноHD с инета скачаете (в маркете нет, слишком пиратско) а peers для ТВ</t>
  </si>
  <si>
    <t>Evgeny</t>
  </si>
  <si>
    <t>ЖК Бригантина (Долгопрудный)</t>
  </si>
  <si>
    <t>22:04</t>
  </si>
  <si>
    <t>Вопрос решается проще простого. У меня андроид приставка. Работает от вайфай. На приставку можно поставить любое приложение из плеймаркета (триколор, НТВ+, винк и прочие для каналов, и всякие КиноПоиск, иви, ОККО для остального, а также киноHD для пиратск</t>
  </si>
  <si>
    <t>Юлия Холодова</t>
  </si>
  <si>
    <t>вопрос с триколором и тарелками не изучала, может и там надо искать</t>
  </si>
  <si>
    <t>Вопрос решается проще простого. У меня андроид приставка. Работает от вайфай. На приставку можно поставить любое приложение из плеймаркета (триколор, НТВ+, винк и прочие для каналов, и всякие КиноПоиск, иви, ОККО для остального, а также киноHD для пиратского контента)</t>
  </si>
  <si>
    <t>28.07.2021 22:41</t>
  </si>
  <si>
    <t>Ответ техподдержке</t>
  </si>
  <si>
    <t>Ну ок, да только от мегафона тут тоже нихера не ловит теле2 только даёт нормальную связь с миром. Мы тут за двадцать лет всё уже перепробовали, даже усилители сигнала ставили, хрен там плавал. Папа думает от триколора тарелку спутникового инета поставить в доп к тв, но чёт как-то жирно с тарифами там.</t>
  </si>
  <si>
    <t>ChizuruAoi</t>
  </si>
  <si>
    <t>AndrewTaylor</t>
  </si>
  <si>
    <t>21:58</t>
  </si>
  <si>
    <t>28.07.2021 22:06</t>
  </si>
  <si>
    <t>Народ!!!!! Не ведитесь! Два месяца 149 р. Потом приходит сообщение, что якобы добавляются какие-то каналы и радио оплата 349р.,а всё в подписки как было так и остаётся, развод полный
v2.5.0</t>
  </si>
  <si>
    <t>Виталий Сосновый</t>
  </si>
  <si>
    <t>29.07.2021 08:34</t>
  </si>
  <si>
    <t>Люди выкидывают спутниковые антенны! 2020 год закат эры Спутникового ТВ. Мертвая ниша для заработка</t>
  </si>
  <si>
    <t>Интернет у меня стоит 650 рублей в месяц.Итого за год больше 7000 рублей,а Триколор 2500 на год.И где причина отказываться от спутникого ТВ.Конечно Триколор выходит дешевле в три раза,а без интернета не узнать ничего(ни о товарах,адресах,услугах и много другого) Хочешь быть в курсе всего надо платить приличные деньги.</t>
  </si>
  <si>
    <t>Николай Иванов</t>
  </si>
  <si>
    <t>Записки антенщика</t>
  </si>
  <si>
    <t>29.07.2021 03:35</t>
  </si>
  <si>
    <t>Триколор Цифровой эфирный приемник BarTon TA-561</t>
  </si>
  <si>
    <t>Отлично работает ,без нареканий .</t>
  </si>
  <si>
    <t>Тахмина</t>
  </si>
  <si>
    <t>28.07.2021 21:47</t>
  </si>
  <si>
    <t>антенну настройте правильно!</t>
  </si>
  <si>
    <t>21:26</t>
  </si>
  <si>
    <t>Здравствуйте, подскажите не было меня три недели через спутник октивировался приёмник а через интернет пишет ошибка 26,как воскресить сброс не помогает</t>
  </si>
  <si>
    <t>Михаил Сметанский</t>
  </si>
  <si>
    <t>21:11</t>
  </si>
  <si>
    <t>28.07.2021 22:14</t>
  </si>
  <si>
    <t>Пульт универсальный DREAM RM-L1080 для телевизоров SAMSUNG</t>
  </si>
  <si>
    <t>Достоинства: С телевизором работает
Недостатки: Не срабатывает на приставку триколор
За такую цену, можно брать, цена соответсвует качеству</t>
  </si>
  <si>
    <t>Ксения К.</t>
  </si>
  <si>
    <t>28.07.2021 21:10</t>
  </si>
  <si>
    <t>Здравствуйте. Подскажите кто может настроить антенну триколор</t>
  </si>
  <si>
    <t>Разгильдяй,  как раз, пока тарелку вертиш и прийдёт нужное время)))))</t>
  </si>
  <si>
    <t>Николай Николаев</t>
  </si>
  <si>
    <t>Объявления Хвойная</t>
  </si>
  <si>
    <t>20:53</t>
  </si>
  <si>
    <t>28.07.2021 20:53</t>
  </si>
  <si>
    <t>Продам Триколор с ресивером - 4 тысячи Мультиварку - 4 тысячи Пылесос (практически не пользовались) - 5 тысяч Стиральная</t>
  </si>
  <si>
    <t>Триколор с ресивером купили?</t>
  </si>
  <si>
    <t>Ефим Худи</t>
  </si>
  <si>
    <t>Объявления Яр-Сале ☼</t>
  </si>
  <si>
    <t>Яр-Сале</t>
  </si>
  <si>
    <t>19:46</t>
  </si>
  <si>
    <t>28.07.2021 19:46</t>
  </si>
  <si>
    <t>На «Матч ТВ» вместо игры «Сочи» в еврокубках в 47 раз будет показан фильм «Кровавый спорт». Интересно, клуб запросил</t>
  </si>
  <si>
    <t>Сергей, отличный матч, сильнейшая лина мира, а тебе даже на триколоре не покажут, для таких как ты вход закрыт, иди что ли бутылки собери, глядишь и соберешь на новый сезон спорт пакет</t>
  </si>
  <si>
    <t>Андрей Балкан</t>
  </si>
  <si>
    <t>FRTV | EURO 2020 | МАТЧ ТВ</t>
  </si>
  <si>
    <t>19:44</t>
  </si>
  <si>
    <t>28.07.2021 19:45</t>
  </si>
  <si>
    <t>Триколор тв</t>
  </si>
  <si>
    <t>Муслим Измайлов</t>
  </si>
  <si>
    <t>Ингушетия</t>
  </si>
  <si>
    <t>Назрань</t>
  </si>
  <si>
    <t>19:16</t>
  </si>
  <si>
    <t>30.07.2021 05:06</t>
  </si>
  <si>
    <t>А меня зачем актуализировать, если я меньше года назад подтвердил данные в ЛК, когда там просили повторно подтвердить? И подписка активна. Более того, следы активности подписки можно в сервисах Триколор Онлайн увидеть.</t>
  </si>
  <si>
    <t>29.07.2021 11:35</t>
  </si>
  <si>
    <t>Пульт Huayu HD9300 / HD-GS9305B для ресиверов Триколор</t>
  </si>
  <si>
    <t>Достоинства: качество
Недостатки: нет</t>
  </si>
  <si>
    <t>serge d</t>
  </si>
  <si>
    <t>28.07.2021 18:56</t>
  </si>
  <si>
    <t>Тоже отказались от триколора. Навязывают новое оборудование, а если не хочешь, прежняя приставка стабильно выдаёт - нет сигнала. Пожалуешься - сделают на несколько дней, и опять - нет сигнала. Вот и пошли они лесом</t>
  </si>
  <si>
    <t>Юлия Храмова</t>
  </si>
  <si>
    <t>Балтийск</t>
  </si>
  <si>
    <t>18:54</t>
  </si>
  <si>
    <t>28.07.2021 19:04</t>
  </si>
  <si>
    <t>Ну да что бы смотреть онлайн ещё надо еще оплатить услугу!?</t>
  </si>
  <si>
    <t>Сергей Захарченко</t>
  </si>
  <si>
    <t>Кимовск</t>
  </si>
  <si>
    <t>Netadmin писал(а):ТК. Пару недель назад Начали обзвон клиентов по телефонам указанным в регистрации, на предмет пользования / не пользования оборудования
Что Это ? началась чистка мертвых душ  
ничего сверхъестественного , актуализация абонентской базы</t>
  </si>
  <si>
    <t>Kp Эк</t>
  </si>
  <si>
    <t>18:47</t>
  </si>
  <si>
    <t>Ну да везде на кабельных канал мульт бесплатный, а у вас платный, единственный канал который смотрят дети</t>
  </si>
  <si>
    <t>18:41</t>
  </si>
  <si>
    <t>28.07.2021 18:44</t>
  </si>
  <si>
    <t>У меня пакет Детский оплачен до декабря,почему сейчас у меня написано что он приостановлен?</t>
  </si>
  <si>
    <t>Алекса Кузнецова</t>
  </si>
  <si>
    <t>Осташков</t>
  </si>
  <si>
    <t>18:36</t>
  </si>
  <si>
    <t>На детях зарабатываете</t>
  </si>
  <si>
    <t>18:28</t>
  </si>
  <si>
    <t>28.07.2021 18:28</t>
  </si>
  <si>
    <t>Кто пользуется спутниковым телевидением от МТС на даче довольны ли вы качеством сигнала? Не влияют ли факторы: облачность,дожди,грозы на сигнал?
Нет ли мороки с обновлением каналов как в триколоре?
Можете предложить другого спутникового оператора,если у Вас есть положительный опыт</t>
  </si>
  <si>
    <t>Александр Романов</t>
  </si>
  <si>
    <t>18:24</t>
  </si>
  <si>
    <t>28.07.2021 18:34</t>
  </si>
  <si>
    <t>Встречайте новый «Детский»! 
Теперь пакет включает 21 телеканал специально для детей, а ещё огромную онлайн-библиотеку мультфильмов для просмотра в онлайн-сервисе Триколора! 
С 19 июля 2021 года изменилась стоимость предоставления услуги «Детский»: 250 руб/мес и 1500 руб/год.
Подключайте прямо сейчас и откройте целую мультвселенную! Подробнее — на tricolor.tv</t>
  </si>
  <si>
    <t>art,clip art</t>
  </si>
  <si>
    <t>18:23</t>
  </si>
  <si>
    <t>29.07.2021 06:35</t>
  </si>
  <si>
    <t>https://scontent-dfw5-1.xx.fbcdn.net/v/t1.6435-9/p960x960/225027699_4125195537534685_4301819643947859702_n.png?_nc_cat=110&amp;ccb=1-3&amp;_nc_sid=730e14&amp;_nc_ohc=SlLgBzDnbAcAX9mmPWW&amp;_nc_ad=z-m&amp;_nc_cid=0&amp;_nc_ht=scontent-dfw5-1.xx&amp;oh=6b2ea54b5d589e9740f5bdf6122fef42&amp;oe=6126AF0E</t>
  </si>
  <si>
    <t>18:14</t>
  </si>
  <si>
    <t>28.07.2021 18:18</t>
  </si>
  <si>
    <t>Всем доброго утра!Возникла проблема,при включении Триколора на экране высветилась ошибка 10.Как положено,отключили</t>
  </si>
  <si>
    <t>Элла, нужно начать со штекера антенны, скорее всего дело в нем. В любом случае проблема в шнуре от блока питани до штекера( при условии если рессивер исправен). Попробуйте рессивер подключить на работающем устройстве, чтобы исключить.</t>
  </si>
  <si>
    <t>Sasha Chetvertkov</t>
  </si>
  <si>
    <t>НАША ЧАЩА!</t>
  </si>
  <si>
    <t>16:45</t>
  </si>
  <si>
    <t>28.07.2021 16:45</t>
  </si>
  <si>
    <t>Кто пользуется оборудованием(тарелка) от МТС (домашний интернет +ТВ) хочется услышать отзывы !?анон</t>
  </si>
  <si>
    <t>Херня, не бери, триколор лучше и дешевле</t>
  </si>
  <si>
    <t>Даян Габбасов</t>
  </si>
  <si>
    <t>Подслушано Октябрьский район (Пермский край)</t>
  </si>
  <si>
    <t>16:42</t>
  </si>
  <si>
    <t>28.07.2021 18:51</t>
  </si>
  <si>
    <t>Смотрите самый качественный и разнообразный контент в одной подписке – «Единый Ultra»!  Через спутник ✓ Смотрите</t>
  </si>
  <si>
    <t>Уважаемый оператор " триколор", к сожалению ничего хорошего в ваш адрес сказать не могу. С 2009 года пользуюсь услугой, вещание , в дождь и снег вообще, нет сигнала, ошибка 0. Постоянно на экране появляется / Смарт карта извлечена/ потом / Смарт карта вставлена/ , короче приёмник живет сам по себе, вещание отстой.</t>
  </si>
  <si>
    <t>Татьяна ( Терентьева) Захарова</t>
  </si>
  <si>
    <t>Братск</t>
  </si>
  <si>
    <t>16:27</t>
  </si>
  <si>
    <t>28.07.2021 16:27</t>
  </si>
  <si>
    <t>Триколор, мне не нужен чемпионат Испании. Я просто ожидал логичного решения снизить цену на нынешний пакет Футбол.
Когда лишились чемпионата Англии, цена осталась 380, теперь лишились ещё и Испании, но цена снова 380</t>
  </si>
  <si>
    <t>Ахмад Сирин</t>
  </si>
  <si>
    <t>16:10</t>
  </si>
  <si>
    <t>28.07.2021 17:35</t>
  </si>
  <si>
    <t>не буду я этим заниматься, мне ютуб нужен, только чтоб россию 23 смотреть)</t>
  </si>
  <si>
    <t>Могу ещё посоветовать iptv, доллар в месяц, ребята свои сервера CDN настроили отлично, тыща каналов платных. iLook tv.На комп или на андроид приставку и в телек. Просто всё, не сравнить с мегого, Иви,триколоры. Может писал уже, да пофиг</t>
  </si>
  <si>
    <t>Sem P</t>
  </si>
  <si>
    <t>Жизнь в Кудрово (чат)</t>
  </si>
  <si>
    <t>15:58</t>
  </si>
  <si>
    <t>28.07.2021 16:00</t>
  </si>
  <si>
    <t>Триколор, входят три канала?</t>
  </si>
  <si>
    <t>Сергей Качмашев</t>
  </si>
  <si>
    <t>15:56</t>
  </si>
  <si>
    <t>Триколор, эти условия себе в очко запихай, Ок?</t>
  </si>
  <si>
    <t>Андрей Соколов</t>
  </si>
  <si>
    <t>Три канала входят?</t>
  </si>
  <si>
    <t>15:52</t>
  </si>
  <si>
    <t>28.07.2021 15:53</t>
  </si>
  <si>
    <t>Триколор, сколько стоит пакет футбол 1,2,3, на месяц</t>
  </si>
  <si>
    <t>15:48</t>
  </si>
  <si>
    <t>Триколор, ты будешь мне еще указывать чтоб моя страница была открытой? хахаха</t>
  </si>
  <si>
    <t>15:47</t>
  </si>
  <si>
    <t>28.07.2021 16:12</t>
  </si>
  <si>
    <t>Двойная оплата
Достоинства: Не осталось никаких достоинств
Недостатки: Отвратительное отношение к клиентам, Снимают с себя ответственность
Опыт использования:год или более
обманное списание двойной оплаты
Пользуюсь несколько лет. В этом году была возможность оплатить пакет Единый Ultra сертификатом от Аэрофлота. Заранее был активирован сертификат, сделан звонок на горячую линию, где подтвердили, что в день оплаты сертификат пройдет и каково же было мое удивление когда с моей банковской карты списали 2500,00 в день начала нового периода</t>
  </si>
  <si>
    <t>sedovat</t>
  </si>
  <si>
    <t>15:28</t>
  </si>
  <si>
    <t>28.07.2021 17:06</t>
  </si>
  <si>
    <t>нет
обманное списание двойной оплаты
Пользуюсь несколько лет. В этом году была возможность оплатить пакет Единый Ultra сертификатом от Аэрофлота. Заранее был активирован сертификат, сделан звонок на горячую линию где подтвердили, что в день оплаты сертификат пройдет и каково же было мое удивление когда с моей банковской карты списали 2500,00 в день начала нового периода. Подала обращение на возврат денег, с большим трудом, т. к. из личного кабинета не подать - часть полей не заполнить, с сайта тоже лишние поля просит заполнить, копии документов (списание, паспорт) вообще: либо слишком большой файл, либо формат не тот. Теперь жду возврата, но кто бы объяснил почему у клиентов должно возникать столько проблем? Очень неприятная ситуация...</t>
  </si>
  <si>
    <t>15:27</t>
  </si>
  <si>
    <t>28.07.2021 16:30</t>
  </si>
  <si>
    <t>Телевизор 55
https://s.click.aliexpress.com/e/_pJaarnC
Из отзывов: "Доставка очень быстрая курьером, товар соответствует описанию, без повреждений, всё в комплекте, качество отличное, настроил быстро нужные первичные параметры и установки, настроил Триколор, с IP телевидением буду разбираться, по Wi-Fi cоединение быстрое и надёжное, звучание отличное, в т. ч. и в приложениях, отставание от картинки нет, качество изображения превосходное, покупкой очень доволен продавец отзывчивый, рекомендую товар и магазин, спасибо и успехов в делах."</t>
  </si>
  <si>
    <t>Щедрый Алиэкспресс</t>
  </si>
  <si>
    <t>28.07.2021 15:05</t>
  </si>
  <si>
    <t>На носу учебный год и в наше время не обойтись без интернета. Живём в д. Скакуны и с этим огромная проблема. Ростелеком</t>
  </si>
  <si>
    <t>Артем, самый норм вариант по цене у триколора)</t>
  </si>
  <si>
    <t>Подслушано Очёр</t>
  </si>
  <si>
    <t>28.07.2021 14:58</t>
  </si>
  <si>
    <t>Отлично
v2.5.0</t>
  </si>
  <si>
    <t>Алёна Баир</t>
  </si>
  <si>
    <t>29.07.2021 08:37</t>
  </si>
  <si>
    <t>Администрирование → Программист на удаленке 4 месяца тестировал Starlink и остался доволен</t>
  </si>
  <si>
    <t>В Якутии нет услуги интернета от Триколор частным лицам.</t>
  </si>
  <si>
    <t>habr.com</t>
  </si>
  <si>
    <t>Беспроводные технологии</t>
  </si>
  <si>
    <t>29.07.2021 02:48</t>
  </si>
  <si>
    <t>HUAYU Пульт для спутниковых приставок Триколор ТВ (для всех приставок)</t>
  </si>
  <si>
    <t>Получила быстро большое спасибо.</t>
  </si>
  <si>
    <t>Оксана</t>
  </si>
  <si>
    <t>electronic device,finger,smartphone,gadget</t>
  </si>
  <si>
    <t>14:44</t>
  </si>
  <si>
    <t>Отлично спасибо
v2.5.0</t>
  </si>
  <si>
    <t>Александр К</t>
  </si>
  <si>
    <t>14:16</t>
  </si>
  <si>
    <t>28.07.2021 19:43</t>
  </si>
  <si>
    <t>USB Wi-Fi адаптер GI MT7601 5dBi</t>
  </si>
  <si>
    <t>Недостатки: Нет
Работает в ресивере триколор. Перед применением, рекомендую перезагрузить ресивер и в настройках выбрать “WiFi”</t>
  </si>
  <si>
    <t>Александр О.</t>
  </si>
  <si>
    <t>13:59</t>
  </si>
  <si>
    <t>28.07.2021 14:18</t>
  </si>
  <si>
    <t>Триколор, тебе ж он ответил что у него 3G, и ты предлагаешь через это смотреть каналы?
 не пиши лучше ничего, чем так, не позорься</t>
  </si>
  <si>
    <t>28.07.2021 13:54</t>
  </si>
  <si>
    <t>Триколор, а ты часто смотришь тв через 3G? не жалко ни трафика ни износ батареи телефона так как жрёт много?</t>
  </si>
  <si>
    <t>28.07.2021 13:52</t>
  </si>
  <si>
    <t>Триколор,антена.всё оплачено.</t>
  </si>
  <si>
    <t>Игорь Власенко</t>
  </si>
  <si>
    <t>28.07.2021 13:50</t>
  </si>
  <si>
    <t>Лампочка то горит до включения к рессиверу, а вот после подключения  коротит и вырубается</t>
  </si>
  <si>
    <t>13:48</t>
  </si>
  <si>
    <t>28.07.2021 13:48</t>
  </si>
  <si>
    <t>Срочно, в связи с уездом продам дорожки, по 2,5 м каждая, по 500 руб, Камод 3т,телевизор,с Триколор, кухонный стол 1тр</t>
  </si>
  <si>
    <t>Добрый день а какой телевизор?</t>
  </si>
  <si>
    <t>Сергей Сергеев</t>
  </si>
  <si>
    <t>Станица Старонижестеблиевская</t>
  </si>
  <si>
    <t>Краснодар</t>
  </si>
  <si>
    <t>28.07.2021 13:58</t>
  </si>
  <si>
    <t>Терминатор 2, Американский пирог, вокруг света за 80 дней</t>
  </si>
  <si>
    <t>Екатерина Федорченко</t>
  </si>
  <si>
    <t>13:39</t>
  </si>
  <si>
    <t>28.07.2021 13:40</t>
  </si>
  <si>
    <t>Терминатор 2, Американский пирог, Вокруг света за 80 дней.</t>
  </si>
  <si>
    <t>Анна Павлиашвили</t>
  </si>
  <si>
    <t>13:32</t>
  </si>
  <si>
    <t>Около двух месяцев назад мне в данной группе с упорством доказывали, что пакеты подключаемые, дополнительно к единому</t>
  </si>
  <si>
    <t>Nikolay, тогда надо 20 каналов смотреть там бесплатно и не доят
 Остальное все платно и нтв и мтс и телекарта</t>
  </si>
  <si>
    <t>Вадим Исаев</t>
  </si>
  <si>
    <t>13:31</t>
  </si>
  <si>
    <t>Валерий, просто мне доказывали, что по окончании единого детский не работает сразу</t>
  </si>
  <si>
    <t>13:27</t>
  </si>
  <si>
    <t>Второй терминатор , американский пирожок и вокруг света за 80 дней)</t>
  </si>
  <si>
    <t>Олег Кострюков</t>
  </si>
  <si>
    <t>Терминатор 2 Американский пирог Вокруг света за 80 дней</t>
  </si>
  <si>
    <t>Алина Павлиашвили</t>
  </si>
  <si>
    <t>12:58</t>
  </si>
  <si>
    <t>29.07.2021 04:24</t>
  </si>
  <si>
    <t>Бесполезная Компания, обратились с проблемой, одни вопросы и отговорки. В ответ на претензии по обслуживанию перестали брать трубку. Не советую к ним обращаться.</t>
  </si>
  <si>
    <t>Мира</t>
  </si>
  <si>
    <t>Республика Коми</t>
  </si>
  <si>
    <t>Сыктывкар</t>
  </si>
  <si>
    <t>28.07.2021 17:47</t>
  </si>
  <si>
    <t>spin-rf.ru</t>
  </si>
  <si>
    <t>Достоинства: Покупала у них 2 раза. Заказывала и оплачивала на сайте. После заказа звонит оператор и уточняет временной интервал доставки. Очень быстрая доставка- на следующий день, если заказывать до 14 часов.Доставляет курьерская служба Grrastin, они присылают СМС и на почту уведомление о передачи товара курьеру с его контактами. За полчаса позвонил курьер. Я очень довольна.
Недостатки: нет
В этот раз мне необходимо было купить пульт Триколор DDL-1034. На Маркете было 2 предложения по 600 руб.+доставка. Решила, что очень дорого, и вспомнила  про магазин СПИН, где я покупала ТВ антенну по очень привлекательной цене. Мои ожидания оправдались. Пульт стоил 190 руб. + доставка 200р. Итого 390 руб. Выгода очевидна.
#№ ТСП2171</t>
  </si>
  <si>
    <t>Ирина Дичка</t>
  </si>
  <si>
    <t>28.07.2021 12:43</t>
  </si>
  <si>
    <t>Оплата пакетов "Триколор ТВ"</t>
  </si>
  <si>
    <t>Привет оплатили детский пакет а каналы не показовают в чем причина.</t>
  </si>
  <si>
    <t>К сожалению, не удалось с вами связаться в личных сообщениях, поскольку ваш профиль закрыт. Проконсультируем вас здесь. Для установки нашего приложения «Триколор Кино и ТВ» нужно зайти в магазин приложений вашего устройства, найти приложение по поиску и установить. Всё о приложении «Триколор Кино и ТВ» для Smart TV: https://s1.tricolor.tv/pts .</t>
  </si>
  <si>
    <t>12:30</t>
  </si>
  <si>
    <t>28.07.2021 12:42</t>
  </si>
  <si>
    <t>Терминатор-2, Американский пирог, Вокруг света за 80 дней</t>
  </si>
  <si>
    <t>Терминатор 2
Американский пирог
Вокруг света за 80 дней</t>
  </si>
  <si>
    <t>Дмитрий Герич</t>
  </si>
  <si>
    <t>28.07.2021 12:26</t>
  </si>
  <si>
    <t>Сашка, так мы так и сделали.Только теперь ресивер не включается.</t>
  </si>
  <si>
    <t>Элла Михайлова</t>
  </si>
  <si>
    <t>12:13</t>
  </si>
  <si>
    <t>28.07.2021 12:21</t>
  </si>
  <si>
    <t>Терминатор-2; Американский пирог; Вокруг света за 80 дней</t>
  </si>
  <si>
    <t>Терминатор 2: Судный день
Американский пирог
Вокруг света за 80 дней</t>
  </si>
  <si>
    <t>12:07</t>
  </si>
  <si>
    <t>28.07.2021 12:08</t>
  </si>
  <si>
    <t>Александр, Загугли емае. Триколор тв подключение к одной тарелке нескольких абонентов</t>
  </si>
  <si>
    <t>Никита Тимонин</t>
  </si>
  <si>
    <t>Brighton Beach</t>
  </si>
  <si>
    <t>Супер, рекомендую</t>
  </si>
  <si>
    <t>Сергей</t>
  </si>
  <si>
    <t>Меняла ресивер на новый. Всё удачно!</t>
  </si>
  <si>
    <t>Альбина Волкова</t>
  </si>
  <si>
    <t>11:44</t>
  </si>
  <si>
    <t>28.07.2021 11:44</t>
  </si>
  <si>
    <t>Триколор ТВ VK, а что за приемники dts можно за полгода платить?</t>
  </si>
  <si>
    <t>Андрей Ефимов</t>
  </si>
  <si>
    <t>11:42</t>
  </si>
  <si>
    <t>28.07.2021 11:42</t>
  </si>
  <si>
    <t>Вера Андреева</t>
  </si>
  <si>
    <t>29.07.2021 04:23</t>
  </si>
  <si>
    <t>Хороший магазин подарили кнопки на пуль больше спасибо</t>
  </si>
  <si>
    <t>руслан арсанукаев</t>
  </si>
  <si>
    <t>Солнечнодольск</t>
  </si>
  <si>
    <t>11:38</t>
  </si>
  <si>
    <t>28.07.2021 21:51</t>
  </si>
  <si>
    <t>Не пробовал ещё.</t>
  </si>
  <si>
    <t>28.07.2021 11:29</t>
  </si>
  <si>
    <t>Комплект на 2 ТВ триколора, тоже постоянно вылезает ошибка 10. Как спасаться от нее?</t>
  </si>
  <si>
    <t>Дмитрий Полтихин</t>
  </si>
  <si>
    <t>11:20</t>
  </si>
  <si>
    <t>28.07.2021 11:20</t>
  </si>
  <si>
    <t>Всем доброго утра!Возникла проблема,при включении Триколора на экране высветилась ошибка 10.Как положено,отключили адаптер.Теперь ресивер не включить,причём на адаптере без подключения зелёный глазок горит,как только подключаем к ресиверу, гаснет.Что это может быть?
#тв@chashya #ндо@chashya</t>
  </si>
  <si>
    <t>11:16</t>
  </si>
  <si>
    <t>28.07.2021 11:24</t>
  </si>
  <si>
    <t>Приемник DTS 53;54 возможно ли сейчас подключить как новый абонент?</t>
  </si>
  <si>
    <t>Вячеслав Сидоров</t>
  </si>
  <si>
    <t>Кузнецк</t>
  </si>
  <si>
    <t>Ульяна Прошина</t>
  </si>
  <si>
    <t>Терминатор 2 часть, Американский пирог, Вокруг света за 80 дней.</t>
  </si>
  <si>
    <t>Марат Вахитов</t>
  </si>
  <si>
    <t>11:05</t>
  </si>
  <si>
    <t>30.07.2021 02:49</t>
  </si>
  <si>
    <t>Триколор ТВ тесный кабинет</t>
  </si>
  <si>
    <t>Алексей Пыжьянов</t>
  </si>
  <si>
    <t>Удмуртия</t>
  </si>
  <si>
    <t>Ижевск</t>
  </si>
  <si>
    <t>29.07.2021 06:11</t>
  </si>
  <si>
    <t>Блок питания 12V 2A HW-120200E1W для Ростелеком / Триколор / Gpon. Адаптер для модемов, роутеров, ТВ-приставок, ресиверов, маникюрных ламп, камер видеонаблюдения.</t>
  </si>
  <si>
    <t>Достоинства: Работает
Недостатки: Не вижу
Доставка быстрая</t>
  </si>
  <si>
    <t>Ольга С.</t>
  </si>
  <si>
    <t>28.07.2021 11:05</t>
  </si>
  <si>
    <t>Терминатор, Американский пирог, Во круг света за 80 дней..</t>
  </si>
  <si>
    <t>Михаил Савельев</t>
  </si>
  <si>
    <t>Пермь</t>
  </si>
  <si>
    <t>28.07.2021 10:44</t>
  </si>
  <si>
    <t>Триколор, Буду очень признателен, если включите их в список вещания!</t>
  </si>
  <si>
    <t>Александр Головков</t>
  </si>
  <si>
    <t>10:38</t>
  </si>
  <si>
    <t>Триколор, Здравствуйте! У Вас раньше были телеканалы познавательные это - Animal Planet HD , National Geographic HD , Nat Geo Wild HD , Discovery Channel HD , Discovery Science Channel HD , если вернёте эти каналы вопще было бы всё по красоте) С чем связано их отсутствие?</t>
  </si>
  <si>
    <t>10:17</t>
  </si>
  <si>
    <t>28.07.2021 10:23</t>
  </si>
  <si>
    <t>"Терминатор 2", "Американский пирог", "Вокруг света за 80 дней"</t>
  </si>
  <si>
    <t>09:49</t>
  </si>
  <si>
    <t>28.07.2021 15:34</t>
  </si>
  <si>
    <t>Работает, не пахнет, особо не греется.</t>
  </si>
  <si>
    <t>09:30</t>
  </si>
  <si>
    <t>Подходит к старому приемнику</t>
  </si>
  <si>
    <t>Александра С.</t>
  </si>
  <si>
    <t>09:27</t>
  </si>
  <si>
    <t>30.07.2021 00:03</t>
  </si>
  <si>
    <t>Добрый день! Триколор ТВ умер? Или это временно?</t>
  </si>
  <si>
    <t>Тимур</t>
  </si>
  <si>
    <t>Anybalance Users - Пользователи Anybalance</t>
  </si>
  <si>
    <t>29.07.2021 08:47</t>
  </si>
  <si>
    <t>Триколор ТВ комплект на два телевизора с приёмниками GS B622L / GS C593 (Центр)</t>
  </si>
  <si>
    <t>Недостатки: Нет
Хороший комплект, единственный минус-нет кабеля в комплекте.</t>
  </si>
  <si>
    <t>Светлана</t>
  </si>
  <si>
    <t>building,floor,wood,electronic device</t>
  </si>
  <si>
    <t>09:22</t>
  </si>
  <si>
    <t>28.07.2021 14:08</t>
  </si>
  <si>
    <t>HUAYU Пульт для ресиверов Триколор ТВ GS8306 / General Satellite</t>
  </si>
  <si>
    <t>Работает до сих пор</t>
  </si>
  <si>
    <t>09:21</t>
  </si>
  <si>
    <t>Достоинства: цена 
спасибо  все работает</t>
  </si>
  <si>
    <t>Ильгина Ж.</t>
  </si>
  <si>
    <t>29.07.2021 06:10</t>
  </si>
  <si>
    <t>Достоинства: цена
все работает</t>
  </si>
  <si>
    <t>09:20</t>
  </si>
  <si>
    <t>28.07.2021 09:20</t>
  </si>
  <si>
    <t>Триколор, Я имею в виду пакет Матч Футбол.</t>
  </si>
  <si>
    <t>Ярослав Семёнов</t>
  </si>
  <si>
    <t>09:16</t>
  </si>
  <si>
    <t>28.07.2021 09:17</t>
  </si>
  <si>
    <t>С новой ценой новые возможности! Пакет «Детский» стал ещё больше и интереснее!  21 телеканал с развлекательными</t>
  </si>
  <si>
    <t>Татьяна, Хочу напомнить вам, что за наполнение эфира отвечает руководство того или иного телеканала! Триколор к этому не имеет никакого отношения, а всего лишь вещает телеканалы.</t>
  </si>
  <si>
    <t>09:13</t>
  </si>
  <si>
    <t>28.07.2021 09:13</t>
  </si>
  <si>
    <t>Лариса, а там разные тарифы есть.Безлимитный инет +тв - в районе 500р в месяц</t>
  </si>
  <si>
    <t>Дима Дима</t>
  </si>
  <si>
    <t>09:05</t>
  </si>
  <si>
    <t>28.07.2021 09:05</t>
  </si>
  <si>
    <t>Добрый день,скажите пожалуйста те кто знает ,если два иде номера триколора привязать к одному кабинету то можно будет на одном ид активировать пакет единый а на другом ид соответственно деактивировать этот же пакет соответственно с переносом средств с одного на другой иде?</t>
  </si>
  <si>
    <t>Сергей Калинов</t>
  </si>
  <si>
    <t>Нижегородская область</t>
  </si>
  <si>
    <t>Дальнее Константиново</t>
  </si>
  <si>
    <t>09:00</t>
  </si>
  <si>
    <t>28.07.2021 09:26</t>
  </si>
  <si>
    <t>Доброе утро! Дай Бог вам роста,здоровья и всех благ небесных и земных! Храни вас Господь Бог!!!
v2.5.0</t>
  </si>
  <si>
    <t>Иван Николаев</t>
  </si>
  <si>
    <t>08:39</t>
  </si>
  <si>
    <t>28.07.2021 14:02</t>
  </si>
  <si>
    <t>Спасибо большое. Блок питания работает хорошо</t>
  </si>
  <si>
    <t>Кайюм</t>
  </si>
  <si>
    <t>08:37</t>
  </si>
  <si>
    <t>28.07.2021 08:45</t>
  </si>
  <si>
    <t>Триколор, это если хочешь смотреть другие каналы, а я смотрю первый и второй.</t>
  </si>
  <si>
    <t>Дмитрий Передний</t>
  </si>
  <si>
    <t>Хабаровский край</t>
  </si>
  <si>
    <t>Комсомольск-на-Амуре</t>
  </si>
  <si>
    <t>08:30</t>
  </si>
  <si>
    <t>Наоборот, я хочу их не видеть. Они уже так надоели с утра до вечера</t>
  </si>
  <si>
    <t>08:02</t>
  </si>
  <si>
    <t>28.07.2021 08:03</t>
  </si>
  <si>
    <t>[ru] СберБанк Онлайн</t>
  </si>
  <si>
    <t>Не могу оплатить триколор ТВ (единый мульти лайт), отсутствует в списке.
v12.3.0</t>
  </si>
  <si>
    <t>олег фролов</t>
  </si>
  <si>
    <t>07:01</t>
  </si>
  <si>
    <t>28.07.2021 07:01</t>
  </si>
  <si>
    <t>Приставку к другому тв пробовать</t>
  </si>
  <si>
    <t>Ajiex Kama</t>
  </si>
  <si>
    <t>06:56</t>
  </si>
  <si>
    <t>28.07.2021 19:03</t>
  </si>
  <si>
    <t>Давайте соблюдать последовательность, история это точная наука.</t>
  </si>
  <si>
    <t>Селигерскый Зяблик )), у меня на даче спутниковый триколор, но это надо не мне а гостям, родственникам, ну вы поняли.
В квартире домовую антенну не оплачиваю, федеральные каналы РФ - зло, потребляю контент марксистов в интернете.</t>
  </si>
  <si>
    <t>Андрей Ильмецкий</t>
  </si>
  <si>
    <t>Ответы@Mail.Ru: Все категории &gt; Политика</t>
  </si>
  <si>
    <t>06:22</t>
  </si>
  <si>
    <t>28.07.2021 08:50</t>
  </si>
  <si>
    <t>Я был постоянным слушателем радио "Эхо Москвы" с примерно 1995 года до 2015, когда закрыли "Эхо Москвы в Туле" и на "правой поляризации" в спутнике "Триколор". И был зрителем "Дождя" с момента создания до прекращения трансляции на спутнике "Триколор"
Я свидетель, как по лекалам большого зомбоящика, промывающего мозги за Путина, на этих станциях зомбировали аудиторию за Навального.
В частности в 2013 году малый змбоящик полгода активно с июня по декабрь промывал аудитрии мозги и лепил из Алексея Навального образ лидера российской оппозиции</t>
  </si>
  <si>
    <t>06:00</t>
  </si>
  <si>
    <t>28.07.2021 06:06</t>
  </si>
  <si>
    <t>Терминатор 2, Американский пирог, Вокруг света за 80 дней</t>
  </si>
  <si>
    <t>05:53</t>
  </si>
  <si>
    <t>1.Терминатор-2
2.Американский пирог
3.Вокруг света за 80 дней</t>
  </si>
  <si>
    <t>05:40</t>
  </si>
  <si>
    <t>28.07.2021 05:40</t>
  </si>
  <si>
    <t>Триколор дороже выходит.</t>
  </si>
  <si>
    <t>Артем Гилев</t>
  </si>
  <si>
    <t>00:03</t>
  </si>
  <si>
    <t>28.07.2021 00:04</t>
  </si>
  <si>
    <t>Какие последние модели ресиверов?</t>
  </si>
  <si>
    <t>Alexey Timofeev</t>
  </si>
  <si>
    <t>27.07.2021</t>
  </si>
  <si>
    <t>23:53</t>
  </si>
  <si>
    <t>28.07.2021 00:05</t>
  </si>
  <si>
    <t>Скажите пожалуйста работает ли матч примьер триколор?</t>
  </si>
  <si>
    <t>Igor, уважаемый там оплата взымается по месяцу то есть месяц пройдёт у вас автоматически продлится на 2 у меня так же на 3 месяца матч премьер оформлен так что так оно и должно быть</t>
  </si>
  <si>
    <t>Юра Белоконев</t>
  </si>
  <si>
    <t>Георгиевск</t>
  </si>
  <si>
    <t>27.07.2021 23:51</t>
  </si>
  <si>
    <t>Здравствуйте. Нужно ли менять ресивер gs8306 в 2021 году?</t>
  </si>
  <si>
    <t>27.07.2021 23:48</t>
  </si>
  <si>
    <t>Американский пирог. Вокруг света за 80 дней</t>
  </si>
  <si>
    <t>Андрей Куклин</t>
  </si>
  <si>
    <t>23:12</t>
  </si>
  <si>
    <t>27.07.2021 23:13</t>
  </si>
  <si>
    <t>Радость-то какая, спустя 50 серий, я нашла на своём телевизоре самый любимый, самый лучший сериал</t>
  </si>
  <si>
    <t>Дарья, на Триколоре точно есть</t>
  </si>
  <si>
    <t>Лилия Рыльщикова</t>
  </si>
  <si>
    <t>Воздушные Замки - Andando Nas Nuvens</t>
  </si>
  <si>
    <t>28.07.2021 02:37</t>
  </si>
  <si>
    <t>Xiaomi Mi Box S (MDZ-22-AB) [Android]</t>
  </si>
  <si>
    <t>/forum/index.php?act=findpost&amp;pid=108258791  ruslanqua,
1. О прошивках вообще забудьте, всё обновляется по воздуху, просто обновите до последней версии.
2. Я бы вообще не рекомендовал для мамы связываться с торрентами. Поставьте HD VideoBox даже не плюс-версию и пусть смотрит фильмы и сериалы онлайн.
3. В качестве плеера предпочитаю Vimu.
4. С телеканалами решите сами, всё зависит от запросов мамы. Кому-то достаточно 20 эфирных каналов, а кому-то подавай 100500 штук. Я для своей мамы сделал Триколор и не парюсь (но это было давно). Если бы у неё был нормальный интернет, то поделился бы с ней своим плейлистом IPTV (платным) и поставил бы ей Televizo на такую же приставку.
5. Вместо обычного Ютьюба поставил бы ей SmartTubeNext, чтобы реклама не мучила.
Вот, собственно, и всё. Всё остальное - излишки.</t>
  </si>
  <si>
    <t>Eagle63X</t>
  </si>
  <si>
    <t>22:57</t>
  </si>
  <si>
    <t>27.07.2021 23:05</t>
  </si>
  <si>
    <t>1. Терминатор; 2,
2. Американский пирог (любая часть);
3. Вокруг света за восемьдесят дней.</t>
  </si>
  <si>
    <t>22:42</t>
  </si>
  <si>
    <t>27.07.2021 22:44</t>
  </si>
  <si>
    <t>Скорее всего проблема в приставке.</t>
  </si>
  <si>
    <t>Владимир Морзин</t>
  </si>
  <si>
    <t>28.07.2021 02:50</t>
  </si>
  <si>
    <t>Триколор нет сигнала поиск неисправности</t>
  </si>
  <si>
    <t>а на какой конвертер был заменен осталось загадкой)</t>
  </si>
  <si>
    <t>DANCEMUSIC RADIO</t>
  </si>
  <si>
    <t>Игорь Казуров</t>
  </si>
  <si>
    <t>Ajiex, на телеке звук есть</t>
  </si>
  <si>
    <t>22:40</t>
  </si>
  <si>
    <t>Федя, другой шнур hdmi подключал, так же.</t>
  </si>
  <si>
    <t>22:31</t>
  </si>
  <si>
    <t>27.07.2021 22:31</t>
  </si>
  <si>
    <t>Триколор, когда вернётся пакет Весь футбол?
И второй вопрос: цена станет ниже, если теперь нет чемпионата Испании?</t>
  </si>
  <si>
    <t>27.07.2021 22:18</t>
  </si>
  <si>
    <t>Триколор,мтс тарелки.</t>
  </si>
  <si>
    <t>Дунька Кузьминична</t>
  </si>
  <si>
    <t>22:06</t>
  </si>
  <si>
    <t>27.07.2021 22:07</t>
  </si>
  <si>
    <t>Подскажите, живём в д.Эдази,очень плохо с интернетом. Подскажите пожалуйста, есть ли какое то устройство для усиления</t>
  </si>
  <si>
    <t>Дарина, посмотрите усилитель сигнала от триколор)</t>
  </si>
  <si>
    <t>Кулешов Максим</t>
  </si>
  <si>
    <t>ВОЛОСОВО и Волосовский район</t>
  </si>
  <si>
    <t>Волосово</t>
  </si>
  <si>
    <t>22:02</t>
  </si>
  <si>
    <t>27.07.2021 22:02</t>
  </si>
  <si>
    <t>Обсуждаем телеканалы</t>
  </si>
  <si>
    <t>Триколор, скажите а в этом году будет Майдан Туган тел TMTV Матур ТВ?</t>
  </si>
  <si>
    <t>Дамир Хакимов</t>
  </si>
  <si>
    <t>27.07.2021 21:53</t>
  </si>
  <si>
    <t>«Первый канал» блокирует Интернет-трансляции Олимпиады в Крыму по требованию Международного олимпийского комитета. "С" -</t>
  </si>
  <si>
    <t>Триколор Тв</t>
  </si>
  <si>
    <t>Сергей Сергеевич</t>
  </si>
  <si>
    <t>ЗЛОЙ КРЫМЧАНИН</t>
  </si>
  <si>
    <t>21:48</t>
  </si>
  <si>
    <t>27.07.2021 22:04</t>
  </si>
  <si>
    <t>"Терминатор 2: Судный день",  "Американский пирог", " Вокруг света за 80 дней".</t>
  </si>
  <si>
    <t>Евгения Пестовникова</t>
  </si>
  <si>
    <t>27.07.2021 21:48</t>
  </si>
  <si>
    <t>Подскажите а кто у нас отвечает за сигнал спутника на ТВ по приставкам на 20 каналов ? Задолбали они уже телек вообще не</t>
  </si>
  <si>
    <t>Надежда, на триколоре такая же херня...ппостоянно мудрят...</t>
  </si>
  <si>
    <t>Валерий Цветков</t>
  </si>
  <si>
    <t>Подслушано. Фурманов.</t>
  </si>
  <si>
    <t>Фурманов</t>
  </si>
  <si>
    <t>27.07.2021 21:45</t>
  </si>
  <si>
    <t>Кто помнит?</t>
  </si>
  <si>
    <t>Ля смотрел когда был старый приемник триколор ТВ ещё Дисней был тогда</t>
  </si>
  <si>
    <t>Никита Майоров</t>
  </si>
  <si>
    <t>Для олдов</t>
  </si>
  <si>
    <t>Идрица</t>
  </si>
  <si>
    <t>21:42</t>
  </si>
  <si>
    <t>27.07.2021 21:42</t>
  </si>
  <si>
    <t>Триколор, Так смотреть то реально нечего , эти каналы из веток настрой кино , премиальное , наше , дом кино и т.д. гоняют одно и тоже . Договорились бы лучше с sony , fox , tv 1000 и т.д. . Так же у вас есть свои каналы , которые вы можете наполнять как угодно , но почему то решили что людям интересно целыми днями смотреть глухаря , машу и медведь , понять и простить и пр. муть , а могли например создать канал хиты VHS , Союз мультфтльм , киноклассика и т.д.</t>
  </si>
  <si>
    <t>Андрей Миронов</t>
  </si>
  <si>
    <t>21:25</t>
  </si>
  <si>
    <t>27.07.2021 21:25</t>
  </si>
  <si>
    <t>Лариса, но интернет, то у вас и так и так есть. Получается вы платите за интернет и телевидение. А можно только за интернет.</t>
  </si>
  <si>
    <t>Андрей Марчиков</t>
  </si>
  <si>
    <t>27.07.2021 21:24</t>
  </si>
  <si>
    <t>Терминатор 2; Американский пирог; Вокруг света за 80 дней</t>
  </si>
  <si>
    <t>21:15</t>
  </si>
  <si>
    <t>21:10</t>
  </si>
  <si>
    <t>Пуля Верталёт</t>
  </si>
  <si>
    <t>21:07</t>
  </si>
  <si>
    <t>27.07.2021 21:07</t>
  </si>
  <si>
    <t>Сергей, специально глянула договоры: от июня 2016. Модуль (похож на обычную пластиковую карту)  в моем телике просто воткнут, безо всякого оборудования.
Ко двум другим телевизорам подключено оборудование. Пока ни разу не меняли.
Но иногда оно просится на замену... Приходится почаще перезагружать. Цена замены высокая, в этом году 4.5 тыс. озвучили. Скорее всего и мы откажемся от Триколора со временем...</t>
  </si>
  <si>
    <t>Лариса Куницына</t>
  </si>
  <si>
    <t>20:58</t>
  </si>
  <si>
    <t>27.07.2021 21:04</t>
  </si>
  <si>
    <t>Кабель соединительный к телевизору проверяйте</t>
  </si>
  <si>
    <t>Андрей Лобанов</t>
  </si>
  <si>
    <t>Армавир</t>
  </si>
  <si>
    <t>20:54</t>
  </si>
  <si>
    <t>27.07.2021 20:55</t>
  </si>
  <si>
    <t>Лариса, а замена оборудования (тюнер)посчитайте каждые два года! Триколор скоро себя изживёт)уже мало кто на нём сидит,как наступает время менять их оборудование,многие от него отказываются!</t>
  </si>
  <si>
    <t>Сергей Филинский</t>
  </si>
  <si>
    <t>Терминатор 2. Американский пирог. Вокруг света за 80 дней.</t>
  </si>
  <si>
    <t>Владимир Маслов</t>
  </si>
  <si>
    <t>Сызрань</t>
  </si>
  <si>
    <t>27.07.2021 20:44</t>
  </si>
  <si>
    <t>Сергей, согласна в чем-то. Сыновья у меня тоже дома через интернет всё смотрят. Фильмы преимущественно.
Но инет, даже за 400, в год все равно дороже выходит...
Да и деньги уже вложены: тарелка и проводочки, прочие детальки... Куда их сейчас?</t>
  </si>
  <si>
    <t>27.07.2021 20:39</t>
  </si>
  <si>
    <t>Анастасия, у меня на Триколоре нема‍♂</t>
  </si>
  <si>
    <t>Дарья Иванова</t>
  </si>
  <si>
    <t>20:27</t>
  </si>
  <si>
    <t>27.07.2021 20:43</t>
  </si>
  <si>
    <t>Не знаю прямо сейчас по каналам щелкаю и ничего путнего</t>
  </si>
  <si>
    <t>Светлана Богданова</t>
  </si>
  <si>
    <t>Республика Карелия</t>
  </si>
  <si>
    <t>Беломорск</t>
  </si>
  <si>
    <t>20:25</t>
  </si>
  <si>
    <t>27.07.2021 21:39</t>
  </si>
  <si>
    <t>Бесплатные каналы на втором спутнике Триколор ТВ</t>
  </si>
  <si>
    <t>А у меня куда-то пропали каналы тв вообще, остались только радио каналы.в настройке когда включаю поиск каналов то сила есть только бегает с нуля до 79 и обратно туда сюда а качество ноль, а на ручном поиске и сила и качество есть но находит только радио как так?</t>
  </si>
  <si>
    <t>TOP 10</t>
  </si>
  <si>
    <t>Я хочу чтобы было, что посмотреть и за 1500 которые я плачу за год</t>
  </si>
  <si>
    <t>20:22</t>
  </si>
  <si>
    <t>27.07.2021 20:23</t>
  </si>
  <si>
    <t>Каналов много, а смотреть не чего. Или одно и тоже крутите Сваты., Штрафбат, улицы разбитых фонарей</t>
  </si>
  <si>
    <t>20:14</t>
  </si>
  <si>
    <t>28.07.2021 13:49</t>
  </si>
  <si>
    <t>1. Удобное расположение для районных абонентов.
2. Широкий выбор предостовляемых сервисных услуг.
3. Квалефицированый персонал.
4. Самые низкие цены по ТГН, на аппаратуру и услуги (ремонт, наладка, монтаж).
5. Чисто, уютно, комфортно.</t>
  </si>
  <si>
    <t>Руслан Мамедрзаев</t>
  </si>
  <si>
    <t>20:09</t>
  </si>
  <si>
    <t>27.07.2021 20:09</t>
  </si>
  <si>
    <t>Василий, У них( Трико тв) очень много мусорных каналов! Надеюсь,это не выходит за пределы правил этой группы! :)</t>
  </si>
  <si>
    <t>19:41</t>
  </si>
  <si>
    <t>27.07.2021 19:42</t>
  </si>
  <si>
    <t>Коротко о том, как прошли эти выходные  #ТорпедоАлания #аТМосфера: «Торпедо» - «Алания»</t>
  </si>
  <si>
    <t>Сергей, все матчи ФНЛ доступны в сервисе Яндекс Эфир. А так же через триколор тв. Подробная информация и ссылки публикуются в дни матчей.</t>
  </si>
  <si>
    <t>Владислав Коваль</t>
  </si>
  <si>
    <t>ФК «Торпедо Москва»</t>
  </si>
  <si>
    <t>27.07.2021 19:43</t>
  </si>
  <si>
    <t>Смотрите второй выпуск эксклюзивного спецпроекта «Нагорный LIFE: Олимпийские хроники», созданный вместе с олимпийским чемпионом, гимнастом Никитой Нагорным в приложении «Триколор Кино и ТВ» на мобильных устройствах и Smart TV, а также на сайте http://kino.tricolor.tv</t>
  </si>
  <si>
    <t>hairstyle,skin</t>
  </si>
  <si>
    <t>27.07.2021 19:38</t>
  </si>
  <si>
    <t>У меня два реса - VU+ Zero 4K и VU+ Uno4K SE.На обоих установлено VTi 15.0.0CI+ Триколор Запад. (синий) UHDВерсия CI+ 1.2.0.На обоих ресах работает и ничего не отваливается.Для инфы - Модуль условного доступа Триколор. Красный или синий ? Все о спутниковом телевидение Триколор
VU Zero 4K (Обсуждение)
https://gisclub.tv/vu-zero-4k-obsuzhdenie/vu-zero-4k/msg615700/#msg615700</t>
  </si>
  <si>
    <t>19:35</t>
  </si>
  <si>
    <t>27.07.2021 22:24</t>
  </si>
  <si>
    <t>Нет сигнала? Перезагрузка ресивера GS B 533 m Триколор до Заводских настроек.</t>
  </si>
  <si>
    <t>И когда в настройках нажимаю поиск каналов то сила прыгает с нуля до 75 и обратно туда сюда а качество вообще 0</t>
  </si>
  <si>
    <t>Смотреть и слушать.</t>
  </si>
  <si>
    <t>27.07.2021 19:54</t>
  </si>
  <si>
    <t>Хотите оказаться в эпицентре Олимпийских игр в Токио не выходя из дома? Тогда смотрите новый эксклюзивный спецпроект «Нагорный LIFE: Олимпийские хроники», созданный вместе с олимпийским чемпионом, гимнастом Никитой Нагорным.
Окунитесь в атмосферу летних игр, прочувствуйте дух соревнований и преодолейте путь к медалям вместе со спортсменами!
Смотрите уже сегодня второй выпуск в онлайне в приложении «Триколор Кино и ТВ» на мобильных устройствах и Smart TV, а также на сайте kino.tricolor.tv
#WeWillROCYou! Вперед, Россия! #НашСпортЗдесь
Нагорный LIFE: Олимпийские хроники</t>
  </si>
  <si>
    <t>text,poster</t>
  </si>
  <si>
    <t>design,art</t>
  </si>
  <si>
    <t>28.07.2021 02:52</t>
  </si>
  <si>
    <t>Хотите оказаться в эпицентре Олимпийских игр в Токио не выходя из дома? Тогда смотрите новый эксклюзивный спецпроект «Нагорный LIFE: Олимпийские хроники», созданный вместе с олимпийским чемпионом, гимнастом Никитой Нагорным.
Окунитесь в атмосферу летних игр, прочувствуйте дух соревнований и преодолейте путь к медалям вместе со спортсменами!
Смотрите уже сегодня второй выпуск в онлайне в приложении «Триколор Кино и ТВ» на мобильных устройствах и Smart TV, а также на сайте kino.tricolor.tv
#WeWillROCYou! Вперед, Россия! #НашСпортЗдесь
Нагорный LIFE: Олимпийские хроники</t>
  </si>
  <si>
    <t>https://scontent.fdad1-1.fna.fbcdn.net/v/t15.5256-10/e15/q75/p180x540/214705175_353799099738923_6898277812905874914_n.jpg?_nc_cat=104&amp;ccb=1-3&amp;_nc_sid=ad6a45&amp;_nc_ohc=64fjsUE8SwwAX_SOXXM&amp;_nc_ad=z-m&amp;_nc_cid=0&amp;_nc_ht=scontent.fdad1-1.fna&amp;oh=43a0c1dbdcf2e4aa1aac8b4ab49707fc&amp;oe=61058669</t>
  </si>
  <si>
    <t>19:33</t>
  </si>
  <si>
    <t>@Смотреть и слушать. Не получилось, когда нажимаешь кнопку меню должны высветится список каналов и на верху наименование тв детский и. Т. Д а у меня вместо каналов тв каналы с радио и на верху только лупа и ручной поиск</t>
  </si>
  <si>
    <t>19:28</t>
  </si>
  <si>
    <t>27.07.2021 19:40</t>
  </si>
  <si>
    <t>19:18</t>
  </si>
  <si>
    <t>27.07.2021 19:20</t>
  </si>
  <si>
    <t>Владислав, региональные телеканалы, как и телемагазины, платят деньги за свое вещание. Вот и весь секрет из обилия. Смотрят их обычно лишь жители того региона, откуда телеканал, иногда в своем регионе даже с каким-нибудь тнт могут по рейтингам побороться. За пределами родного региона практически не смотрят. И включать их все точно мало смысла, в каждом регионе минимум по два телеканала, то есть даже если их развести на Триколор.Уентр и Триколор.Сибирь, поскольку разные спутники, то это получится по сотне только региональных каналов. Которых почти полностью будут смотреть лишь в родных регионах. В теории если Триколор сможет общее число каналов довести штук до 500, то возможно имеет смысл и вывести все региональные. Но пока у них и 300 нет.</t>
  </si>
  <si>
    <t>Василий Акимов</t>
  </si>
  <si>
    <t>19:14</t>
  </si>
  <si>
    <t>27.07.2021 19:21</t>
  </si>
  <si>
    <t>И к антене и к интернету</t>
  </si>
  <si>
    <t>Алексей Захаров</t>
  </si>
  <si>
    <t>29.07.2021 04:34</t>
  </si>
  <si>
    <t>ТВ-модуль Триколор CI+ (1500 руб в год)</t>
  </si>
  <si>
    <t>Достоинства: Относительно недорого
Спасибо большое продавцу , ещё и в подарок положили внешний ик- приемник. Зарегистрировали в день получения и уже показывают все каналы.</t>
  </si>
  <si>
    <t>Андрей М.</t>
  </si>
  <si>
    <t>Достоинства: цена
Недостатки: пока нет
блок как блок</t>
  </si>
  <si>
    <t>иван б.</t>
  </si>
  <si>
    <t>19:09</t>
  </si>
  <si>
    <t>27.07.2021 19:23</t>
  </si>
  <si>
    <t>Не обновляется, постоянно ошибка.</t>
  </si>
  <si>
    <t>electronic device,text,display device,software,signage</t>
  </si>
  <si>
    <t>18:45</t>
  </si>
  <si>
    <t>27.07.2021 19:02</t>
  </si>
  <si>
    <t>Терминатор 2! Американский пирог! Вокруг света за 80 дней!</t>
  </si>
  <si>
    <t>Марианна Овсянникова</t>
  </si>
  <si>
    <t>Кемеровская область</t>
  </si>
  <si>
    <t>Кемерово</t>
  </si>
  <si>
    <t>18:43</t>
  </si>
  <si>
    <t>На пульте есть кнопка радио, ёщё раз нажать не пробовали, после нажатия должны включиться тв каналы.</t>
  </si>
  <si>
    <t>18:33</t>
  </si>
  <si>
    <t>Всё  тоже самое радио показывает а каналов нет</t>
  </si>
  <si>
    <t>18:25</t>
  </si>
  <si>
    <t>28.07.2021 02:57</t>
  </si>
  <si>
    <t>Ранее вы уже сообщили о том, что услуга у вас оплачена, поэтому вам нужно только скачать приложение и авторизоваться с помощью вашего номера Триколор ID.</t>
  </si>
  <si>
    <t>Достоинства: Цена. Качество. Невысокая абон.плата. 
Недостатки: Нет. 
Понятная инструкция в комплекте. Техподдержка через мессенджеры очень удобная.</t>
  </si>
  <si>
    <t>Скрипунов Андрей</t>
  </si>
  <si>
    <t>27.07.2021 18:22</t>
  </si>
  <si>
    <t>2 шт по 1500₽</t>
  </si>
  <si>
    <t>Это триколор, ресивер</t>
  </si>
  <si>
    <t>Дима Ситников</t>
  </si>
  <si>
    <t>Алексин | Барахолка</t>
  </si>
  <si>
    <t>Алексин</t>
  </si>
  <si>
    <t>18:10</t>
  </si>
  <si>
    <t>Добрый день! Вы можете воспользоваться нашим приложением «Триколор Кино и ТВ», где для просмотра вам доступны не только теле- и радио- каналы, но через сервис "Кино Онлайн" фильмы и сериалы в рамках вашей действующей подписки.</t>
  </si>
  <si>
    <t>18:03</t>
  </si>
  <si>
    <t>27.07.2021 18:05</t>
  </si>
  <si>
    <t>У меня триколор стоит на два телевизора, он оплачен но я его не включаю,не чего там нету хорошего 200 с чем-то каналов не очень,интернет у меня есть и я настроил себе в телевизоре 2000 каналов через программу тв навигатор называется так там всё и перец,и фильмы для взрослых супер</t>
  </si>
  <si>
    <t>Алекс 777</t>
  </si>
  <si>
    <t>18:02</t>
  </si>
  <si>
    <t>Анатолий Кузнецов</t>
  </si>
  <si>
    <t>17:36</t>
  </si>
  <si>
    <t>27.07.2021 18:03</t>
  </si>
  <si>
    <t>пдк
v2.4.0</t>
  </si>
  <si>
    <t>Аида Байгазиевв</t>
  </si>
  <si>
    <t>17:33</t>
  </si>
  <si>
    <t>27.07.2021 17:33</t>
  </si>
  <si>
    <t>Если есть возможность только спутниковый ставить, ставьте триколор. Остальные дороже.</t>
  </si>
  <si>
    <t>Артём Минин</t>
  </si>
  <si>
    <t>17:30</t>
  </si>
  <si>
    <t>29.07.2021 06:18</t>
  </si>
  <si>
    <t>Блок питания импульсный LIVE-POWER 12V LP-360 12V/3A 5,5*2,5 подходит для Триколор ТВ и НТВ+</t>
  </si>
  <si>
    <t>Достоинства: Всё подходит.
Недостатки: Очень долгая доставка!
Брала к телевизору по параметрам. Всё подходит. ТВ показывает.</t>
  </si>
  <si>
    <t>Елена Р.</t>
  </si>
  <si>
    <t>electronic device,gadget,smartphone,communication device,portable communications device</t>
  </si>
  <si>
    <t>17:29</t>
  </si>
  <si>
    <t>27.07.2021 23:10</t>
  </si>
  <si>
    <t>MIRANT Пульт универсальный DTS53 (DTS54) для спутникового ресивера, приставки Триколор/GENERAL SATELLITE</t>
  </si>
  <si>
    <t>Пульт пришёл целый, подошёл к DTS54</t>
  </si>
  <si>
    <t>Евгения</t>
  </si>
  <si>
    <t>17:19</t>
  </si>
  <si>
    <t>27.07.2021 17:19</t>
  </si>
  <si>
    <t>Всем добрый день, скажите , а у всех с триколором беда??? Сигнал все время пропадает, хотя не дождя не</t>
  </si>
  <si>
    <t>Ой как вспомню, так вздрогну этот триколор</t>
  </si>
  <si>
    <t>Оксана Шаврова</t>
  </si>
  <si>
    <t>А вот тарелки рекламируют Они как интернет ловят?И по деньгам как?У меня триколор телевидение ,мне нравится.И по деньгам карман не давит.</t>
  </si>
  <si>
    <t>Владимир Лобанов</t>
  </si>
  <si>
    <t>17:15</t>
  </si>
  <si>
    <t>27.07.2021 17:15</t>
  </si>
  <si>
    <t>Не ремонтировался.в идеальном состоянии. Цифровое ТВ, Триколор https://youla</t>
  </si>
  <si>
    <t>Убитую коробку продает, которая заглючила и без прошивки работать не будет. Хлам впихивает☝</t>
  </si>
  <si>
    <t>Евгений Распутин</t>
  </si>
  <si>
    <t>Моя Барахолка Тольятти Самара Жигулёвск</t>
  </si>
  <si>
    <t>27.07.2021 16:45</t>
  </si>
  <si>
    <t>Первый канал объяснил, почему в Крыму блокируют трансляцию Олимпиады ➡️ https://ukraina.ru/news/20210727/1031936035</t>
  </si>
  <si>
    <t>Да похер что там олимпийский комитет нагородил все равно почти у всех установлены ,. тарелки" ,. Триколора".</t>
  </si>
  <si>
    <t>Олег Сергиевич</t>
  </si>
  <si>
    <t>Украина.ру</t>
  </si>
  <si>
    <t>16:44</t>
  </si>
  <si>
    <t>27.07.2021 16:56</t>
  </si>
  <si>
    <t>Триколор, подскажите еще пожалуйста. Как отказаться от услуг Триколор?</t>
  </si>
  <si>
    <t>Алексей Богданов</t>
  </si>
  <si>
    <t>Новосибирская область</t>
  </si>
  <si>
    <t>Новосибирск</t>
  </si>
  <si>
    <t>27.07.2021 16:35</t>
  </si>
  <si>
    <t>Триколор, нет. Только 3g</t>
  </si>
  <si>
    <t>16:24</t>
  </si>
  <si>
    <t>Триколор, так же бы не плохо добавить Наша Сибирь 4к</t>
  </si>
  <si>
    <t>Ваня Панченко</t>
  </si>
  <si>
    <t>16:23</t>
  </si>
  <si>
    <t>27.07.2021 16:24</t>
  </si>
  <si>
    <t>Триколор, как это сделать?? Приставка в деревне работает. Тут нет wi-fi</t>
  </si>
  <si>
    <t>27.07.2021 16:23</t>
  </si>
  <si>
    <t>Триколор, просто единственный канал от Сигнал Медиа, которого у вас нет к сожалению.</t>
  </si>
  <si>
    <t>Триколор, general satellite GS B5311</t>
  </si>
  <si>
    <t>16:16</t>
  </si>
  <si>
    <t>Триколор, телеканал Белорусь 24 добавьте</t>
  </si>
  <si>
    <t>27.07.2021 16:16</t>
  </si>
  <si>
    <t>Триколор, добрый! Уже более полугода появляется просьба обновить приемник. Но после нажатия "обновить" загрузка доходит до 49 процентов...и все. Дальше не двигается , сколько не жди. Далее. Пропадают каналы. Было что то около 30 радио каналов, теперь только 3. Телеканалы периодически то появляются, то исчезают. Сейчас 96 каналов, из которых половина не показывает (не беру в расчет платные каналы) и так постоянно.</t>
  </si>
  <si>
    <t>27.07.2021 16:13</t>
  </si>
  <si>
    <t>Доступна новая версия ПО для приемников General Satellite  Обновить свои ТВ-приставки могут владельцы модели▫GS</t>
  </si>
  <si>
    <t>Когда добавит возможность подключение Bluetooth устройств кроме геймпада , например , Bluetooth наушников , мышек , клавиатуров и тп. И браузера , очень хочется видеть на этом приставке , и плеер при воспроизведение через usb носители , переключать треки не выходят из проигрывателя. И вопрос , почему , когда я захожу приложение "магазин триколор" бесконечная загрузка"? интернет нормальный</t>
  </si>
  <si>
    <t>Вадим Фаттахов</t>
  </si>
  <si>
    <t>General Satellite</t>
  </si>
  <si>
    <t>Иркутск</t>
  </si>
  <si>
    <t>16:06</t>
  </si>
  <si>
    <t>27.07.2021 16:07</t>
  </si>
  <si>
    <t>Я,плачу 400р за интернет, хватает на всё,три телека на Андроиде и всякие гаджеты +ноуты</t>
  </si>
  <si>
    <t>16:05</t>
  </si>
  <si>
    <t>Триколор. Какое же отвратительное у вас оборудование и само качество вещания.</t>
  </si>
  <si>
    <t>28.07.2021 21:54</t>
  </si>
  <si>
    <t>Обсуждение новостей оператора МТС ТВ</t>
  </si>
  <si>
    <t>krab23051996 писал(а):Предлагаю относить к флудить комменты в которых сравнивается телевидение через интернет. Различные iptv , smart TV и прочее. Речь о СПУТНИКОВОМ ТЕЛЕВИДЕНИИ. Некорректно как то сравнивать спутник и интернет . Сравнивайте с триколором , НТВ+ , Телекартой. МТС оставил их всех позади , он самый лучший оператор на данный момент. Ни один из операторов спутникового ты не предоставляет такого контента за 3000 в год . Справедливости ради надо отметить что и у телекарты канады отличные , но на 4000 не тянут . А по акции просто гут</t>
  </si>
  <si>
    <t>alexnn78</t>
  </si>
  <si>
    <t>Телеспутник • Главная страница &gt; МТС ТВ</t>
  </si>
  <si>
    <t>28.07.2021 09:25</t>
  </si>
  <si>
    <t>Магазин Антенны Триколор ТВ</t>
  </si>
  <si>
    <t>Нормальный магазин, все быстро, четко. Но для меня с 90 км Минского ш. очень далеко. Знала бы, не поехала.</t>
  </si>
  <si>
    <t>MsTatylia</t>
  </si>
  <si>
    <t>27.07.2021 15:56</t>
  </si>
  <si>
    <t>Терминатор 2: Судный день, Американский пирог, Вокруг света за 80 дней.</t>
  </si>
  <si>
    <t>27.07.2021 15:41</t>
  </si>
  <si>
    <t>Сергей, а интернет разве бесплатный?
У меня телевизор работает через CI-модуль.
Оплата в год составляет 1500 руб.
Разве интернет вышел бы мне дешевле?
На 2 других телевизора, работающих через приставку, оплата 2000 в год. Меньше сотни в месяц за один.
Сколько инета мне бы понадобилось на работу 3-х телевизоров? С учётом того, что дома и смартфоны на домашнем инете?</t>
  </si>
  <si>
    <t>15:36</t>
  </si>
  <si>
    <t>27.07.2021 15:36</t>
  </si>
  <si>
    <t>Товарищи, подскажите пожалуйста, заплатил в терминале Сбербанка 600 рублей за Матч премьер что бы смотреть его два месяца. Всё показывает, только в личном кабинете ресивера пишет 1 месяц. Второй месяц они мне активируют автоматически, когда закончится первый месяц? Кто знает? Спасибо.</t>
  </si>
  <si>
    <t>Igor Shpinov</t>
  </si>
  <si>
    <t>Красноярский край</t>
  </si>
  <si>
    <t>Норильск</t>
  </si>
  <si>
    <t>15:33</t>
  </si>
  <si>
    <t>27.07.2021 15:33</t>
  </si>
  <si>
    <t>Василий, Кто будет смотреть перечисленные вами каналы? И так на Трико тв много лишних региональных каналов( для количества)!</t>
  </si>
  <si>
    <t>15:32</t>
  </si>
  <si>
    <t>Спутниковый конвертор круговой поляризации GS SLIN-51E (1 выход, НТВ / Триколор) (M)</t>
  </si>
  <si>
    <t>Достоинства: Поставили, все работает, спасибо!</t>
  </si>
  <si>
    <t>Копылова Анна</t>
  </si>
  <si>
    <t>15:23</t>
  </si>
  <si>
    <t>27.07.2021 15:24</t>
  </si>
  <si>
    <t>[BООM]</t>
  </si>
  <si>
    <t>Артур, Grunwald. Российский производитель.
Лучше качество в интернете есть.
Ну и к тому же, триколор на борту даже тут видно</t>
  </si>
  <si>
    <t>Максим Дурнев</t>
  </si>
  <si>
    <t>BOOM</t>
  </si>
  <si>
    <t>Баранчинский</t>
  </si>
  <si>
    <t>27.07.2021 15:21</t>
  </si>
  <si>
    <t>Оксана, через домашний интернет</t>
  </si>
  <si>
    <t>15:07</t>
  </si>
  <si>
    <t>27.07.2021 15:07</t>
  </si>
  <si>
    <t>Триколор, ну все равно эта услуга стоит своих денег.</t>
  </si>
  <si>
    <t>Сергей, приставка работает через домашний интернет или тарелку?</t>
  </si>
  <si>
    <t>Оксана Остапчук</t>
  </si>
  <si>
    <t>14:56</t>
  </si>
  <si>
    <t>27.07.2021 14:56</t>
  </si>
  <si>
    <t>Татьяна, очень хороши каналы АМедиа и Амедиатека в онлайн-кинотеатре Триколора. Просто подключите приемник интернету и оплатите этот пакет, если память не изменяет, 249 рублей в месяц.</t>
  </si>
  <si>
    <t>27.07.2021 14:55</t>
  </si>
  <si>
    <t>Владислав, их рейтинги все равно выше других каналов. И какое отношение они имеют к региональным телеканалам?</t>
  </si>
  <si>
    <t>27.07.2021 14:39</t>
  </si>
  <si>
    <t>Я вообще не понимаю людей которые платят за телевидение, интернет думаю у всех есть,да и приставку смарт ТВ я думаю не проблема купить</t>
  </si>
  <si>
    <t>14:38</t>
  </si>
  <si>
    <t>Канал хороший,уж получше всяких романов и про любовь</t>
  </si>
  <si>
    <t>Денис Спиридонов</t>
  </si>
  <si>
    <t>Волжский</t>
  </si>
  <si>
    <t>14:32</t>
  </si>
  <si>
    <t>27.07.2021 14:33</t>
  </si>
  <si>
    <t>Интересные факты
У какого не подключен ресивер к интернету, либо версия приёмника старее GS B520, то наблюдаются дубли каналов, например: 8 канал повторяется аж три раза, кнопка 40,99 и 396. Такая же бурда и с Шансон ТВ и Старт, но они встречаются только 2 раза.
P.S. Если вы заметили ещё такие каналы, то пишите в комментариях!</t>
  </si>
  <si>
    <t>Алексей Попов</t>
  </si>
  <si>
    <t>14:30</t>
  </si>
  <si>
    <t>27.07.2021 14:30</t>
  </si>
  <si>
    <t>Лариса, может вам просто на лавочке посидеть у подьезда? А не пульт от телека теребить. Да и вообще не тем прибором вы себе рецепторы раздражаете.</t>
  </si>
  <si>
    <t>Сергей Розинков</t>
  </si>
  <si>
    <t>27.07.2021 13:52</t>
  </si>
  <si>
    <t>Мария Иванова</t>
  </si>
  <si>
    <t>Челябинск</t>
  </si>
  <si>
    <t>13:43</t>
  </si>
  <si>
    <t>Артем Тамбов</t>
  </si>
  <si>
    <t>13:40</t>
  </si>
  <si>
    <t>27.07.2021 21:58</t>
  </si>
  <si>
    <t>Galaxy Innovations Wi-Fi Адаптер для цифровых приставок и Триколор ТВ</t>
  </si>
  <si>
    <t>На триколоре работает без проблем.</t>
  </si>
  <si>
    <t>Galaxy Innovations Wi-Fi Адаптер  для цифровых приставок и Триколор ТВ</t>
  </si>
  <si>
    <t>27.07.2021 13:39</t>
  </si>
  <si>
    <t>На носу учебный год и в наше время не обойтись без интернета. Живём в д. Скакуны и с этим огромная проблема. Ростелеком отказывает в услуге, триколор в этом плане очень дорогое удовольствие. Подскажите какой источник интернета в нашем поселении вообще доступен и приемлем в цене.??? Аноним.</t>
  </si>
  <si>
    <t>Терминатор 2.
Американский пирог.
Вокруг света за 80 дней.</t>
  </si>
  <si>
    <t>13:36</t>
  </si>
  <si>
    <t>13:34</t>
  </si>
  <si>
    <t>27.07.2021 13:34</t>
  </si>
  <si>
    <t>Зачем вообще нужен телевизор? Да и на смарт тв можно подключить различные варианты. Не смарт? Можно приставку купить. Честно говоря не делаю, что телевидение в таком формате ещё долго проживет</t>
  </si>
  <si>
    <t>Артем Анатольевич</t>
  </si>
  <si>
    <t>27.07.2021 13:31</t>
  </si>
  <si>
    <t>И у нас</t>
  </si>
  <si>
    <t>Инна Соломонова</t>
  </si>
  <si>
    <t>13:30</t>
  </si>
  <si>
    <t>27.07.2021 13:30</t>
  </si>
  <si>
    <t>Через месяц заканчивается подписка на триколор и сожгу оборудование</t>
  </si>
  <si>
    <t>Илья Филатов</t>
  </si>
  <si>
    <t>13:21</t>
  </si>
  <si>
    <t>27.07.2021 13:21</t>
  </si>
  <si>
    <t>Вчера работал нормально. Сегодня мне включала.</t>
  </si>
  <si>
    <t>Ольга Каргина</t>
  </si>
  <si>
    <t>13:11</t>
  </si>
  <si>
    <t>27.07.2021 13:16</t>
  </si>
  <si>
    <t>Инна Шалымагина</t>
  </si>
  <si>
    <t>27.07.2021 13:12</t>
  </si>
  <si>
    <t>А во всех полуразваленных бараках должна стоять тарелка Триколор ТВ, да?</t>
  </si>
  <si>
    <t>foolish rubbish</t>
  </si>
  <si>
    <t>27.07.2021 13:02</t>
  </si>
  <si>
    <t>Понятно все с этим триколором.</t>
  </si>
  <si>
    <t>Марина Волкова-Сазонникова</t>
  </si>
  <si>
    <t>13:01</t>
  </si>
  <si>
    <t>27.07.2021 13:01</t>
  </si>
  <si>
    <t>Марина, тогда если не в шнуре дело, и у Вас нет лестницы, чтобы достать антенну, придется вызывать настройщика, но это платно‍♀️‍♀️‍♀️</t>
  </si>
  <si>
    <t>Светлана Ефремова</t>
  </si>
  <si>
    <t>27.07.2021 13:00</t>
  </si>
  <si>
    <t>Спасибо. Как буду на даче, то попробую обязательно. Но антенна у нас на доме, мне не дотянуться до нее самой.</t>
  </si>
  <si>
    <t>27.07.2021 22:17</t>
  </si>
  <si>
    <t>Здравствуйте есть сила и качество показывают каналы с радио а на каналы нет сигнала, когда сделала сброс заводских настроек пропал и список каналов а радио по прежнему есть как это?</t>
  </si>
  <si>
    <t>27.07.2021 12:57</t>
  </si>
  <si>
    <t>Марина, Для проверки уровня и качества сигнала включите приемник на Инфоканале и нажмите Красную кнопку на пульте от приемника (F1, info или I), а затем синюю кнопку («F4» или «fav»). Шкалы должны быть заполнены не менее чем на 30%. Для настройки антенны поворачивайте ее по 1 см и фиксируйте в каждом положении на 3-5 сек. Подробнее в разделе «Помощь» на tricolor.tv.</t>
  </si>
  <si>
    <t>27.07.2021 12:55</t>
  </si>
  <si>
    <t>Терминатор 2, американский пирог, вокруг света за 80 дней!</t>
  </si>
  <si>
    <t>12:38</t>
  </si>
  <si>
    <t>27.07.2021 12:38</t>
  </si>
  <si>
    <t>Здравствуйте!
Хочется Триколор поприветствовать в Черном списке!
Уже много лет сотрудничаю с ними. Оплачиваю авансом пакет Единый на год вперёд по двум договорам (за 3 телевизора).
Срок окончания действия пакета - 30 июля ежегодно.
В прошлом году оплатила 21 июля, в этом - 13 июля.
Но за 5 дней до окончания действия пакета эта конторка начинает бомбить автоматическим извещением о приближающемся окончании срока действия пакета.
При каждом включении, просто во время просмотра программ, экран процентов на 70 перекрывает серое объявление. Причём</t>
  </si>
  <si>
    <t>27.07.2021 12:36</t>
  </si>
  <si>
    <t>Тоже самое у нас!</t>
  </si>
  <si>
    <t>12:29</t>
  </si>
  <si>
    <t>27.07.2021 12:29</t>
  </si>
  <si>
    <t>Светлана, тот штекер который вкручивается в ресивер, получше накрутите на антенный кабель.</t>
  </si>
  <si>
    <t>Александр Козлов</t>
  </si>
  <si>
    <t>28.07.2021 02:10</t>
  </si>
  <si>
    <t>Пульт для Триколор ТВ (DDL-1034)</t>
  </si>
  <si>
    <t>Достоинства: Отличный пульт
Недостатки: Не выявлено
Вставил батарейки и всё. Работает всё отлично</t>
  </si>
  <si>
    <t>Александр.</t>
  </si>
  <si>
    <t>Восстановление списка каналов на Триколор ТВ.</t>
  </si>
  <si>
    <t>Здравствуйте скажите пж когда нажимаю поиск каналов то находит только радио каналы а обычных каналов нет почему?</t>
  </si>
  <si>
    <t>12:11</t>
  </si>
  <si>
    <t>27.07.2021 12:14</t>
  </si>
  <si>
    <t>Терминатор 2,Американский пирог.Вокруг света за 80 дней</t>
  </si>
  <si>
    <t>Евгения Галкина</t>
  </si>
  <si>
    <t>Кунгур</t>
  </si>
  <si>
    <t>12:00</t>
  </si>
  <si>
    <t>31.07.2021 07:10</t>
  </si>
  <si>
    <t>Спасибо за положительный отзыв нашего товара.</t>
  </si>
  <si>
    <t>Представитель бренда ТРИКОЛОР ТВ</t>
  </si>
  <si>
    <t>27.07.2021 22:15</t>
  </si>
  <si>
    <t>На Триколор ТВ работает, всё хорошо.</t>
  </si>
  <si>
    <t>27.07.2021 11:54</t>
  </si>
  <si>
    <t>Александр, вы оказались правы, у меня плохое и качество и сигнал, видимо во задела шнур, пошевилила и все норм, спасибо</t>
  </si>
  <si>
    <t>Всем здравствуйте, подскажите по телевидению в южке, к чему подключены?</t>
  </si>
  <si>
    <t>К тарелке триколор, дешевле выходит чем кабельное</t>
  </si>
  <si>
    <t>Алевтина Алевтинина</t>
  </si>
  <si>
    <t>Подслушано ЮЖНЫЙ ГОРОД</t>
  </si>
  <si>
    <t>27.07.2021 11:51</t>
  </si>
  <si>
    <t>Триколор, у меня есть эти каналы а что толку если гоните одно и тоже по кругу уже достали эти сваты сколько можно мусолить особенно надоела эта слепая она что выкупила канал целиком как ни включу все эта слепая уже достала кому надо дайте адрес ее сайта он наверника у нее есть и пусть лечатся задолбало</t>
  </si>
  <si>
    <t>Татьяна Родионова</t>
  </si>
  <si>
    <t>11:47</t>
  </si>
  <si>
    <t>Терминатор 2,американский пирог, вокруг света за 80 дней.</t>
  </si>
  <si>
    <t>Терминатор 2: Судный день, Американский пирог, Вокруг света за 80 дней</t>
  </si>
  <si>
    <t>27.07.2021 16:20</t>
  </si>
  <si>
    <t>Россияне по всей стране поддержали наших олимпийцев флешмобом. На этих Играх спортсмены выступают не под триколором, а</t>
  </si>
  <si>
    <t>у них там хоть интернет для этого есть?))</t>
  </si>
  <si>
    <t>Ева Медведева</t>
  </si>
  <si>
    <t>РИА Новости</t>
  </si>
  <si>
    <t>27.07.2021 11:43</t>
  </si>
  <si>
    <t>Привет всем... Может кто-то продаёт приёмник на триколор тв? Так как старый приёмник и он перестал работать, а в</t>
  </si>
  <si>
    <t>Там же вроде меняют старое на новое с доплатой. Мы доплачивали  2.500.</t>
  </si>
  <si>
    <t>Наташа Ванькова</t>
  </si>
  <si>
    <t>Подслушано  Злой Кудымкар</t>
  </si>
  <si>
    <t>Белоево</t>
  </si>
  <si>
    <t>Александр Собинин</t>
  </si>
  <si>
    <t>28.07.2021 03:53</t>
  </si>
  <si>
    <t>BarTon TA-561 Обзор приемника цифрового телевидения 2021</t>
  </si>
  <si>
    <t>Можно ли смотреть какийнебудь бесплатные каналы на триколор сибирь и как</t>
  </si>
  <si>
    <t>Сергей Трушин</t>
  </si>
  <si>
    <t>Николай Кулинкин</t>
  </si>
  <si>
    <t>11:34</t>
  </si>
  <si>
    <t>27.07.2021 11:34</t>
  </si>
  <si>
    <t>С триколором всегда беда</t>
  </si>
  <si>
    <t>Александр Федин</t>
  </si>
  <si>
    <t>11:25</t>
  </si>
  <si>
    <t>27.07.2021 11:26</t>
  </si>
  <si>
    <t>В настройках посмотрите силу и качество сигнала, может ветром или другим способом антенна сбилась.</t>
  </si>
  <si>
    <t>11:24</t>
  </si>
  <si>
    <t>27.07.2021 11:33</t>
  </si>
  <si>
    <t>27.07.2021 11:21</t>
  </si>
  <si>
    <t>Всем добрый день, скажите , а у всех с триколором беда??? Сигнал все время пропадает, хотя не дождя не туч‍♀️‍♀️‍♀️очень странно раньше никогда такого не было‍♀️‍♀️‍♀️</t>
  </si>
  <si>
    <t>11:18</t>
  </si>
  <si>
    <t>Терминатор, Американский пирог,  Вокруг света ща 80 дней. Вот только все комментарии видны и не надо знать эти фильмы, скопируй предыдущие ответы и все¡</t>
  </si>
  <si>
    <t>Игорь Потапов</t>
  </si>
  <si>
    <t>11:09</t>
  </si>
  <si>
    <t>27.07.2021 11:14</t>
  </si>
  <si>
    <t>11:08</t>
  </si>
  <si>
    <t>Терминатор 2,судный день. Американский пирог. Вокруг света за 80 дней</t>
  </si>
  <si>
    <t>Терминатор 2,
 Американский пирог,
 Вокруг света за 80 дней</t>
  </si>
  <si>
    <t>Вокруг света за 80 дней</t>
  </si>
  <si>
    <t>Рафиль Гатауллин</t>
  </si>
  <si>
    <t>Миасс</t>
  </si>
  <si>
    <t>Американский пирог</t>
  </si>
  <si>
    <t>Терминатор 2 судный день</t>
  </si>
  <si>
    <t>10:58</t>
  </si>
  <si>
    <t>Андрей, радио много добавте я помню обешали 100 шт</t>
  </si>
  <si>
    <t>10:55</t>
  </si>
  <si>
    <t>27.07.2021 10:55</t>
  </si>
  <si>
    <t>Сергей Орлов</t>
  </si>
  <si>
    <t>когда пришлети мои фильмы что писал давно пускай платный будут только оставляйте их на всегда</t>
  </si>
  <si>
    <t>10:50</t>
  </si>
  <si>
    <t>10:47</t>
  </si>
  <si>
    <t>Саша Чалый</t>
  </si>
  <si>
    <t>10:37</t>
  </si>
  <si>
    <t>27.07.2021 10:37</t>
  </si>
  <si>
    <t>Добрый день. Подскажите пожалуйста кто в Думиничах занимается Триколор ТВ(устранение неполадок) кроме Абрамова.Спасибо. Анонимно пожалуйста.</t>
  </si>
  <si>
    <t>Новости посёлка Думиничи и Думиничского района</t>
  </si>
  <si>
    <t>Думиничи</t>
  </si>
  <si>
    <t>27.07.2021 10:12</t>
  </si>
  <si>
    <t>В Токио уже стартовали Олимпийские игры и атлеты из России активно пополняют копилку сборной медалями!  Но зрители и</t>
  </si>
  <si>
    <t>Триколор, Кстати,а когда уже(я пользователь Трико тв более 10 лет) звонок на мой телефон с опросом рейтинга вещания каналов?</t>
  </si>
  <si>
    <t>10:04</t>
  </si>
  <si>
    <t>27.07.2021 10:04</t>
  </si>
  <si>
    <t>Триколор, МБ,но деньги берёте за просмотр фильмов безбожные! Юзер найдёт их за бесплатно в интернет!</t>
  </si>
  <si>
    <t>09:58</t>
  </si>
  <si>
    <t>27.07.2021 09:58</t>
  </si>
  <si>
    <t>Триколор, Я это слышал от вас уже не раз! Почему народ всё переходит в интернет?!</t>
  </si>
  <si>
    <t>«Наши руки не для скуки, а для того, чтобы...» – Женя Королёв поделился мыслями о том, как могут пригодиться навыки,</t>
  </si>
  <si>
    <t>Триколор, Нет,особенно с нецензурными вставками(не прилично приводить здесь в группе)! Подобные каналы не смотрю и фильмы !</t>
  </si>
  <si>
    <t>09:52</t>
  </si>
  <si>
    <t>27.07.2021 09:52</t>
  </si>
  <si>
    <t>Триколор, Ага! Скоро год,как моя заявка на Диско тв 80 висит у вас!</t>
  </si>
  <si>
    <t>09:51</t>
  </si>
  <si>
    <t>27.07.2021 13:04</t>
  </si>
  <si>
    <t>Спутниковое тв требует точно такого же оборудования как например Apple TV и другие подобные приставки. Если человек научился пользоваться триколором, то научиться пользоваться приставкой например от Ростелеком ему не составит труда</t>
  </si>
  <si>
    <t>Алим Иналов</t>
  </si>
  <si>
    <t>ЖК Румянцево Парк.Ремонт.</t>
  </si>
  <si>
    <t>09:50</t>
  </si>
  <si>
    <t>Андрей, Зачем?! Уже сейчас падает рейтинг и первого канала и второго(Россия)!</t>
  </si>
  <si>
    <t>Федеральный каналы исчезли и другие каналы исчезли после профилактики осталось онлайн каналы</t>
  </si>
  <si>
    <t>Андрей, источник вещания интернет выбрать, федеральные каналы не все будут, из-за решения правобладателя</t>
  </si>
  <si>
    <t>09:38</t>
  </si>
  <si>
    <t>29.07.2021 04:58</t>
  </si>
  <si>
    <t>Оплата пакетов триколор тв.</t>
  </si>
  <si>
    <t>artyes, если другие доп услуги и пакеты у вас сейчас не подключены , то деньги будут лежать на счету и через год спишутся на очередную абонплату по основному пакету, но лучше это проконтролируйте в ЛКА</t>
  </si>
  <si>
    <t>Drovosek</t>
  </si>
  <si>
    <t>Адыгея</t>
  </si>
  <si>
    <t>Майкоп</t>
  </si>
  <si>
    <t>09:35</t>
  </si>
  <si>
    <t>29.07.2021 02:00</t>
  </si>
  <si>
    <t>ТК. Пару недель назад Начали обзвон клиентов по телефонам указанным в регистрации, на предмет пользования / не пользования оборудования  
Что Это ?  началась чистка мертвых душ</t>
  </si>
  <si>
    <t>Netadmin</t>
  </si>
  <si>
    <t>09:34</t>
  </si>
  <si>
    <t>27.07.2021 09:35</t>
  </si>
  <si>
    <t>Видеонаблюдение от Ростелекома – это:  Управление через мобильное приложение из любой точки мира;  Прямая трансляция</t>
  </si>
  <si>
    <t>Спасибо Ростелекому за оперативное решение проблемы! Была на триколоре - то дождь, то снег, то профилактика. Билайн слетал на сутки, а то и двое. С Ростелекомом такое случилось первый раз за год и сразу сделали. Вы молодцы!!!</t>
  </si>
  <si>
    <t>Галина Ларионова</t>
  </si>
  <si>
    <t>Ростелеком</t>
  </si>
  <si>
    <t>27.07.2021 22:58</t>
  </si>
  <si>
    <t>Хороший адаптер, всё работает;!</t>
  </si>
  <si>
    <t>09:19</t>
  </si>
  <si>
    <t>27.07.2021 09:43</t>
  </si>
  <si>
    <t>CYBERPLAT (КИБЕРПЛАТ)</t>
  </si>
  <si>
    <t>Разобраться совсем несложно - Отзыв о CYBERPLAT (КИБЕРПЛАТ)
Сами понимаете, сколько разных платежей бывает. У нас в семье, например, это и коммуналка, и городской телефон, и телевидение Триколор дома и на даче, и мобильники всей всей семьи. Хотелось бы оплачивать все в одном месте, чтобы удобно было. Хорошо, что есть такая платежная книжка на сайте plat.ru отлично подходит. Через нее все эти услуги и оплачиваю, все удобнее, чем в банки ходить. Сама система эта очень простая и понятная, разобраться совсем несложно. Платежи в памяти сохраняются, всегда можно посмотреть. Ах да, чуть не забыла про самое главное – нет такого, что комиссия взымается реально за каждый чих.</t>
  </si>
  <si>
    <t>ru.otzyv.com</t>
  </si>
  <si>
    <t>Ребята, я случайно два раза подряд пакет единый оплатил 
Не подскажете оплата не следующий год останется или каки ето еще варианты</t>
  </si>
  <si>
    <t>artyes</t>
  </si>
  <si>
    <t>09:17</t>
  </si>
  <si>
    <t>27.07.2021 09:18</t>
  </si>
  <si>
    <t>Если не ошибаюсь,то речь была о том,что без единого нельзя подключить доп пакеты. У вас детский был подключен в момент когда единый был активен.</t>
  </si>
  <si>
    <t>Валерий Колесников</t>
  </si>
  <si>
    <t>Туапсе</t>
  </si>
  <si>
    <t>08:47</t>
  </si>
  <si>
    <t>27.07.2021 08:48</t>
  </si>
  <si>
    <t>Триколор
Около двух месяцев назад мне в данной  группе с упорством доказывали, что пакеты  подключаемые, дополнительно к единому  детский к примеру не работают без него.  Смотрим детский отдельно от единого. :)</t>
  </si>
  <si>
    <t>Репост</t>
  </si>
  <si>
    <t>Игорь Савин</t>
  </si>
  <si>
    <t>Жуковский</t>
  </si>
  <si>
    <t>28.07.2021 13:24</t>
  </si>
  <si>
    <t>Зачёт
Зачёт</t>
  </si>
  <si>
    <t>Ko4€vnik</t>
  </si>
  <si>
    <t>27.07.2021 08:45</t>
  </si>
  <si>
    <t>Удовлетворительно
v2.5.0</t>
  </si>
  <si>
    <t>Александр Дронов</t>
  </si>
  <si>
    <t>08:31</t>
  </si>
  <si>
    <t>27.07.2021 08:31</t>
  </si>
  <si>
    <t>Телеканалы Триколор ТВ, подскажите у меня так же пропали федеральные каналы но у меня точно не подключен приёмник к интернету, раньше всё прекрасно работало и резко всё пропало что я только не делала и обновление и поиск всё без результата.</t>
  </si>
  <si>
    <t>Ирина Гусева</t>
  </si>
  <si>
    <t>Ломоносов</t>
  </si>
  <si>
    <t>08:28</t>
  </si>
  <si>
    <t>Конвертор круговой (для Триколор, НТВ) на 2 вых., INVERTO</t>
  </si>
  <si>
    <t>Достоинства: Конвертер отличного качества, ловит сигнал отлично. 
Недостатки: Нет</t>
  </si>
  <si>
    <t>Михаил Т.</t>
  </si>
  <si>
    <t>07:57</t>
  </si>
  <si>
    <t>27.07.2021 12:56</t>
  </si>
  <si>
    <t>Триколор ТВ на телевизоре без спутниковой тарелки и приставки</t>
  </si>
  <si>
    <t>Возможно но думаю фраза " столько каналов или выходной день а смотреть нечего" вам знакома</t>
  </si>
  <si>
    <t>Klepa Klifford</t>
  </si>
  <si>
    <t>Интересное видео</t>
  </si>
  <si>
    <t>27.07.2021 12:54</t>
  </si>
  <si>
    <t>Телеканал «Наше» представляет цикл остросюжетных сериалов о майоре милиции Черкасове. В их основе – реальные уголовные</t>
  </si>
  <si>
    <t>Не у меня одного так у всех пользователей триколор, может вам следует запустить более мощный спутник чтобы сигнал был посельней почему у МТС тарелок нет такой проблемы у них антенны сильней наверно нет не стыдно вам.</t>
  </si>
  <si>
    <t>Александр (Латвия)</t>
  </si>
  <si>
    <t>Чаны</t>
  </si>
  <si>
    <t>07:42</t>
  </si>
  <si>
    <t>ДОМ ТВ</t>
  </si>
  <si>
    <t>Я в эту компанию приезжаю если есть проблемы с приставкой триколор ТВ, они являются их представителями, всегда решали мои вопросы, если надо производили ремонт приставки, ребята молодцы. Так же эта компания занимается видеонаблюдением, могут ответить на любой вопрос, где сразу чувствуется профессионализм. Так же у них можно приобрести системы видеонаблюдения, видеодомофоны и много чего ещё в этой области. Знаю их много лет, всем советую.</t>
  </si>
  <si>
    <t>Светлана Кадира</t>
  </si>
  <si>
    <t>07:08</t>
  </si>
  <si>
    <t>Сатфайндер, прибор для настройки спутниковых антенн SatFinder SF-04 (для настройки Триколор, НТВ, Телекарта и др.)</t>
  </si>
  <si>
    <t>Достоинства: Прост в использовании. 
Недостатки: нет
Настройка антены за 5-10 минут</t>
  </si>
  <si>
    <t>Евгений П.</t>
  </si>
  <si>
    <t>05:51</t>
  </si>
  <si>
    <t>27.07.2021 06:09</t>
  </si>
  <si>
    <t>Асса, сделай про триколор тв, мама работала оператором, это оч тяжёлая работа, зп - мизер.</t>
  </si>
  <si>
    <t>river sweet</t>
  </si>
  <si>
    <t>03:49</t>
  </si>
  <si>
    <t>27.07.2021 03:49</t>
  </si>
  <si>
    <t>Подскажите, отключили аналоговое, и у нас ТВ перестал показывать, а у нас кабельное от МТС, вызвали мастера, он принес</t>
  </si>
  <si>
    <t>Елена, максимум вернут за приобретение антенны, но с ней не ловит. Только с картой МТС, антенна триколор.  Но это дорого за установку и ежемесячная плата</t>
  </si>
  <si>
    <t>Елена Пермякова</t>
  </si>
  <si>
    <t>Спроси совета | Взаимопомощь | Резерв</t>
  </si>
  <si>
    <t>Нижний Тагил</t>
  </si>
  <si>
    <t>00:38</t>
  </si>
  <si>
    <t>27.07.2021 00:38</t>
  </si>
  <si>
    <t>добрый день! Проблемы с триколор тв GS B520, на экране только надпись нет сигнала и не показывает даже инфоканал,</t>
  </si>
  <si>
    <t>Александр, блок питания поменять</t>
  </si>
  <si>
    <t>Сергей Симонов</t>
  </si>
  <si>
    <t>Нижний Новгород</t>
  </si>
  <si>
    <t>Юрий, надо блок питания поменять и все</t>
  </si>
  <si>
    <t>27.07.2021 00:25</t>
  </si>
  <si>
    <t>Илья, Если есть интернет и хотя бы смартфон , то возможностей послушать радио вагон</t>
  </si>
  <si>
    <t>26.07.2021</t>
  </si>
  <si>
    <t>26.07.2021 23:30</t>
  </si>
  <si>
    <t>Нормальное приложение
v2.4.0</t>
  </si>
  <si>
    <t>Людмила Зиборова</t>
  </si>
  <si>
    <t>23:15</t>
  </si>
  <si>
    <t>26.07.2021 23:15</t>
  </si>
  <si>
    <t>Часть первая А что вы предпочитаете? НТВ!ПЛЮС ТРИКОЛОР ТВ МТС ТЕЛЕКАРТА Цифровое эфирное телевидение Кабельное</t>
  </si>
  <si>
    <t>Я купил лежит у меня теперь она не работают русские приложения</t>
  </si>
  <si>
    <t>Хотел подписку оплатить через приложение со счета телефона пополнил баланс и оба только с билайна можно оплатить а у меня мтс,а в приложении об этом ни слова и куда мне этот телефон засунуть теперь чтобы подписку продлить?...
v2.5.0</t>
  </si>
  <si>
    <t>Василий Тарасов</t>
  </si>
  <si>
    <t>26.07.2021 23:12</t>
  </si>
  <si>
    <t>Добрый день! Никто случайно пульт от приёмника Триколор не отдаёт/продаёт? Купили в Буденовце универсальный - не подошёл</t>
  </si>
  <si>
    <t>Если есть в телефоне ИК порт ,тоже вариант. Работает с пульта (как на второй картинке) и с телефона.</t>
  </si>
  <si>
    <t>Ольга Голубева</t>
  </si>
  <si>
    <t>23:07</t>
  </si>
  <si>
    <t>МТС вообще не вовремя полезла в спутниковое тв. Стартанула она бы вместе с триколором или нтв+ то про триколор никто бы никогда и не знал. Эпоха спутникового тв потихоньку уходит.... всегда ненавидел триколор за рекламу при переключении каналов и спонтанной рекламы пакетов посреди эфира .</t>
  </si>
  <si>
    <t>krab23051996</t>
  </si>
  <si>
    <t>23:06</t>
  </si>
  <si>
    <t>Телевизор SkyLine 40LT5900 40" (2019)</t>
  </si>
  <si>
    <t>Достоинства: Соотношение цена/качество максимальное.
- Звук достаточной громкости, 
- Изображение отличное,
- Управление и настройка удобные
Недостатки: - читал в отзывах, что цифровые каналы переключаются с заметной задержкой...
да, есть такая особенность, но задержка вполне терпимая. Например, при переключении каналов на триколоре ожидание картинки больше
- на пульте кнопки одинаковые, приходится читать надпись на них, чтобы нажать нужную
Протестировал только DTV</t>
  </si>
  <si>
    <t>Станислав К.</t>
  </si>
  <si>
    <t>26.07.2021 23:40</t>
  </si>
  <si>
    <t>Как оплатить Триколор ТВ через Сбербанк Онлайн</t>
  </si>
  <si>
    <t>Здравствуйте! Милая девушка, очень хорошо объяснила спасибо большое. А мне только нужно было только узнать как оплатить стандартные каналы.</t>
  </si>
  <si>
    <t>iuytrewq qwertyui</t>
  </si>
  <si>
    <t>Банковский</t>
  </si>
  <si>
    <t>27.07.2021 10:00</t>
  </si>
  <si>
    <t>ТРИКОЛОР ТВ Конвертор круговой (Триколор ТВ, НТВ) на 1 вых.</t>
  </si>
  <si>
    <t>Все подошло, доставлено быстро. Цена супер.</t>
  </si>
  <si>
    <t>Валентина</t>
  </si>
  <si>
    <t>Достоинства: цена
Недостатки: нечего</t>
  </si>
  <si>
    <t>Кирилл Д.</t>
  </si>
  <si>
    <t>26.07.2021 22:45</t>
  </si>
  <si>
    <t>Телеканалы Триколор ТВ, Если у меня нет тарелки, то чего делать?</t>
  </si>
  <si>
    <t>Андрей Евгеньевич</t>
  </si>
  <si>
    <t>Нерехта</t>
  </si>
  <si>
    <t>22:35</t>
  </si>
  <si>
    <t>Предлагаю относить к флудить комменты в которых сравнивается телевидение через интернет. Различные iptv , smart TV и прочее. Речь о СПУТНИКОВОМ ТЕЛЕВИДЕНИИ. Некорректно как то сравнивать спутник и интернет . Сравнивайте с триколором , НТВ+ , Телекартой. МТС оставил их всех позади , он самый лучший оператор на данный момент. Ни один из операторов спутникового ты не предоставляет такого контента за 3000 в год . Справедливости ради надо отметить что и у телекарты канады отличные , но на 4000 не тянут . А по акции просто гут.</t>
  </si>
  <si>
    <t>22:22</t>
  </si>
  <si>
    <t>26.07.2021 22:27</t>
  </si>
  <si>
    <t>Татьяна, попробуйте сбросить приёмник на заводские и заново просканировать каналы. У меня иногда тоже такое выходит. Но после этой процедуры проблемы сканирования исчезают. Сброс на завод это крайняя мера решения проблем.</t>
  </si>
  <si>
    <t>Андрей Валюнас</t>
  </si>
  <si>
    <t>Мокроус</t>
  </si>
  <si>
    <t>22:15</t>
  </si>
  <si>
    <t>26.07.2021 22:15</t>
  </si>
  <si>
    <t>А при чем здесь Триколор? Пульт должен подходить к ресиверу!!! То есть к приёмнику (для тех кто в танке, хотя и это пустое‍♂️‍♂️)!</t>
  </si>
  <si>
    <t>Валерий Огнев</t>
  </si>
  <si>
    <t>21:56</t>
  </si>
  <si>
    <t>26.07.2021 21:56</t>
  </si>
  <si>
    <t>Андроид приставка мекул к5</t>
  </si>
  <si>
    <t>26.07.2021 21:26</t>
  </si>
  <si>
    <t>Пожалуй, самый противоречивый напиток.</t>
  </si>
  <si>
    <t>Не правда для пожилых
« контакт» это жизнь !☝️
Освежили русский язык -раз!
Два -там есть разные темы , я, например, прочитываю -науку очень интересно
Да   Хоть что хотите
Чем тупо сидеть
И смотреть
Телевизор
Ну и телевизор тоже хорошо особенно триколор
Но, плохо то стонет физической нагрузки
Нет целеустремленности
Нет работы
Поэтому , сколько хватит сил, не бросайте работу
Работа это жизнь !
Конечно можно встать перед компом сделать
Цикл тай-чи или цигун
Это очень хорошо
Кстати не только пожилым но и молодежи
Но нужно двигаться , мыслить , работать!
Движение это жизнь</t>
  </si>
  <si>
    <t>Фаина Зайнуллина</t>
  </si>
  <si>
    <t>Science|Наука</t>
  </si>
  <si>
    <t>26.07.2021 21:18</t>
  </si>
  <si>
    <t>Моника Белуччи 10/10</t>
  </si>
  <si>
    <t>Про грабинг я всё знаю у меня друг установщик спутникового оборудования, триколором занимался и всем остальным что связано со спутниковым оборудованием. Мне тоже помогал с моей "ттц"))) не раз. А вброс этот понятно откуда берётся!</t>
  </si>
  <si>
    <t>Сергей Петров</t>
  </si>
  <si>
    <t>Мир красоты ✿ Макияж | Прически | Маникюр</t>
  </si>
  <si>
    <t>29.07.2021 05:45</t>
  </si>
  <si>
    <t>Ресиверы Триколор для отчета от 500руб.</t>
  </si>
  <si>
    <t>Партию получил, карты уже не в базе, оборудование исправно, спс</t>
  </si>
  <si>
    <t>21:08</t>
  </si>
  <si>
    <t>26.07.2021 21:09</t>
  </si>
  <si>
    <t>Здравствуйте, кто сможет завтра примерно в обед, установить триколор? ( переезд).</t>
  </si>
  <si>
    <t>Руслан, но это же наверное, крепление антенны, пробурить стену, прокладка кабеля. Не только покрутить тарелкой..</t>
  </si>
  <si>
    <t>Олег Афанасьев</t>
  </si>
  <si>
    <t>Подслушано в Гуково</t>
  </si>
  <si>
    <t>26.07.2021 21:25</t>
  </si>
  <si>
    <t>Илья Матвеев</t>
  </si>
  <si>
    <t>Архангельское</t>
  </si>
  <si>
    <t>26.07.2021 20:39</t>
  </si>
  <si>
    <t>Подключаешь, смотришь куда соседский смотрят антенны, напровляешь и ловишь двигая антенну.</t>
  </si>
  <si>
    <t>Руслан Абдукадыров</t>
  </si>
  <si>
    <t>Гуково</t>
  </si>
  <si>
    <t>20:35</t>
  </si>
  <si>
    <t>очень много рекламы - Отзывы о 3 колор ТВ</t>
  </si>
  <si>
    <t>такое ощущение что смотриш общественное телевидение нет комфорта просмотра триколор и с нас деньги берет и с рекламодателей делайте тогда бесплатно годовую подписку</t>
  </si>
  <si>
    <t>Гость</t>
  </si>
  <si>
    <t>otzyvru.com</t>
  </si>
  <si>
    <t>3 колор ТВ</t>
  </si>
  <si>
    <t>20:29</t>
  </si>
  <si>
    <t>27.07.2021 08:28</t>
  </si>
  <si>
    <t>Блок питания, сетевой адаптер 12V/2A 25 ватт (5,5x2,5 мм), универсальный: для триколор , роутеров, светодиодной ленты, модемов, тв-приставок, ресиверов, камер видеонаблюдения и т.д.</t>
  </si>
  <si>
    <t>Достоинства: нет
Недостатки: заявленную мощность не выдает. массажер не тянет. слабый контакт.
если нужна мощность то не вариант.</t>
  </si>
  <si>
    <t>Сергей А.</t>
  </si>
  <si>
    <t>26.07.2021 19:52</t>
  </si>
  <si>
    <t>Здравствуйте. Есть абоненты нтв+ здесь? Хочу перейти на этого оператора. Подскажите какой лучше всего взять приемник для</t>
  </si>
  <si>
    <t>Антон, они и HD почти все каналы убрали в Сибири и на ДВ. В итоге по данным самих же компаний у НТВ плюс число абонентов в Сибирском федеральном округе более 50 тысяч, у Триколора несколько лет назад было более полутора миллионов. По МТС статистики не знаю, но судя по тому, что их антенн намного больше, чем у Телекарты ( у которой к миллиону подбиралось), то  все у них в порядке. Впрочем, говорят, что у НТВ плюс традиционно немало абонентов в европейской части. А по стране около 12 миллионов у Триколора, около трёх у Телекарты (Орион-Экспресса) и по миллиону с лишним у МТС и НТВ плюс. Понятно, что данные самих компаний и весьма вероятно каждая из них считает и мертвых абонентов, не вносящих плату.</t>
  </si>
  <si>
    <t>19:02</t>
  </si>
  <si>
    <t>26.07.2021 19:07</t>
  </si>
  <si>
    <t>Добрый вечер. 3 дня подряд нет сигналов ни на одном канале. Спб, Лен. Обл. Выборгский район</t>
  </si>
  <si>
    <t>Галина Третьякова</t>
  </si>
  <si>
    <t>26.07.2021 19:08</t>
  </si>
  <si>
    <t>Вчера на #триколор оплатил #матчпремьер и посмотрел пару игр, а сегодня включаю "нет сигнала" пишет пришлось в настройках через интернет включить и стал нормально показывать. Куда то волна пропала..</t>
  </si>
  <si>
    <t>Аleksei</t>
  </si>
  <si>
    <t>26.07.2021 18:50</t>
  </si>
  <si>
    <t>Верните пожалуйста канал UFC тв   если это возможно конечно  спасибо</t>
  </si>
  <si>
    <t>Камиль Бердиев</t>
  </si>
  <si>
    <t>18:35</t>
  </si>
  <si>
    <t>26.07.2021 18:38</t>
  </si>
  <si>
    <t>#Саратов_Ищу_рекомендации #РК_Саратов Добрый вечер,подскажите ,нужен хороший интернет и телевидение(спутниковое)в</t>
  </si>
  <si>
    <t>Виктор, у меня и триколор есть ,интернет хотели подключить только он стоит 1000 рублейв месяц вообще цены у них</t>
  </si>
  <si>
    <t>Наталья Болотских</t>
  </si>
  <si>
    <t>Чёрный список Саратов  Энгельс</t>
  </si>
  <si>
    <t>26.07.2021 18:36</t>
  </si>
  <si>
    <t>ИНТЕРНЕТ СО СКОРОСТЬЮ СВЕТА Уважаемые жители города Новопавловска, у нас с Вами есть возможность провести</t>
  </si>
  <si>
    <t>Виктор, возможно, но за триколор я писала только относительно цены, а не качества, т.к. не сталкивалась с ним, но по цене узнавала</t>
  </si>
  <si>
    <t>Лина Евстратова</t>
  </si>
  <si>
    <t>НБ - Новопавловские Будни</t>
  </si>
  <si>
    <t>Коммаяк</t>
  </si>
  <si>
    <t>18:34</t>
  </si>
  <si>
    <t>Наталья, спутниковый инет триколора нужен там где обычный подключить нельзя. Я на вахте работал начальство подключало. Очень неплохо даже</t>
  </si>
  <si>
    <t>Виктор Морозный</t>
  </si>
  <si>
    <t>26.07.2021 18:35</t>
  </si>
  <si>
    <t>Лина, триколор для других целей, это спутниковый интернет. И для целей когда надо подключить его по воздуху он выручает огого)</t>
  </si>
  <si>
    <t>18:32</t>
  </si>
  <si>
    <t>26.07.2021 18:33</t>
  </si>
  <si>
    <t>Всем привет. Хочу предупредить желающих посетить дилерскую точку спутникового телевидения на Горького д.3. При всяких</t>
  </si>
  <si>
    <t>Автор, дайте конкретику: как обманули, чем? А вообще я б прежде чем нести менять сначала с триколором по телефону связался уточнил....</t>
  </si>
  <si>
    <t>Сарапул Где ГАИ Стоят (СГГС Official)</t>
  </si>
  <si>
    <t>18:31</t>
  </si>
  <si>
    <t>26.07.2021 18:32</t>
  </si>
  <si>
    <t>Василий, вариантов глючить у приёмника и без триколора может быть масса. Банально поврежденный кабель, плохой контакт у подключения, ненастроенная тарелка. А на месте горе-дилеры могут голову делать прошивать типа ресивер. А на деле надо было отключить и включить приставку</t>
  </si>
  <si>
    <t>26.07.2021 21:39</t>
  </si>
  <si>
    <t>Здравствуйте! На нашей платформе собрано более 200 различных каналов, которые предоставляют абонентам контент от лучших поставщиков. Мы также ведём постоянную работу по поиску интересного контента для пользователей и стараемся предложить нашим клиентам максимально комфортную стоимость услуг. На данный момент стоимость пакета каналов «Единый» составляет от 1500 р. в год. Ознакомиться с действующими предложениями подробнее можно на нашем сайте tricolor.tv.</t>
  </si>
  <si>
    <t>обмен оборудования на новое может быть эффективным решением тех. проблем. Со всеми действующими акциями по обмену можно ознакомиться на официальном сайте Триколора, в разделе "Акции и спецпредложения": [ссылка], мы стараемся предложить абонентам обмен на выгодных условиях. 
Рекламу при переключении каналов возможно отключить, пожалуйста, свяжитесь с нашими коллегами из Службы поддержки и опишите пожелания. Все доступные способы связи размещены на tricolor.tv в разделе «Помощь». 
Что касается ожидания после долгого простоя оборудования</t>
  </si>
  <si>
    <t>18:20</t>
  </si>
  <si>
    <t>Здравствуйте. Если вы испытываете трудности при пользовании услугами Триколора, пожалуйста, свяжитесь с нашей Службой поддержки и опишите детально проблему – наши коллеги сделают всё возможное, чтобы решить её. Все доступные способы связи размещены на tricolor.tv в разделе «Помощь».</t>
  </si>
  <si>
    <t>Здравствуйте. Дело в том, что описанная проблема часто встречается при неисправном приёмном оборудовании, и его замена на актуальное может быть эффективным решением. Рады, что проблема была решена!</t>
  </si>
  <si>
    <t>17:52</t>
  </si>
  <si>
    <t>26.07.2021 17:52</t>
  </si>
  <si>
    <t>Телевизоры</t>
  </si>
  <si>
    <t>Добрый день, подскажите пожалуйста в чем может быть причина, две недели назад приобрели телевизор Haier 50 Smart TV MX , подключили Триколор, но он периодически сам отключается на несколько секунд а потом включается ( сначала появляется окошко в правом верхнем углу Stingray TV 1080HD,  затем HDMI 1) а потом он отключается, сброс до заводских настроек ничего не дал</t>
  </si>
  <si>
    <t>Евгения Димитренко</t>
  </si>
  <si>
    <t>Haier Russia</t>
  </si>
  <si>
    <t>17:51</t>
  </si>
  <si>
    <t>26.07.2021 17:51</t>
  </si>
  <si>
    <t>Приставку цифрового тв брали в ДН@, уже второй раз за год она ломается. Меняют конечно без проблем. Но всё равно мало</t>
  </si>
  <si>
    <t>Как раз эти 20 каналов и нельзя смотреть, поэтому только триколор и нтв +.</t>
  </si>
  <si>
    <t>Марат Гирев</t>
  </si>
  <si>
    <t>Кумертау ЧЕРНЫЙ СПИСОК</t>
  </si>
  <si>
    <t>26.07.2021 18:02</t>
  </si>
  <si>
    <t>В Токио уже стартовали Олимпийские игры и атлеты из России активно пополняют копилку сборной медалями!  Олимпийский</t>
  </si>
  <si>
    <t>гимнастом планеты!
Следите за летними играми глазами спортсмена, погрузитесь в атмосферу соревнований и пройдите вместе весь путь к медалям. Все натурные съёмки будет вести сам Никита 
Первый выпуск ежедневной программы «Нагорный LIFE: Олимпийские хроники» выйдет в эфир телеканала «Спортивный» уже сегодня, 26 июля!
В онлайне проект можно смотреть в приложении «Триколор Кино и ТВ» на мобильных устройствах и Smart TV, а также на сайте kino.tricolor.tv</t>
  </si>
  <si>
    <t>design,presentation</t>
  </si>
  <si>
    <t>17:35</t>
  </si>
  <si>
    <t>26.07.2021 21:45</t>
  </si>
  <si>
    <t>назвал нашего героя лучшим гимнастом планеты!
Top Russian Gymnastics
Следите за летними играми глазами спортсмена, погрузитесь в атмосферу соревнований и пройдите вместе весь путь к медалям. Все натурные съёмки будет вести сам Никита 
Первый выпуск ежедневной программы «Нагорный LIFE: Олимпийские хроники» выйдет в эфир телеканала «Спортивный» уже сегодня, 26 июля!
В онлайне проект можно смотреть в приложении «Триколор Кино и ТВ» на мобильных устройствах и Smart TV, а также на сайте kino.tricolor.tv</t>
  </si>
  <si>
    <t>https://scontent.fiev10-1.fna.fbcdn.net/v/t1.6435-9/e15/q75/p960x960/220393984_4119243068129932_6403952346147227771_n.jpg?_nc_cat=109&amp;ccb=1-3&amp;_nc_sid=730e14&amp;_nc_ohc=5wJd58QjStYAX_iO020&amp;_nc_ad=z-m&amp;_nc_cid=0&amp;_nc_ht=scontent.fiev10-1.fna&amp;oh=e030eb8a78287a14b6dddf3165630528&amp;oe=61240F66</t>
  </si>
  <si>
    <t>26.07.2021 17:29</t>
  </si>
  <si>
    <t>Ну и где ваши евроспорты обещанные сегодня обновил их нету</t>
  </si>
  <si>
    <t>Евроспорты ни кто и не обещал  в триколоре.
Евроспорт 3-9  не запускались для  России.</t>
  </si>
  <si>
    <t>Дима Дроздов</t>
  </si>
  <si>
    <t>27.07.2021 22:29</t>
  </si>
  <si>
    <t>Триколор Цифровой эфирный приемник BarTon TH-562</t>
  </si>
  <si>
    <t>Добрый день! Благодарим за отзыв и высокую оценку! Не забудьте воспользоваться Триколор ID из комплекта и получить доступ к бонусам и специальным предложениям от Триколора! Скачайте приложение «Триколор Кино и ТВ», зарегистрируйтесь в нём и пользуйтесь бонусами уже сейчас, а ещё смотрите бесплатно фильмы и ТВ-каналы онлайн на 5 умных устройствах (смартфон, телевизор). Приятного просмотра!</t>
  </si>
  <si>
    <t>Представитель бренда Триколор</t>
  </si>
  <si>
    <t>26.07.2021 19:28</t>
  </si>
  <si>
    <t>Работает и ловит хорошо</t>
  </si>
  <si>
    <t>Юлия</t>
  </si>
  <si>
    <t>26.07.2021 20:14</t>
  </si>
  <si>
    <t>Написано тульт триколор! Не подходит или не работает!!!!</t>
  </si>
  <si>
    <t>17:12</t>
  </si>
  <si>
    <t>Сброс завод
Режим спутник - инет
Отсканировать заново каналы</t>
  </si>
  <si>
    <t>17:09</t>
  </si>
  <si>
    <t>Александра, 330 каналов будет в центре</t>
  </si>
  <si>
    <t>26.07.2021 17:09</t>
  </si>
  <si>
    <t>Нажимаете меню, потом настройки, затем мастер настройки. В нем самом верху режим работы приемника должно быть спутник и интернет, потом далее, проверяете подключение приемника к интернету, далее, оператор (либо центр, либо сибирь в зависимости где вы) продолжить, регион будет написан по вашему часовому поясу. И начать поиск. ВСЁ</t>
  </si>
  <si>
    <t>16:59</t>
  </si>
  <si>
    <t>Василий, к сожалению интернет тв не вариант,была бы возможность,вообще про спутник забыл) Приходится довольствоваться тем что есть.Вот с качеством картинки согласен)</t>
  </si>
  <si>
    <t>Олег Губарев</t>
  </si>
  <si>
    <t>16:56</t>
  </si>
  <si>
    <t>26.07.2021 16:56</t>
  </si>
  <si>
    <t>Олег, ну я ориентируюсь на спутник и онлайн Триколора с их 333 телеканалами в Сибири. Плюс связка онлайна и спутника позволяет архивы телепередач смотреть. А поскольку интернет у меня не всегда стабильный, то спутник в таких случаях даёт гарантию просмотра. У плюсов бесит малое количество HD и то, что на некоторых каналах картинку аж мылит на большом экране. Добавили бы HD цены бы не было, стали бы конкурентом МТС и Триколору.и</t>
  </si>
  <si>
    <t>16:48</t>
  </si>
  <si>
    <t>26.07.2021 16:48</t>
  </si>
  <si>
    <t>Интересные факты Скрытые онлайн каналы ТриколорТВ: 1) АОТВ - 804 кнопка (+6) 2) НВК Саха - 817 кнопка (+6,+7, +8,+9) 3)</t>
  </si>
  <si>
    <t>Если живёте в зоне приема Триколор Сибирь, то можно выставить якутское время, поставив прием сигнала со Спутник и интернет. Появляются дальневосточные каналы из интернета и сохранятся все настройки на прием со спутника. Просто плюс пять каналов будет. Видимо, связано с тем, что значительная часть Якутии и Амурской области находятся в зоне приема спутника Триколор Сибирь.</t>
  </si>
  <si>
    <t>26.07.2021 16:49</t>
  </si>
  <si>
    <t>Интересные факты На ТриколорТВ оказывается вещает канал Пятница HD, но доступен он через интернет на 16 кнопке. При этом</t>
  </si>
  <si>
    <t>Дмитрий, трико экономит намного меньше, чем НТВ плюс. Качество картинки у плюсов вообще на уровне конца нулевых.</t>
  </si>
  <si>
    <t>26.07.2021 16:44</t>
  </si>
  <si>
    <t>Ишлеи</t>
  </si>
  <si>
    <t>Максим, единственный, но жирный минус Триколора, практически нет функции архива на первых 20 каналах, а мы к этому привыкли и отвыкать не хочется. В Ростелекоме у меня к оплате за интернет прибавилось 200 руб. ежемесячно, архивация есть, так что всё очень неплохо. Если бы Триколор решил бы эту проблему, я бы вернулась к ним, но пока меня всё устраивает в Ростелекоме.</t>
  </si>
  <si>
    <t>Ольга Федорова</t>
  </si>
  <si>
    <t>Вести района / Чебоксарский район</t>
  </si>
  <si>
    <t>16:39</t>
  </si>
  <si>
    <t>26.07.2021 16:39</t>
  </si>
  <si>
    <t>Триколор, извиняюсь у нас оказывается был одна головка (конвектор) на двоих. За две антенны сори их вообще у нас 3. Короче сдох конвектор .извините меня ещё раз.</t>
  </si>
  <si>
    <t>Алексей Мансуров</t>
  </si>
  <si>
    <t>Василий, так каналами и на триколоре обделены)</t>
  </si>
  <si>
    <t>Олег, у Трико есть весь тот же Матч ТВ, включая футбол и Премьер за дополнительную оплату</t>
  </si>
  <si>
    <t>16:38</t>
  </si>
  <si>
    <t>Олег, вы явно из Сибири или с Дальнего Востока. На Западе такой лафы нет. Только уточняйте, что каналов меньше 150 и из них в HD, дай бог, штук восемь наберётся вместе с дополнительным спортивным пакетом.</t>
  </si>
  <si>
    <t>16:35</t>
  </si>
  <si>
    <t>Антон, самый шлак у НТВ плюс, затем МТС, но это компенсируется тем, что они продают и устанавливают свое оборудование почти за бесценок, Трико поинтереснее всех, хотя не без недостатков</t>
  </si>
  <si>
    <t>16:33</t>
  </si>
  <si>
    <t>Александр, там сложно выстроить каналы в нужный порядок. В этом смысле он менее удобен, чем приставка. И если для МТС его рекомендовать можно, чтобы смотреть каналы в 4к, то у НТВ плюс таковых нет и не предвидится.</t>
  </si>
  <si>
    <t>26.07.2021 16:19</t>
  </si>
  <si>
    <t>Телеканалы Триколор ТВ, а как выбрать режим спутник и интернет? У меня такая же проблема напишите пожалуйста по шагам как это поставить))</t>
  </si>
  <si>
    <t>Александра Алтуфьева</t>
  </si>
  <si>
    <t>26.07.2021 16:27</t>
  </si>
  <si>
    <t>евроспорт 1-9 перебор</t>
  </si>
  <si>
    <t>Женя Pulsedriver</t>
  </si>
  <si>
    <t>Касимов</t>
  </si>
  <si>
    <t>16:15</t>
  </si>
  <si>
    <t>26.07.2021 16:28</t>
  </si>
  <si>
    <t>Не понял, почему их так много , в обычном и HD</t>
  </si>
  <si>
    <t>sports,fun,presentation,games,competition,news,news conference,indoor games and sports,championship</t>
  </si>
  <si>
    <t>16:11</t>
  </si>
  <si>
    <t>26.07.2021 16:45</t>
  </si>
  <si>
    <t>Как регистрироваться!? Не понятно !!! Есть только две кнопки : Войти, Авторизоватся. Это одно и тоже! Но где эта кнопка "Регистрации"???
v2.5.0</t>
  </si>
  <si>
    <t>Ярик Молчанов</t>
  </si>
  <si>
    <t>26.07.2021 19:11</t>
  </si>
  <si>
    <t>Отличный пульт, всё работает. И дешевле чем в магазине в два раза. Спасибо!</t>
  </si>
  <si>
    <t>Елена</t>
  </si>
  <si>
    <t>26.07.2021 16:10</t>
  </si>
  <si>
    <t>как не включу Евроспорты так там то велогонки а в 4к который там как не включишь бильярд  Сетанта и пакет Скай спорт наверное самые лучшие , худший это Матч со своей рекламой Перри матч и 1x bet , вообще непонятно почему Матч рекламирует лохотроны</t>
  </si>
  <si>
    <t>01.08.2021 04:12</t>
  </si>
  <si>
    <t>Достоинства: я не нашел
Недостатки: не работает
не работает и не подключается,вай фай не видит.</t>
  </si>
  <si>
    <t>Игорь П.</t>
  </si>
  <si>
    <t>15:35</t>
  </si>
  <si>
    <t>26.07.2021 15:49</t>
  </si>
  <si>
    <t>Антенны разные, приставки тоже.</t>
  </si>
  <si>
    <t>А когда каналы появятся? Что за прикол. Пишет на экране нет сигнала. Не у меня не у соседа</t>
  </si>
  <si>
    <t>15:29</t>
  </si>
  <si>
    <t>26.07.2021 15:29</t>
  </si>
  <si>
    <t>Всем привет! Хочу купить себе спутниковую тарелку и ресивер какие посоветуете?</t>
  </si>
  <si>
    <t>Артём, точнее наоборот. Хотя бы потому, что спортивных телеканалов у Триколора больше.</t>
  </si>
  <si>
    <t>26.07.2021 15:27</t>
  </si>
  <si>
    <t>Михаил, если Охота за посредственное качество платить до трёх с лишним тысяч рублей в месяц, то НТВ плюс. Хотя самые бросовые пакеты у них можно из 200 подключить. Если важны Дискавери и Фокс рублей за 300-400 в месяц,ито МТС. Если хотите много каналов недорого, от 135 рублей в месяц и с архивом передач через интернет, подключенный к спутниковой приставке и с онлайн кинотеатром за те же деньги, то Триколор.</t>
  </si>
  <si>
    <t>Кто обещал? вам никто не обещал Евроспорты А вы где у видели?</t>
  </si>
  <si>
    <t>26.07.2021 15:20</t>
  </si>
  <si>
    <t>Eurosport 4k уже давно в Триколоре. Однако ваше приёмное оборудование должно поддерживать формат UHD. Обращайтесь в Триколор, у них сразу несколько вариантов обмена оборудования на 4к.</t>
  </si>
  <si>
    <t>15:18</t>
  </si>
  <si>
    <t>Не было новостей на счёт Eurosport 1 и Eurosport 2</t>
  </si>
  <si>
    <t>Юрий, или модуль полетел и его просто поменять надо</t>
  </si>
  <si>
    <t>15:17</t>
  </si>
  <si>
    <t>В триколоре конечно нет. А кто говорил что они в нем будут? А вот в английском sky их добавили. Все 9 каналов там теперь :)</t>
  </si>
  <si>
    <t>Дмитрий Смольский</t>
  </si>
  <si>
    <t>Запустите поиск и настройку каналов со спутника, не понятно, в чем проблема.</t>
  </si>
  <si>
    <t>27.07.2021 00:32</t>
  </si>
  <si>
    <t>Триколор Ресивер Триколор GS B626L с картой на 1 год (тариф 2500 руб. в год)</t>
  </si>
  <si>
    <t>Достоинства: Взяли по обмену, получилось бюджетно. Комплект поставки минималистичный: сама коробка, пульт, зарядка и небольшая бумажка с описанием. 
После подключения быстро настроился, все заработало с первой попытки. Иконки в меню крупные, все интуитивно понятно. Разобраться удалось без всяких проблем. Качеством довольна, картинка хорошая
Недостатки: Недостатков не нашла
Посмотрим как будет вести себя в процессе использования</t>
  </si>
  <si>
    <t>Вика Потапова</t>
  </si>
  <si>
    <t>15:09</t>
  </si>
  <si>
    <t>26.07.2021 15:10</t>
  </si>
  <si>
    <t>Кто обещал обещал Евроспорты ? тут неофициальная группа</t>
  </si>
  <si>
    <t>15:08</t>
  </si>
  <si>
    <t>Дмитрий Дубов</t>
  </si>
  <si>
    <t>Нея</t>
  </si>
  <si>
    <t>Здравствуйте, у меня САМ модуль Триколор оплачено до января 2021 г, недели 2 назад начал показывать 5 минут кажет затем пишет канал кодированный, затем снова кажет, может полчаса казать и снова кодирует, в тех поддержку звонил сказали что все нормально и все по-прежнему, раньше лет 5 работало всё нормально, что можно сделать? Уже думаю что не буду больше продлевать подписку.</t>
  </si>
  <si>
    <t>Борис Козьмин</t>
  </si>
  <si>
    <t>Забайкальский край</t>
  </si>
  <si>
    <t>Нерчинск</t>
  </si>
  <si>
    <t>Stas Mazaev</t>
  </si>
  <si>
    <t>26.07.2021 15:02</t>
  </si>
  <si>
    <t>Триколор, предложение для канала "Премиальное" покажите фильмы Скуби-Ду 3 и 4</t>
  </si>
  <si>
    <t>Илья Петров</t>
  </si>
  <si>
    <t>14:47</t>
  </si>
  <si>
    <t>26.07.2021 14:47</t>
  </si>
  <si>
    <t>Триколор, этот канал точно ваш, там провайдер написан "Триколор", да и ни у кого больше нет второй аудиодорожки в формате AC3, что готовится новый канал собственного производство или тестируете новые функции?</t>
  </si>
  <si>
    <t>26.07.2021 14:33</t>
  </si>
  <si>
    <t>хотел бы поинтересоваться, что за канал "test" находится на частоте 12360(могу ошибатся) находится через ручной поиск?</t>
  </si>
  <si>
    <t>14:27</t>
  </si>
  <si>
    <t>К GS E501не подошёл, включить получилось,но изображение стало розовым.возврат.</t>
  </si>
  <si>
    <t>monitor,personal computer,computer,display device,electronic device,screen,television,computer monitor,flat panel display,gadget,output device,desktop computer</t>
  </si>
  <si>
    <t>26.07.2021 14:13</t>
  </si>
  <si>
    <t>Nikolay, однотипные у вас методички. Кто меня доит? Абонентку плачу, по 3-м договорам. 2 модуль Ci+, 1 приёмник древний. 1-ый договор с 2007 года, тарелка 90см на даче, не показывает только в лютую непогоду. 3-й приёмник за 14 лет, один в грозу сгорел, отслужил лет 6, второй спёрли нехорошие люди. Раз в 5 лет можно и поменять. Модули с 14-го года, ни разу вообще проблем не было.
P. S. Тыж телефон меняешь раз в 2-3 года, значит и тебя доят! Или ты до сих пор с nokia 3310?</t>
  </si>
  <si>
    <t>Димон Курозин</t>
  </si>
  <si>
    <t>14:10</t>
  </si>
  <si>
    <t>27.07.2021 00:52</t>
  </si>
  <si>
    <t>Ресивер Триколор GS B528 (Единый 1 500р./год)</t>
  </si>
  <si>
    <t>Достоинства: цена и скорость регистрации 
Недостатки: нет
Всё очень хорошо и цена супер</t>
  </si>
  <si>
    <t>14:08</t>
  </si>
  <si>
    <t>Nikolay, так претензии к Путину, он данные коммерческие каналы превратил в обязательные общедоступные правила  вещания  которых прописаны   федеральным законом. Хотя задолго до этого пакет посыпался, хозяев каналов перестали устраивать условия .</t>
  </si>
  <si>
    <t>Александр Пугачёв</t>
  </si>
  <si>
    <t>14:00</t>
  </si>
  <si>
    <t>27.07.2021 08:59</t>
  </si>
  <si>
    <t>HUAYU Пульт Huayu B212 для спутниковых приставок Триколор ТВ (для всех приставок)</t>
  </si>
  <si>
    <t>27.07.2021 01:37</t>
  </si>
  <si>
    <t>Полка WS Настенная Прямая WS-1, 185х65х45 см, 1 шт.</t>
  </si>
  <si>
    <t>хорошая полочка.Но для приставки триколор конечно маловата.Пришлось клеить на двухсторонний скорч,чтобы держалось</t>
  </si>
  <si>
    <t>Анастасия Л.</t>
  </si>
  <si>
    <t>13:38</t>
  </si>
  <si>
    <t>26.07.2021 13:45</t>
  </si>
  <si>
    <t>Само по себе приложение удобное, но есть маленький "нюанс": при оплате услуг через приложение в нём предустановлен автоплатеж! Оно не только запоминает данные карты, но и списывает деньги, пользуясь невнимательностью клиента! Я так попалась! Автоплатеж я точно не подключала, но деньги списали! Будьте внимательны!!!!
v2.5.0</t>
  </si>
  <si>
    <t>Аленка Караулова</t>
  </si>
  <si>
    <t>27.07.2021 02:19</t>
  </si>
  <si>
    <t>Хорошее ,качественное и быстрое обслуживание , вежливые  и квалифицированные специалисты. Всё сделано быстро и в сроки, очень довольны !!! Спасибо вам!</t>
  </si>
  <si>
    <t>Илья Ч.</t>
  </si>
  <si>
    <t>Владимирская область</t>
  </si>
  <si>
    <t>Владимир</t>
  </si>
  <si>
    <t>26.07.2021 13:34</t>
  </si>
  <si>
    <t>Если ближайшие дни не добавите канал, я возьму и сломаю, мне уже надоело ждать обещание)</t>
  </si>
  <si>
    <t>Вера Алексеевна</t>
  </si>
  <si>
    <t>13:26</t>
  </si>
  <si>
    <t>Лучше бы феникс плюс кино добавили в Сибири, было лучше, а так смотреть совсем ничего) возьму и сломаю приёмник и платить не буду. Ясно вам?</t>
  </si>
  <si>
    <t>26.07.2021 13:12</t>
  </si>
  <si>
    <t>Лучше нового может быть только новое за полцены  Меняй свой старый приёмник за 1999 рублей при подключении на год</t>
  </si>
  <si>
    <t>Все хорошо в этом обмене, кроме отсутствия доставки по городу. Ну, действительно, почему я должен тратить час на то, чтобы доехать до салона и столько же назад? Причем с опасностью угодить в пробку</t>
  </si>
  <si>
    <t>12:39</t>
  </si>
  <si>
    <t>26.07.2021 12:42</t>
  </si>
  <si>
    <t>Сергей, как вы считали и учитываете ли телеканалы, вещающие в составе Триколора онлайн? И да, у кого из спутниковых операторов их больше в HD и тем в в 4к?</t>
  </si>
  <si>
    <t>12:37</t>
  </si>
  <si>
    <t>27.07.2021 18:33</t>
  </si>
  <si>
    <t>Беспроводной WI-FI USB Адаптер с антенной для Windows и Mac MRM-POWER W05 (5 dBi, MTK7601, 802.11n, 300Мбит, USB 2.0, 2.4Ггц), черный</t>
  </si>
  <si>
    <t>Достоинства: нет
Недостатки: не работает 
брал для триколор, ресивер адаптер не видит, пробовал параметры вводить в ручную бесполезно, так же пробовал на двух телевизорах они тоже не видят его, наверное брак, сделал возврат всё нормально, рекомендовать не могу, может и фирма и адаптер хорошие но наверное не повезло.</t>
  </si>
  <si>
    <t>Виктор Я.</t>
  </si>
  <si>
    <t>electronic device,gadget</t>
  </si>
  <si>
    <t>26.07.2021 20:16</t>
  </si>
  <si>
    <t>Комплект спутникового телевидения Триколор с ресивером GS B622L + подписка 7 дней(Центр, Единый Мульти Лайт 1500 руб./год)</t>
  </si>
  <si>
    <t>Достоинства: Качество
Недостатки: дороговато
Покупали на дачу,супер качество,много каналов,ни каких сбоев.При установке пришлось помучаться,что бы тарелку настроить,около часа крутила по 1 см,то в стороны то вверх вниз и наконец то нашлась связь...И вауля .Помошники триколора очень помогали в любом вопросе и как у них хватало терпения.Медаль им .И большое спасибо.</t>
  </si>
  <si>
    <t>Екатерина Б.</t>
  </si>
  <si>
    <t>26.07.2021 12:35</t>
  </si>
  <si>
    <t>Ещё новое онлай радио опять европейское наши позор не у меют лентяи что говорит стыд</t>
  </si>
  <si>
    <t>26.07.2021 12:51</t>
  </si>
  <si>
    <t>Обратите внимание у него на подписки единый до24.07.21г,а детский до8.11.21г поэтому и показывает.</t>
  </si>
  <si>
    <t>Виктор Пищев</t>
  </si>
  <si>
    <t>26.07.2021 21:12</t>
  </si>
  <si>
    <t>Достоинства: Цена
Недостатки: Нет
Работает хорошо.</t>
  </si>
  <si>
    <t>Виктор Ч.</t>
  </si>
  <si>
    <t>26.07.2021 12:30</t>
  </si>
  <si>
    <t>а нечего обижаться на недовольство людей имеем право мы платим а за это получаем всякую чушь рекламы задолбали фильмы крутите по кругу одно и тоже как же надоели эти бесконечные сериалы типа сваты каменская сколько можно их смотреть надоело столько много хороших фильмов а мы смотрим одно и тоже имейте совесть</t>
  </si>
  <si>
    <t>Достоинства: работает
Недостатки: нет
брал для приставки триколор подошла все работает.</t>
  </si>
  <si>
    <t>Казаков Александр</t>
  </si>
  <si>
    <t>26.07.2021 11:24</t>
  </si>
  <si>
    <t>Триколор, Что толку вам писать!</t>
  </si>
  <si>
    <t>Сергей Мостов</t>
  </si>
  <si>
    <t>11:23</t>
  </si>
  <si>
    <t>Конвертор спутниковый GI-301 круговой поляризации с F разъёмами (для Триколор ТВ и НТВ-Плюс)</t>
  </si>
  <si>
    <t>При установки моментально поймал сигнал, в дождливую погоду работает без помех, при сильном ветре тоже хорошо работает. Заказ пришёл в полном комплекте.</t>
  </si>
  <si>
    <t>Анна З.</t>
  </si>
  <si>
    <t>26.07.2021 11:45</t>
  </si>
  <si>
    <t>Всё предельно ясно
v2.5.0</t>
  </si>
  <si>
    <t>Артикрон Васерчук</t>
  </si>
  <si>
    <t>26.07.2021 11:20</t>
  </si>
  <si>
    <t>Рустам, понял, спасибо. В любом случае, у меня уже Триколор на 2 года оплачен. Через пару лет подумаю, спасибо!</t>
  </si>
  <si>
    <t>Вадим Меннегалеев</t>
  </si>
  <si>
    <t>Сарапул</t>
  </si>
  <si>
    <t>Очень удобно и понятно!
v2.5.0</t>
  </si>
  <si>
    <t>Светлана Табакова</t>
  </si>
  <si>
    <t>26.07.2021 17:19</t>
  </si>
  <si>
    <t>Вопросы и пожелания оператору Триколор ТВ</t>
  </si>
  <si>
    <t>Канал Рен тв  в HD формате хотел бы увидеть на 36 борту. Жалко что на двух крупных сат провайдерах России нет этого канала в высоком разрешении!!!</t>
  </si>
  <si>
    <t>Gerg1989</t>
  </si>
  <si>
    <t>11:07</t>
  </si>
  <si>
    <t>26.07.2021 11:07</t>
  </si>
  <si>
    <t>Рустам, и да, спасибо, уже не надо. У меня теперь Триколор на 2 года вперёд оплачен...</t>
  </si>
  <si>
    <t>10:57</t>
  </si>
  <si>
    <t>26.07.2021 11:08</t>
  </si>
  <si>
    <t>2021 год, в формате SD 80% каналов.....</t>
  </si>
  <si>
    <t>10:44</t>
  </si>
  <si>
    <t>26.07.2021 10:52</t>
  </si>
  <si>
    <t>Любой дополнительный пакет оплаченный на год будет работать и без основного пакета.</t>
  </si>
  <si>
    <t>Дмитрий Громов</t>
  </si>
  <si>
    <t>Вышний Волочёк</t>
  </si>
  <si>
    <t>10:27</t>
  </si>
  <si>
    <t>26.07.2021 10:31</t>
  </si>
  <si>
    <t>Андрей, нет, нет, вот этого не надо. Смотрите свои колхозные каналы на цифровом ТВ.</t>
  </si>
  <si>
    <t>Игорь Кунгурцев</t>
  </si>
  <si>
    <t>Гомельская область</t>
  </si>
  <si>
    <t>Гомель</t>
  </si>
  <si>
    <t>26.07.2021 10:21</t>
  </si>
  <si>
    <t>Пожалуйста Триколор тв добавляйте больше региональных каналов и тогда число абонентов возрастет в разы .....добавьте Рифей Пермь, Мэтр тв из Йошкар-олы, девятка тв из Кирова</t>
  </si>
  <si>
    <t>Андрей Пермяков</t>
  </si>
  <si>
    <t>26.07.2021 10:10</t>
  </si>
  <si>
    <t>у меня триколор тв не робил утром</t>
  </si>
  <si>
    <t>Анатолий Петухов</t>
  </si>
  <si>
    <t>ЯЖеМать</t>
  </si>
  <si>
    <t>10:08</t>
  </si>
  <si>
    <t>26.07.2021 10:11</t>
  </si>
  <si>
    <t>Устали листать все каналы</t>
  </si>
  <si>
    <t>26.07.2021 10:08</t>
  </si>
  <si>
    <t>Очень просим радио добавте пожалуйста на триколор онлайн раздел побыстрее</t>
  </si>
  <si>
    <t>10:07</t>
  </si>
  <si>
    <t>26.07.2021 10:16</t>
  </si>
  <si>
    <t>С новой ценой новые возможности! Пакет «Детский» стал ещё больше и интереснее!
 21 телеканал с развлекательными передачами и мультфильмами для ваших детей
 Огромная онлайн-библиотека историй о любимых героях
 Возможность смотреть онлайн на пяти устройствах с одного Триколор ID.
И всё это по цене 1500 руб/год или 250 руб/месяц 
Подробности на сайте: https://ok.me/AFWj</t>
  </si>
  <si>
    <t>вы еще цену на детский подымите придурки!!!!</t>
  </si>
  <si>
    <t>Алексей Михайлов</t>
  </si>
  <si>
    <t>10:06</t>
  </si>
  <si>
    <t>С новой ценой новые возможности! Пакет «Детский» стал ещё больше и интереснее!
 21 телеканал с развлекательными передачами и мультфильмами для ваших детей
 Огромная онлайн-библиотека историй о любимых героях
 Возможность смотреть онлайн на пяти устройствах с одного Триколор ID.
И всё это по цене 1500 руб/год или 250 руб/месяц 
Подробности на сайте: https://clck.ru/VyEhY</t>
  </si>
  <si>
    <t>https://scontent-hel3-1.xx.fbcdn.net/v/t1.6435-9/p960x960/224487373_4118281661559406_754280403689055678_n.png?_nc_cat=102&amp;ccb=1-3&amp;_nc_sid=730e14&amp;_nc_ohc=at8ctqFhPbAAX9mHG-y&amp;_nc_ad=z-m&amp;_nc_cid=0&amp;_nc_ht=scontent-hel3-1.xx&amp;_nc_rmd=160&amp;oh=b6511940ea47b7f2f26f7b165cc7d4cf&amp;oe=61235772</t>
  </si>
  <si>
    <t>09:39</t>
  </si>
  <si>
    <t>26.07.2021 09:39</t>
  </si>
  <si>
    <t>Скажите пожалуйста,как у кого ловит теле 2 интернет,это же просто капец что ,за что деньги платим? Говно как говорят и в</t>
  </si>
  <si>
    <t>теле2 мобилный интернет в верещагино около 20 мегабит в сек. высокая скорость круглосуточно. я смотрю триколор тв по мобильному интернету без зависаний.</t>
  </si>
  <si>
    <t>Илья Годунов</t>
  </si>
  <si>
    <t>Подслушано Верещагино</t>
  </si>
  <si>
    <t>08:23</t>
  </si>
  <si>
    <t>26.07.2021 08:30</t>
  </si>
  <si>
    <t>Автору видать повезло. У меня год назад при окончании действия единого просмотр детского прекратился, пока не была продлена подписка. Потому теперь нет ни детского ни единого</t>
  </si>
  <si>
    <t>08:10</t>
  </si>
  <si>
    <t>26.07.2021 19:39</t>
  </si>
  <si>
    <t>Rexant Пульт для ресиверов Триколор ТВ</t>
  </si>
  <si>
    <t>Спасибо,подошел</t>
  </si>
  <si>
    <t>Лариса</t>
  </si>
  <si>
    <t>26.07.2021 07:47</t>
  </si>
  <si>
    <t>Вобще отстой фильмы необновляются,канылы дублируются, стрёмные сериалы бесплатно смотреть нехочеся,за что мы вам платим непонятно</t>
  </si>
  <si>
    <t>Виталий Перлов</t>
  </si>
  <si>
    <t>26.07.2021 08:36</t>
  </si>
  <si>
    <t>Посмотрел на сайте триколора. Безлимит там.
Да и у многих сотовых операторов безлимитный интернет за вменяемые деньги.</t>
  </si>
  <si>
    <t>07:37</t>
  </si>
  <si>
    <t>26.07.2021 19:38</t>
  </si>
  <si>
    <t>Easy Tech Пульт Умный дом</t>
  </si>
  <si>
    <t>Пульт хороший, легко настраивается. Управляю телевизорном, триколором и кондиционером. Можно подключить и управлять через Алису от Яндекс, можно также управлять через своё фирменное приложение. Работает исправно.</t>
  </si>
  <si>
    <t>Муслим</t>
  </si>
  <si>
    <t>07:25</t>
  </si>
  <si>
    <t>27.07.2021 09:49</t>
  </si>
  <si>
    <t>Стало намного лучше
Действительно стало работать шустрее</t>
  </si>
  <si>
    <t>WiEkS2107</t>
  </si>
  <si>
    <t>26.07.2021 07:07</t>
  </si>
  <si>
    <t>Во первых , ни что не вечно 
Во вторых , глюк на клюке у них всё 
.
Сам смотрел все каналы неделю с лишним через трико онлайн</t>
  </si>
  <si>
    <t>06:40</t>
  </si>
  <si>
    <t>26.07.2021 19:33</t>
  </si>
  <si>
    <t>Оплата пакетов в триколор Тв</t>
  </si>
  <si>
    <t>Rasul Urusov, Потому что детский это дополнительный пакет и без основного он не работает!</t>
  </si>
  <si>
    <t>Алексей Смирнов</t>
  </si>
  <si>
    <t>Ответы@Mail.Ru: Все категории &gt; Прочие услуги</t>
  </si>
  <si>
    <t>Зачем основной пакет оплачивать, если мне нужен только детский</t>
  </si>
  <si>
    <t>Rasul Urusov</t>
  </si>
  <si>
    <t>06:38</t>
  </si>
  <si>
    <t>Сначала надо оплатить основной пакет!</t>
  </si>
  <si>
    <t>06:36</t>
  </si>
  <si>
    <t>Нажимаю оплатить пакет детский, выходии галочка, но не появляется в оплаченных и не списываются деньги шо делать?</t>
  </si>
  <si>
    <t>05:42</t>
  </si>
  <si>
    <t>26.07.2021 05:51</t>
  </si>
  <si>
    <t>Николай приёмником пользуюсь с 2018 какой каждый год</t>
  </si>
  <si>
    <t>04:26</t>
  </si>
  <si>
    <t>26.07.2021 05:04</t>
  </si>
  <si>
    <t>Удобный кабинет, легко пользуюсь, Круто
v2.5.0</t>
  </si>
  <si>
    <t>Михаил Логутенко</t>
  </si>
  <si>
    <t>01:55</t>
  </si>
  <si>
    <t>26.07.2021 01:55</t>
  </si>
  <si>
    <t>Никаких тревожных звонков от соседей в отпуске! Установите сервис «Триколор Умный дом»: датчики протечки реагируют на</t>
  </si>
  <si>
    <t>Лет десять назад такое было, реклама при переключении - всех достала, убрали, решили сейчас снова на старые грабли наступать? Да, ребята, далеко пойдете....</t>
  </si>
  <si>
    <t>Сергей Иванов</t>
  </si>
  <si>
    <t>01:44</t>
  </si>
  <si>
    <t>26.07.2021 01:44</t>
  </si>
  <si>
    <t>. Ставлю чистый VTi 14.06 (как наиболее стабильно работающий с модулями Триколор) и получаю нормальную работу HD и UHD каналов (по крайней мере Промо), а так же доступность сетевых ресурсов. Но даже здесь, просто при фоновом просмотре ТВ, без переключения каналов или даже копания в меню, один раз отключился модуль Триколоровский и подключить "передёргиванием" не ...
https://gisclub.tv/vu-zero-4k-obsuzhdenie/vu-zero-4k/msg615600/#msg615600</t>
  </si>
  <si>
    <t>Это лохотрон,а не триколор.
Выкинул в помойку весь комплект</t>
  </si>
  <si>
    <t>Nikolay Lushev</t>
  </si>
  <si>
    <t>01:28</t>
  </si>
  <si>
    <t>26.07.2021 01:28</t>
  </si>
  <si>
    <t>Около двух месяцев назад мне в данной  группе с упорством доказывали, что пакеты  подключаемые, дополнительно к единому  детский к примеру не работают без него.  Смотрим детский отдельно от единого. :)
Триколор</t>
  </si>
  <si>
    <t>25.07.2021</t>
  </si>
  <si>
    <t>23:46</t>
  </si>
  <si>
    <t>25.07.2021 23:49</t>
  </si>
  <si>
    <t>Из программы Соловьева есть ещё кто-нибудь в депутаты? Или уже все туда идут?</t>
  </si>
  <si>
    <t>Я без понятия, я давно за ним слежу без ТВ из-за того что меня разозлило его отношение к южной Америке , я лет шесть минимум триколор не оплачиваю и соответственно не в курсе что там на ТВ</t>
  </si>
  <si>
    <t>¶¯ ...</t>
  </si>
  <si>
    <t>Чат RT на русском</t>
  </si>
  <si>
    <t>23:25</t>
  </si>
  <si>
    <t>25.07.2021 23:25</t>
  </si>
  <si>
    <t>Тоже поставил этот имидж - CI+ запустился на Триколоре, но, почему-то часть каналов не открывается:- Первый HD- HTB HD- THT HDПодробно не было времени изучать вопрос почему.Wicardd при множестве попыток разных - не пошёл...Мишин скин FullHDLine встал, вроде, нормально.
Zgemma H9 Combo 4K &amp; Zgemma H9 Twin 4K (Общие вопросы) Часть 2
https://gisclub.tv/zgemma-4k/zgemma-h9-combo-4k-zgemma-h9-twin-4k-(obschie-voprosy)-chast-2/msg615599/#msg615599</t>
  </si>
  <si>
    <t>25.07.2021 23:16</t>
  </si>
  <si>
    <t>Илья, зачем вам радио?</t>
  </si>
  <si>
    <t>26.07.2021 07:22</t>
  </si>
  <si>
    <t>Брала блок питания для массажной полушки, подошло, все работает отлично. Упаковано хорошо  в отдельной коробочке. Спасибо.</t>
  </si>
  <si>
    <t>Татьяна</t>
  </si>
  <si>
    <t>22:48</t>
  </si>
  <si>
    <t>26.07.2021 03:00</t>
  </si>
  <si>
    <t>Только у Мейта так?</t>
  </si>
  <si>
    <t>нет, отт навигатор тоже, а например триколор тв установилось..</t>
  </si>
  <si>
    <t>Kerbala</t>
  </si>
  <si>
    <t>TiviMate Chat</t>
  </si>
  <si>
    <t>26.07.2021 09:10</t>
  </si>
  <si>
    <t>Расскажу вам свою историю. Телевизоры себе в дом выбирал с помощью этого раздела, спасибо большое за помощь в выборе и за подсказки в момент скидок!!! Было куплено два телевизора Samsung QE55Q87TAU и Samsung QE65Q90TAU. Оба телевизора мне понравились. Я бы не сказал, что качеством изображения они кардинально отличаются, особенно если смотреть спутниковое Триколор. Но сегодня младшая модель (QE55Q87TAU) немного разочаровала, на экране появилась вертикальная полоса (по всей высоте экрана) шириной один пиксель. Если включить тестовые картинки</t>
  </si>
  <si>
    <t>Atorin-16</t>
  </si>
  <si>
    <t>26.07.2021 00:43</t>
  </si>
  <si>
    <t>Full HD Телевизор BQ 4202B 42"</t>
  </si>
  <si>
    <t>Достоинства: Отличный телевизор для своей цены, нелохой звук, хорошее изображение, отличный запас яркости
Недостатки: Пульт управления работает одновременно и с телевизором, и с приставкой триколор
Покупал бабушке на день рождения, немного поворчала, но в целом осталась давольна</t>
  </si>
  <si>
    <t>25.07.2021 22:11</t>
  </si>
  <si>
    <t>Я думал их закрылиЯ телек давно не смотрю, хоть у меня и тарелка висит Триколор...</t>
  </si>
  <si>
    <t>GLED</t>
  </si>
  <si>
    <t>Мурка.</t>
  </si>
  <si>
    <t>25.07.2021 21:28</t>
  </si>
  <si>
    <t>Невозможно просто регистрацию пройти даже,идиотизм и нервотрепка а не приложение.Сделайте настройки понятными
v2.5.0</t>
  </si>
  <si>
    <t>Murad Avtury</t>
  </si>
  <si>
    <t>20:59</t>
  </si>
  <si>
    <t>25.07.2021 21:00</t>
  </si>
  <si>
    <t>Смотрите матч «Кубань» vs «Велес» на Яндекс Эфире и Триколор ТВ! ⚽ Начало прямой трансляции в 19:50 (Московское</t>
  </si>
  <si>
    <t>Евгений, Это не самый худший из местных...</t>
  </si>
  <si>
    <t>Вячеслав Никаноров</t>
  </si>
  <si>
    <t>ФК «Велес»</t>
  </si>
  <si>
    <t>20:56</t>
  </si>
  <si>
    <t>25.07.2021 21:41</t>
  </si>
  <si>
    <t>смотрел я тв, нет там России, я почему и спросил что случилось</t>
  </si>
  <si>
    <t>Ничего не не смотрел. раз не видел триколора.Как а надписи russian olympic committee</t>
  </si>
  <si>
    <t>Александр Лукашенко</t>
  </si>
  <si>
    <t>Типичный Чат</t>
  </si>
  <si>
    <t>25.07.2021 20:53</t>
  </si>
  <si>
    <t>Евгений, ++++</t>
  </si>
  <si>
    <t>Туран Касумов</t>
  </si>
  <si>
    <t>Домодедово</t>
  </si>
  <si>
    <t>20:33</t>
  </si>
  <si>
    <t>26.07.2021 01:53</t>
  </si>
  <si>
    <t>ТВ-тюнер World Vision T62D</t>
  </si>
  <si>
    <t>Достоинства: Приобрели на замену триколору. Очень довольны. Качество показа Отличное! Это уже вторая приставка на второй телевизор. У меня высвечивается 525 каналов, понятно, что какие то настраиваются, а какие то нет. Количество работающих каналов большое. Есть редактор каналов, очень удобный. 
Недостатки: Недостатков нет</t>
  </si>
  <si>
    <t>Элина Э.</t>
  </si>
  <si>
    <t>digital clock,clock</t>
  </si>
  <si>
    <t>25.07.2021 20:31</t>
  </si>
  <si>
    <t>Можно ли оплачивать пакет Единый помесячно или поквартально?</t>
  </si>
  <si>
    <t>Тамара Гуцол</t>
  </si>
  <si>
    <t>20:20</t>
  </si>
  <si>
    <t>25.07.2021 20:21</t>
  </si>
  <si>
    <t>ТОВАРИЩИ, подскажите, сигнал цифрового ТВ у всех плохо ловит (пишет что слабый сигнал), или только на Ленинградском</t>
  </si>
  <si>
    <t>Ставьте спутник если есть возможность .боролся с цифрой второй пакет идет через раз поставил триколор и забыл абонентка 1500 год</t>
  </si>
  <si>
    <t>Олег Кожемякин</t>
  </si>
  <si>
    <t>Васкелово и окрестности. Forever!</t>
  </si>
  <si>
    <t>25.07.2021 20:01</t>
  </si>
  <si>
    <t>У меня 4 онлайн радио все иностранные</t>
  </si>
  <si>
    <t>25.07.2021 20:00</t>
  </si>
  <si>
    <t>Спасибо Европе что русские радио есть на смарт тв лджи выпуск 2021 то русские не умеют делать приложение</t>
  </si>
  <si>
    <t>25.07.2021 20:09</t>
  </si>
  <si>
    <t>Учёным удалось выяснить, какая шутка была первой в истории человечества. Оказывается, наши предки познали юмор ещё 2</t>
  </si>
  <si>
    <t>Триколор, долго ждать придется, а уже много серии я пропустил Татьянин день) уже скоро закончится осталось 106 серии) дайте хоть посмотреть 106 серии...ну пожалуйста добавьте завтра канал я вас умоляю и прошу?</t>
  </si>
  <si>
    <t>Юрий Красюков</t>
  </si>
  <si>
    <t>25.07.2021 19:49</t>
  </si>
  <si>
    <t>Когда будет канал в Сибири Феникс плюс кино? Обещали а уже ровно месяц нету? Обманули нас?</t>
  </si>
  <si>
    <t>29.07.2021 16:49</t>
  </si>
  <si>
    <t>DCOLOR WiFi адаптер беспроводной с внешней антенной 5 dBi для приставок DVB-T2, ресиверов Триколор</t>
  </si>
  <si>
    <t>Не подошёл к нашей модели телевизора. Как можно сделать возврат?</t>
  </si>
  <si>
    <t>18:49</t>
  </si>
  <si>
    <t>General Satellite Пульт управления Триколор ТВ</t>
  </si>
  <si>
    <t>Проработал всего 2 недели</t>
  </si>
  <si>
    <t>Виктор</t>
  </si>
  <si>
    <t>18:39</t>
  </si>
  <si>
    <t>26.07.2021 00:56</t>
  </si>
  <si>
    <t>Пульт универсальный для ресиверов Триколор с ИК датчиком</t>
  </si>
  <si>
    <t>Достоинства: Хороший пульт, компактный, с удобным расположением кнопок. После установки ИК датчика над телевизором не надо целиться на ресивер, очень удобно!
Недостатки: не обнаружил
рекомендую этот товар</t>
  </si>
  <si>
    <t>Юрий Р.</t>
  </si>
  <si>
    <t>25.07.2021 18:29</t>
  </si>
  <si>
    <t>Добрый вечер. Триколор стал показывать что все каналы платные. Последняя оплата была в декабре 2020 года 1500 тыс.</t>
  </si>
  <si>
    <t>Мария Федорова</t>
  </si>
  <si>
    <t>Кез</t>
  </si>
  <si>
    <t>26.07.2021 00:14</t>
  </si>
  <si>
    <t>Светлана, добрый день. Если вы оплачиваете подписку, то получаете  возможность просмотра 256 теле- и 45 радиоканалов, в том числе 10-ти в формате сверхвысокой четкости Ultra HD. А также доступ к просмотру через интернет на нашем официальном сайте или в приложении «Триколор Кино и ТВ», где доступно более 100000 фильмов и сериалов</t>
  </si>
  <si>
    <t>25.07.2021 18:56</t>
  </si>
  <si>
    <t>Если ты слепой то на форме есть триколор.Включи тв и посмотри где Россия выступает.Даже расшифровывается где присутствует слово Россия или Раша.Зачем отрицать факт?</t>
  </si>
  <si>
    <t>Roman Roman</t>
  </si>
  <si>
    <t>25.07.2021 18:20</t>
  </si>
  <si>
    <t>Вопрос-ответ</t>
  </si>
  <si>
    <t>Владимир, подключите Цифровое эфирное ТВ. А Триколор и НТВ+ вещают же по всей стране и за пределами. Как туда вклинят все региональные версии каналов Россия 1 и Россия 24? Никак. Раньше на спутниковом ТВ, на 49 градусе был канал Россия 1 Архангельская версия. Сейчас не знаю. Но для того, чтоб поймать этот спутник, нужна антенна очень большого диаметра. Лучше просто подключить ЦЭТВ. Использовать для этого комбо ресивер. Или к Смарт ТВ всё это подключить без ресиверов.)</t>
  </si>
  <si>
    <t>Антон Конев</t>
  </si>
  <si>
    <t>Вести Поморья (Официальная страница)</t>
  </si>
  <si>
    <t>Архангельск</t>
  </si>
  <si>
    <t>25.07.2021 17:59</t>
  </si>
  <si>
    <t>Добрый день! Перестал показывать Триколор ТВ. Предположительно из-за поломки штекера на телевизионном кабеле. Подскажите</t>
  </si>
  <si>
    <t>Штекер поменян, блок питания работает. Может кто настраивает именно Триколор ТВ?</t>
  </si>
  <si>
    <t>Карина Валиева</t>
  </si>
  <si>
    <t>Нягань [ТН]</t>
  </si>
  <si>
    <t>17:20</t>
  </si>
  <si>
    <t>25.07.2021 17:20</t>
  </si>
  <si>
    <t>Мтс г-но, Ростелеком всегда и везде г-внище, триколор не подступишься по цене. А других альтернатив тут нет, 15 век</t>
  </si>
  <si>
    <t>25.07.2021 17:09</t>
  </si>
  <si>
    <t>Артём, что за канал #Ё</t>
  </si>
  <si>
    <t>25.07.2021 16:32</t>
  </si>
  <si>
    <t>Что за чудь ,,ошибка 21,,?</t>
  </si>
  <si>
    <t>Сергей Соловьёв</t>
  </si>
  <si>
    <t>Курганская область</t>
  </si>
  <si>
    <t>Медвежье</t>
  </si>
  <si>
    <t>25.07.2021 16:13</t>
  </si>
  <si>
    <t>Добрый вечер. Сегодня отказались от услуг мтс. (ТВ и интернет) ужасное качество. Решили интернет не подключать(хорошо</t>
  </si>
  <si>
    <t>10 лет на Триколоре, всё устраивает</t>
  </si>
  <si>
    <t>Дмитрий Манукян</t>
  </si>
  <si>
    <t>Книга отзывов Дзержинск</t>
  </si>
  <si>
    <t>Решетиха</t>
  </si>
  <si>
    <t>25.07.2021 17:18</t>
  </si>
  <si>
    <t>И я тут же попытался оплатить пакет триколор ан хер</t>
  </si>
  <si>
    <t>олег тот же</t>
  </si>
  <si>
    <t>Vox.Community</t>
  </si>
  <si>
    <t>25.07.2021 16:07</t>
  </si>
  <si>
    <t>Новости Спутникового ТВ! и Кабельного ТВ!, полтора тысячи в месяц</t>
  </si>
  <si>
    <t>Айдар Ялалов</t>
  </si>
  <si>
    <t>Набережные Челны</t>
  </si>
  <si>
    <t>25.07.2021 16:06</t>
  </si>
  <si>
    <t>Айдар, Да, платить и смотреть, сколько стоит?
но там не по-Русски.</t>
  </si>
  <si>
    <t>15:54</t>
  </si>
  <si>
    <t>25.07.2021 16:00</t>
  </si>
  <si>
    <t>Каналы, которые я хочу...</t>
  </si>
  <si>
    <t>Алиса, Триколор ТВ он их не добавит.</t>
  </si>
  <si>
    <t>15:49</t>
  </si>
  <si>
    <t>Спутниковый ресивер Триколор GS B521 + подписка на 7 дней (Тариф 1500р), Центр</t>
  </si>
  <si>
    <t>Недостатки: Для активации нужна карта с кодами, которую продавец не положил в комплекте - в итоге кирпич вместо ресивера</t>
  </si>
  <si>
    <t>Михаил</t>
  </si>
  <si>
    <t>Спутниковый ресивер Триколор GS B521  + подписка на 7 дней (Тариф 1500р), Центр</t>
  </si>
  <si>
    <t>26.07.2021 00:57</t>
  </si>
  <si>
    <t>Прибор стрелочный для настройки спутниковых антенн Green line SatFinder SF-04 Измеритель сигнала (Триколор ТВ, НТВ+, Телекарта, МТС)</t>
  </si>
  <si>
    <t>Достоинства: Всё хорошо!
Недостатки: Не сразу разобрались как пользоваться.</t>
  </si>
  <si>
    <t>25.07.2021 17:45</t>
  </si>
  <si>
    <t>ОПМИР Разветвитель</t>
  </si>
  <si>
    <t>Не работает.подключал от приставки триколор на два телевизора</t>
  </si>
  <si>
    <t>Дмитрий</t>
  </si>
  <si>
    <t>15:43</t>
  </si>
  <si>
    <t>25.07.2021 17:35</t>
  </si>
  <si>
    <t>CADENA Чехол для пульта</t>
  </si>
  <si>
    <t>Этот чехол конкретно идеально подходит на Триколор ТВ. Если пульт такой как на фотке. Спасибо!</t>
  </si>
  <si>
    <t>Юрий</t>
  </si>
  <si>
    <t>25.07.2021 15:41</t>
  </si>
  <si>
    <t>Артём, Привет, ух ты KinoJam 1,2 даже есть</t>
  </si>
  <si>
    <t>14:53</t>
  </si>
  <si>
    <t>25.07.2021 17:03</t>
  </si>
  <si>
    <t>Отличный пульт. Всё работает. Доставка супер быстрая.</t>
  </si>
  <si>
    <t>14:41</t>
  </si>
  <si>
    <t>25.07.2021 14:54</t>
  </si>
  <si>
    <t>Разрабы вы молодцы. Приложение супер. Низкий вам поклон за простоту приложения!!!!!
v2.5.0</t>
  </si>
  <si>
    <t>Владимир Веревкин</t>
  </si>
  <si>
    <t>Здравствуйте. Приложение нравиться, оплачивать услуги удобно, уведомления приходят вовремя. Реклама не навязчивая, не раздражает. В целом, все нравится. Если и есть минусы, то они незначительные. Спасибо за Вашу работу)))
v2.5.0</t>
  </si>
  <si>
    <t>Наталия Ната</t>
  </si>
  <si>
    <t>25.07.2021 14:38</t>
  </si>
  <si>
    <t>Слава, ну меня все устраивает, нужные мне каналы есть в HD качестве</t>
  </si>
  <si>
    <t>26.07.2021 04:00</t>
  </si>
  <si>
    <t>Купил рессивер на дачу и подключил ультра HD все четко работает , есть возможность установки тарелки</t>
  </si>
  <si>
    <t>26.07.2021 00:42</t>
  </si>
  <si>
    <t>Пульт для ресивера Триколор</t>
  </si>
  <si>
    <t>Достоинства: отличный пульт нисколько не хуже родного
Недостатки: их нет за эти деньги
рекомендую к покупке</t>
  </si>
  <si>
    <t>25.07.2021 14:00</t>
  </si>
  <si>
    <t>Сливают пользовательские данные!! Оплатил тв и через 2 дня мне позвонили мошенники, представились сотрудниками триколора и сказали,что срочно нужно поменять ресивер отправив им деньги... Я их отправил куда подальше, но откуда у них мои фио и инфа, что я пользователь триколор тв ??
v2.5.0</t>
  </si>
  <si>
    <t>Anton</t>
  </si>
  <si>
    <t>25.07.2021 14:26</t>
  </si>
  <si>
    <t>Спутниковый интернет от Триколор уже сейчас стоит в 2 раза дешевле. 
Думаю у нас он не заработает по экономическим причинам в том числе.</t>
  </si>
  <si>
    <t>25.07.2021 13:26</t>
  </si>
  <si>
    <t>Военная авиация в Главном военно-морском параде в Петербурге Самолеты ВМФ раскрасили небо над Невой триколором</t>
  </si>
  <si>
    <t>Лина, и правильно. По телику гораздо интереснее смотреть.</t>
  </si>
  <si>
    <t>Елена Горелик</t>
  </si>
  <si>
    <t>Новости Петербурга | PETERBURG NEWS</t>
  </si>
  <si>
    <t>25.07.2021 13:22</t>
  </si>
  <si>
    <t>Здравствуйте! подскажите пожалуйста,почему приходит сообщение что заканчивается подписка на пакет "Детский",хотя была</t>
  </si>
  <si>
    <t>Дмитрий, нет подписки не было,я и подключила по акции за 499 р.на 3 месяца,заходила в личный кабинет,есть оплата 499,но больше не знаю что там сделать ещё,прошел месяц только,а сумма всё равно больше,чем надо была,хотя бы 2 месяца ,если учесть даже то,что не прошла акция...</t>
  </si>
  <si>
    <t>Ирина Нечаева</t>
  </si>
  <si>
    <t>Вытегра</t>
  </si>
  <si>
    <t>25.07.2021 12:54</t>
  </si>
  <si>
    <t>Нравится оперативная работа по подключению каналов оплаченных пакетов
v2.5.0</t>
  </si>
  <si>
    <t>Валера Ершоа</t>
  </si>
  <si>
    <t>25.07.2021 12:29</t>
  </si>
  <si>
    <t>Первый день - первая медаль израильской спортсменки! Израильтянка, спортсменка и просто красавица, а теперь и медалистка</t>
  </si>
  <si>
    <t>Дорогие Евреи, я знаю как другой народ унижает вас. Вы измождены бесконечной войной потому что иное государство использует хитрость. Они используют вакцины заведомо настраивающие весь мир против вас, после употребления sputnik V человек ощущает небывалую гордость за сторону производителя так как там используется хитрость. Если взять картинку триколор и пропустить её через определённое оборудование видеокарту+сетевую не используя остальные элементы то получится определённый сигнал. И если этим током наполяризовать жидкость то выпив её ты обретёшь любовь к этой картинке. Найдите лучших электриков способных собирать технику на коленке и вы добьётесь результа очень быстро, зная чего нужно добится.</t>
  </si>
  <si>
    <t>Гелиос Гелиос</t>
  </si>
  <si>
    <t>ЕВРЕИ</t>
  </si>
  <si>
    <t>25.07.2021 12:13</t>
  </si>
  <si>
    <t>Представляем вам новое интеллектуальное устройство — HUAWEI Vision S! Безрамочный экран с диагональю 55” или 65”</t>
  </si>
  <si>
    <t>Александр, у триколора своя приставка с выходом HDMI) Так почему нет?</t>
  </si>
  <si>
    <t>Сергей Арсенин</t>
  </si>
  <si>
    <t>HUAWEI Mobile</t>
  </si>
  <si>
    <t>12:02</t>
  </si>
  <si>
    <t>25.07.2021 12:02</t>
  </si>
  <si>
    <t>Цитата: Valery192 от 1 час  назадКто нибудь ставил блекхоул openbh-4.4.005Стоит 4.4.012. Вышеуказанных проблем нет. Модуль триколора работает. Не понял только как эмуляторы на этом имидже установить.Спойлер    : [ Гостям не разрешен просмотр вложений ][ Гостям не разрешен просмотр вложений ][ Гостям не разрешен просмотр вложений ][ Гостям не разрешен просмотр вложений ][ Гостям не разрешен просмотр вложений ][ Гостям не разрешен просмотр вложений ]
Zgemma H9 Combo 4K &amp; Zgemma H9 Twin 4K (Общие вопросы) Часть 2
https://gisclub.tv/zgemma-4k/zgemma-h9-combo-4k-zgemma-h9-twin-4k-(obschie-voprosy)-chast-2/msg615563/#msg615563</t>
  </si>
  <si>
    <t>26.07.2021 00:29</t>
  </si>
  <si>
    <t>Конвертер спутниковый круговой поляризации DVS - C101 (Триколор, НТВ)</t>
  </si>
  <si>
    <t>Достоинства: Работает
Недостатки: нет
Обычный конвертер за небольшие деньги (цена/качество)</t>
  </si>
  <si>
    <t>25.07.2021 11:36</t>
  </si>
  <si>
    <t>у меня был осознанный выбор своего оператора, не потому что там ценники на пакеты дешёвые, а потому что все мне нужные каналы есть в одном пакете.</t>
  </si>
  <si>
    <t>25.07.2021 11:42</t>
  </si>
  <si>
    <t>А у вас на момент оплаты была действующая подписка на данный пакет? Если да то скорее всего не подключился аукционный пакет. Для более точной информации можете воспользоваться лк.</t>
  </si>
  <si>
    <t>25.07.2021 11:27</t>
  </si>
  <si>
    <t>Наши 11 на первый матч сезона в ЮФЛ-2! #ВремяМолодёжи Ссылка на трансляцию — по свайпу в сторис!</t>
  </si>
  <si>
    <t>Степан, трансляция на триколоре будет https://kino.tricolor.tv/channels/watch/nash-sport-2/
Смотреть Наш спорт 2 в прямом эфире онлайн в хорошем качестве на «Триколор Кино и ТВ».
Смотрите Наш спорт 2 онлайн на «Триколор Кино и ТВ»: прямой эфир, высокое качество.
https://kino.tricolor.tv/channels/watch/nash-sport-2/</t>
  </si>
  <si>
    <t>Андрей Жилеев</t>
  </si>
  <si>
    <t>«Газпром»-Академия</t>
  </si>
  <si>
    <t>25.07.2021 11:21</t>
  </si>
  <si>
    <t>Дмитрий, можно и за 1. Можно и дороже</t>
  </si>
  <si>
    <t>Дмитрий Селиванов</t>
  </si>
  <si>
    <t>Ливны</t>
  </si>
  <si>
    <t>25.07.2021 10:48</t>
  </si>
  <si>
    <t>Илья, и все платные. Нафиг они не нужны</t>
  </si>
  <si>
    <t>26.07.2021 00:59</t>
  </si>
  <si>
    <t>Достоинства: Помог и упростил настройку спутникового сигнала для  НТВ+, который пропал и не мог как ранее настроиться в ручную.
Недостатки: нет
Советую пользоваться данным прибором.</t>
  </si>
  <si>
    <t>Артемова Е.</t>
  </si>
  <si>
    <t>10:22</t>
  </si>
  <si>
    <t>26.07.2021 13:26</t>
  </si>
  <si>
    <t>Накипело
Самое отстойное приложение! Постоянно вылетает, пишет какую-то ошибку! Половина каналов, ненужных, половина вообще не показывает. Такая же беда на телевизоре! Я уже триколор тв пользуюсь больше 5 лет! И с тарелкой тоже все время какие-то неполадки, менял приставку, поставил модуль.. итог, все испортилось! Даже сейчас прыгает картинка и пишет нет связи с сервером!
Надо менять поставщика услуг!</t>
  </si>
  <si>
    <t>Alexzolberg</t>
  </si>
  <si>
    <t>10:20</t>
  </si>
  <si>
    <t>25.07.2021 10:20</t>
  </si>
  <si>
    <t>#Опросы Какие вернул ты бы телеканалы в состав Триколор ТВ? TLC HD EUROSPORT 1 HD 1 HD Music Television Точка тв FOX</t>
  </si>
  <si>
    <t>ТЕАТР, РЕТРО, НОСТАЛЬГИЯ.</t>
  </si>
  <si>
    <t>Олег Николаевич</t>
  </si>
  <si>
    <t>25.07.2021 10:12</t>
  </si>
  <si>
    <t>"RTK" пока даёт стабильный сигнал.
Можно перейти на "Триколор"(спутниковый), но там заоблачная аб/плата.
Мне не рентабельно.</t>
  </si>
  <si>
    <t>Вадим Боровиков</t>
  </si>
  <si>
    <t>yard</t>
  </si>
  <si>
    <t>25.07.2021 09:53</t>
  </si>
  <si>
    <t>Добрый день! При подключении пакета Детский пишут, что доступно 21 детский канал и онлайн библиотека с мультфильмами. Где можно найти/открыть эту онлайн библиотеку???</t>
  </si>
  <si>
    <t>Анна Кочкина</t>
  </si>
  <si>
    <t>Триколор
Очень удобное приложение</t>
  </si>
  <si>
    <t>Ван Гон</t>
  </si>
  <si>
    <t>25.07.2021 09:52</t>
  </si>
  <si>
    <t>Поставил себе в деревне две камеры от Триколора (у них акция сейчас внутренняя и внешняя за 5900). Картинка, конечно, далека от идеала. Сервис тоже (199р за хранение в облаке данных в течение недели за 1 камеру). А вот роутер Мегафона за 100р в месяц нормально так раздаёт WIFI.</t>
  </si>
  <si>
    <t>Ноющая восьмёрка</t>
  </si>
  <si>
    <t>text,software</t>
  </si>
  <si>
    <t>09:32</t>
  </si>
  <si>
    <t>25.07.2021 15:59</t>
  </si>
  <si>
    <t>На днях епископ Порфирий, наместник Соловецкого моеастыря, на проповеди рассказывал фейки про вакцину от короновируса.</t>
  </si>
  <si>
    <t>Это беспроводные наушники,компьютерные девайсы и даже "умная" мультиварка,которую можно включить с телефона. И куча другой техники,у кого есть Триколор "умный дом",то даже свет в доме можно включать и выключать дистанционно. Вот эти разные устройства вы и видите и это цифры,а не названия.</t>
  </si>
  <si>
    <t>Елена Афинская</t>
  </si>
  <si>
    <t>протоиерей Георгий МП</t>
  </si>
  <si>
    <t>25.07.2021 10:33</t>
  </si>
  <si>
    <t>нет бюджета - пусть сидят без сетки</t>
  </si>
  <si>
    <t>Забрались, господа сксники. Я ещё при личной встрече сказал. 
Подождут вас "чорные" электрики в ближайшее будущее. 
Приведу в пример мое ажи спутниковых антенн. 
Кто помнит сколько стоил монтаж хотя бы 90 см в начале нулевых???
А потом пришёл триколор (чучуть с моей помощью)
И 60 см стали за 500 рублей гвоздями приколачивать все кому не лень
Так и в сфере "СКС" произойдёт. 
Набежит толпа голодных "электриков" и отберёт постепенно тему</t>
  </si>
  <si>
    <t>@Militarist</t>
  </si>
  <si>
    <t>Слаботочка - что и почём</t>
  </si>
  <si>
    <t>07:59</t>
  </si>
  <si>
    <t>25.07.2021 10:15</t>
  </si>
  <si>
    <t>Цены какие то ну очень высокие и качество услуг так себе</t>
  </si>
  <si>
    <t>TokarevaTok</t>
  </si>
  <si>
    <t>07:10</t>
  </si>
  <si>
    <t>25.07.2021 07:10</t>
  </si>
  <si>
    <t>Добрый день,соседи!Подскажите,будьте добры,никто не занимается установкой спутниковых антенн?Заранее большое спасибо!</t>
  </si>
  <si>
    <t>Марина, спасибо!У нас Триколор..Вот что лучше будет:использовать стационарную антенну или установить тарелку(она у нас есть)..?</t>
  </si>
  <si>
    <t>Ташат Эйе</t>
  </si>
  <si>
    <t>ЖК Алексеевская Роща (Балашиха)</t>
  </si>
  <si>
    <t>Балашиха</t>
  </si>
  <si>
    <t>Здравствуйте подскажите пожалуйста триколор не работает, пишет нет сигнала (все оплачено) ,основные моменты проверили</t>
  </si>
  <si>
    <t>кабель приёмник-тарелка/тарелка/головка на тарелке. При чем тут блок питания, вообще не понятно....</t>
  </si>
  <si>
    <t>Алиса Селезнёва</t>
  </si>
  <si>
    <t>ПОДСЛУШАНО в Новошахтинске</t>
  </si>
  <si>
    <t>Новошахтинск</t>
  </si>
  <si>
    <t>02:58</t>
  </si>
  <si>
    <t>25.07.2021 03:34</t>
  </si>
  <si>
    <t>Отличное тв. Не дорого,посравнению с другими компаниями.
v2.5.0</t>
  </si>
  <si>
    <t>Евгений Фролов</t>
  </si>
  <si>
    <t>01:27</t>
  </si>
  <si>
    <t>26.07.2021 23:45</t>
  </si>
  <si>
    <t>Достоинства: Показывает вроде
Недостатки: Андроид,  сильно тормозит при переключении, интераейс меню, качество картинки
Если соединить с приёмником сервером поводом, а по Wi-Fi с интернетом, то он перестаёт видеть приёмник сервер, пока не понять тип подключения к сети на, "проводной", для бабушки это сложно, непонятно зачем сняли с производства удачную модель С592????, где все работало нормально и меню привычное как на ресивере было.... В итоге не советую С593 это мучение, буду искать старые модели</t>
  </si>
  <si>
    <t>Олег Кабанов</t>
  </si>
  <si>
    <t>00:19</t>
  </si>
  <si>
    <t>25.07.2021 08:20</t>
  </si>
  <si>
    <t>Тоже раньше пользовались, потом провели нормальное)</t>
  </si>
  <si>
    <t>WOW Chernika</t>
  </si>
  <si>
    <t>24.07.2021</t>
  </si>
  <si>
    <t>24.07.2021 23:22</t>
  </si>
  <si>
    <t>Всем доброго вечера, если у вас Триколор ТВ, то как сигнал? Последний час сплошное заикание.</t>
  </si>
  <si>
    <t>Да это не долго сделать. Зайдите в настройки и сбросьте до заводских. Он сам перезагрузится.</t>
  </si>
  <si>
    <t>Татьяна Лоод</t>
  </si>
  <si>
    <t>26.07.2021 04:42</t>
  </si>
  <si>
    <t>Пульт для приставок Триколор GS8306</t>
  </si>
  <si>
    <t>Достоинства: подошел к приставке
Недостатки: нет
купил взамен разбитого пульта. подошел</t>
  </si>
  <si>
    <t>Михаил Г.</t>
  </si>
  <si>
    <t>23:18</t>
  </si>
  <si>
    <t>24.07.2021 23:18</t>
  </si>
  <si>
    <t>Татьяна, спасибо, уже завтра попробуем. Сегодня пытались отключить приемник из сети, как рекомендуют, но увы, ситуация не изменилась.</t>
  </si>
  <si>
    <t>Ирина Суздалева</t>
  </si>
  <si>
    <t>25.07.2021 03:38</t>
  </si>
  <si>
    <t>Не каких действий не производит, возможно не работает сам пульт, возможно не подходит.</t>
  </si>
  <si>
    <t>Алеся</t>
  </si>
  <si>
    <t>23:09</t>
  </si>
  <si>
    <t>24.07.2021 23:28</t>
  </si>
  <si>
    <t>Не работает ничего. Оплатить оплатил. Больше ничего. Зайти куда то не возможно вообще. Очень плохое приложение
v2.5.0</t>
  </si>
  <si>
    <t>Виталий Лавриченко</t>
  </si>
  <si>
    <t>24.07.2021 23:03</t>
  </si>
  <si>
    <t>Нужно сбросить до заводских в настройках.</t>
  </si>
  <si>
    <t>26.07.2021 02:11</t>
  </si>
  <si>
    <t>Ремонт новых ресиверов Триколор,глазами обычного пользователя.Часть 1.</t>
  </si>
  <si>
    <t>Можете дать схему на gs b 5310 ?</t>
  </si>
  <si>
    <t>Ахмед Канаметов</t>
  </si>
  <si>
    <t>Remontsat</t>
  </si>
  <si>
    <t>22:14</t>
  </si>
  <si>
    <t>24.07.2021 22:14</t>
  </si>
  <si>
    <t>Земляки, не обращал ли кто-нибудь внимание на ослабление TV сигнала?</t>
  </si>
  <si>
    <t>Триколор с мая стал хуже работать</t>
  </si>
  <si>
    <t>Константин Домахин</t>
  </si>
  <si>
    <t>Подслушано Орехово, 67-69 км</t>
  </si>
  <si>
    <t>24.07.2021 22:09</t>
  </si>
  <si>
    <t>Всем доброго вечера, если у вас Триколор, то как сигнал? Последний час сплошное заикание.</t>
  </si>
  <si>
    <t>24.07.2021 21:53</t>
  </si>
  <si>
    <t>Интересные факты
В составе Триколор ТВ оказывается вещали 2 канала:
● Дикий - проработал час и ушёл ( примерно май 2018 года)
● Живая Природа - проработал 10 минут (!) и ушёл ( 26 апреля 2021 года)
Видно не смогли полноценно договориться</t>
  </si>
  <si>
    <t>21:21</t>
  </si>
  <si>
    <t>24.07.2021 21:26</t>
  </si>
  <si>
    <t>Что за херь. Оплатил премьер на триколоре утром, а он не кажет. Нет, я конечно могу на ноуте или мобиле глянуть через  EDEM TV  где за 1$ более 500 каналов)))  Но хочется чтоб на ТВ тоже работало все.  @tricolortv</t>
  </si>
  <si>
    <t>лесник</t>
  </si>
  <si>
    <t>Михнево</t>
  </si>
  <si>
    <t>24.07.2021 21:09</t>
  </si>
  <si>
    <t>#ТриколорТВ_Центр #ТриколорТВ_Сибирь Экспресс АМУ1 36.0°E Express AT1 56.0°Е С 1 июля 2021 г. из состава Триколор ТВ</t>
  </si>
  <si>
    <t>Александр, поддерживаю. Самый нормальный музыкальный канал, никакой рекламы, только клипы. Печально, что аналогов ему нет.</t>
  </si>
  <si>
    <t>Галина Снежанна</t>
  </si>
  <si>
    <t>24.07.2021 21:22</t>
  </si>
  <si>
    <t>Список пакета телеканалов ДЕТСКИЙ (с 19.07.2021 года 250 рублей в месяц или 1500 рублей в год) с 01.05.2021 года: 1.</t>
  </si>
  <si>
    <t>А канал "Радость моя" куда пропал из этого списка?</t>
  </si>
  <si>
    <t>Глеб Коленчуков</t>
  </si>
  <si>
    <t>Красноярск</t>
  </si>
  <si>
    <t>24.07.2021 21:07</t>
  </si>
  <si>
    <t>Триколор ТВ Экспресс АМУ1 36.0°E Телеканал "MTV Hits" ушёл с 11728 L 27500 FEC 3/4, Mpeg-4 , DRE-Crypt Телеканал</t>
  </si>
  <si>
    <t>Алексей, ничего отличного. Канал был нормальный в отличие от российских.</t>
  </si>
  <si>
    <t>24.07.2021 20:55</t>
  </si>
  <si>
    <t>Печеницы НЬЮЗ.
Сидераты (горчица+рапс) Андрей с Емелькой посадили во время, перед дождиком, сейчас зеленый ковёр, скоро зацветет!
Пропала голосовая связь, интернета не было совсем. 5 дней ушло на поиск, эксперименты и все не удачно. Три недели без связи, пролетели незаметно. Подключились к Триколор - спутниковый интернет, пробуем. Трафик тает на глазах...
В пристройке положили пол, я очень рада. 
Тихомир лазиет по берёзе.
Благодаря Емельке у нас в этом году ухоженный газон и будет зелень. Подготовил мне квадраты под посадку.
Емельян 12! С</t>
  </si>
  <si>
    <t>Дополненный репост</t>
  </si>
  <si>
    <t>Ольга Панкратьева</t>
  </si>
  <si>
    <t>Лодейное Поле</t>
  </si>
  <si>
    <t>motor vehicle,land vehicle,plant,crop,agricultural machinery,sky,grass,tractor,soil,vehicle</t>
  </si>
  <si>
    <t>nature,village,field,agriculture,farm,plantation,rural area,prairie,steppe</t>
  </si>
  <si>
    <t>24.07.2021 21:02</t>
  </si>
  <si>
    <t>Промо "MTV 00s" https://youtu.be/K8bpoPYlGgs MTV 00s PROMO</t>
  </si>
  <si>
    <t>Алексей, а куда обычный MTV подевался, что был на 734?</t>
  </si>
  <si>
    <t>24.07.2021 20:54</t>
  </si>
  <si>
    <t>Сидераты (горчица+рапс) Андрей с Емелькой посадили во время, перед дождиком, сейчас зеленый ковёр, скоро зацветет!
Пропала голосовая связь, интернета не было совсем. 5 дней ушло на поиск, эксперименты и все не удачно. Три недели без связи, пролетели незаметно. Подключились к Триколор - спутниковый интернет, пробуем. Трафик тает на глазах...
В пристройке положили пол, я очень рада. 
Тихомир лазиет по берёзе.
Благодаря Емельке у нас в этом году ухоженный газон и будет зелень. Подготовил мне квадраты под посадку.
Емельян 12! С дюжиной любимый</t>
  </si>
  <si>
    <t>ЭКОФЕРМА "ПЕЧЕНИЦЫ"</t>
  </si>
  <si>
    <t>20:47</t>
  </si>
  <si>
    <t>24.07.2021 23:08</t>
  </si>
  <si>
    <t>Триколор ТВ Солнечногорск</t>
  </si>
  <si>
    <t>Выcoкoкaчecтвeннoe мecтeчкo. С удoвoльcтвиeм постоянно пoceщaю и ocтaюcь удoвлeтвopeнным. Дeшёвыe pacцeнки, бoльшoй  accopтимeнт тoвapoв, пocтoяннo кaчecтвeннoe oбcлуживaниe нe мoгут нe paдoвaть. Внутpи пopядкoм уютнo. Пo личнoму oпыту тoчнo coвeтую cвoим близким дpузьям.</t>
  </si>
  <si>
    <t>Александр Бирюков</t>
  </si>
  <si>
    <t>Солнечногорск</t>
  </si>
  <si>
    <t>19:43</t>
  </si>
  <si>
    <t>24.07.2021 20:23</t>
  </si>
  <si>
    <t>Все нормально!
v2.5.0</t>
  </si>
  <si>
    <t>Эльвира Гацоева</t>
  </si>
  <si>
    <t>31.07.2021 15:11</t>
  </si>
  <si>
    <t>Адаптер WI-FI для цифровых приставок и ресиверов Триколор GI7601</t>
  </si>
  <si>
    <t>Достоинства: Отличный адаптер!
Недостатки: Заказал знакомому, на TV Box определился сразу без драйверов (в инструкции к приставке указан был адаптер именно на чипе MT7601, потому его и заказали).
Хороший, качественный товар!</t>
  </si>
  <si>
    <t>Юрий О.</t>
  </si>
  <si>
    <t>personal care,brush,pen</t>
  </si>
  <si>
    <t>24.07.2021 23:31</t>
  </si>
  <si>
    <t>Сигнала Нет На Триколоре</t>
  </si>
  <si>
    <t>Насибула Нигматула</t>
  </si>
  <si>
    <t>Тюменская область</t>
  </si>
  <si>
    <t>Вагай</t>
  </si>
  <si>
    <t>19:15</t>
  </si>
  <si>
    <t>24.07.2021 23:46</t>
  </si>
  <si>
    <t>Дело в спутниковом модеме.</t>
  </si>
  <si>
    <t>А триколор там стоит приёмник просто.</t>
  </si>
  <si>
    <t>Alchemist Proletarian</t>
  </si>
  <si>
    <t>ВИДЕОНАБЛЮДЕНИЕ.</t>
  </si>
  <si>
    <t>25.07.2021 00:29</t>
  </si>
  <si>
    <t>Столько минусов(</t>
  </si>
  <si>
    <t>AnnLis</t>
  </si>
  <si>
    <t>19:10</t>
  </si>
  <si>
    <t>Я как понял спутниковая тарелка она узконаправленная</t>
  </si>
  <si>
    <t>От триколор</t>
  </si>
  <si>
    <t>JamesT Kirk07</t>
  </si>
  <si>
    <t>24.07.2021 19:01</t>
  </si>
  <si>
    <t>Интересные факты ТриколорТВ</t>
  </si>
  <si>
    <t>11 факт
В составе Триколор ТВ оказывается вещали 2 канала:
● Дикий - проработал час и ушёл ( примерно май 2018 года)
● Живая Природа - проработал 10 минут (!) и ушёл ( 26 апреля 2021 года)
Видно не смогли полноценно договориться</t>
  </si>
  <si>
    <t>19:00</t>
  </si>
  <si>
    <t>24.07.2021 19:02</t>
  </si>
  <si>
    <t>Учёным удалось выяснить, какая шутка была первой в истории человечества. Оказывается, наши предки познали юмор ещё 2 миллиона лет назад!
Классической шуткой пещерного человека был рисунок, на котором изображался... Есть варианты — что?  Пишите их в комментариях! 
А узнать, как продвинулся уровень юмора со времён Ледникового периода, можно уже в эти выходные.
 Сегодня и завтра в 21:00 смотри новый выпуск «Всероссийской лиги юмора» из Воронежа в онлайн-проекте «Большой эфир» по ссылке https://ok.me/9cnj, а с понедельника — в бесплатном приложении «Триколор Кино и ТВ» и веб-версии онлайн-сервиса по ссылке kino.tricolor.tv</t>
  </si>
  <si>
    <t>sports equipment,text,exercise equipment</t>
  </si>
  <si>
    <t>Учёным удалось выяснить, какая шутка была первой в истории человечества. Оказывается, наши предки познали юмор ещё 2 миллиона лет назад!
Классической шуткой пещерного человека был рисунок, на котором изображался... Есть варианты — что?  Пишите их в комментариях! 
А узнать, как продвинулся уровень юмора со времён Ледникового периода, можно уже в эти выходные.
 Сегодня и завтра в 21:00 смотри новый выпуск «Всероссийской лиги юмора» из Воронежа в онлайн-проекте «Большой эфир» по ссылке https://clck.ru/W35EK, а с понедельника — в бесплатном приложении «Триколор Кино и ТВ» и веб-версии онлайн-сервиса по ссылке kino.tricolor.tv</t>
  </si>
  <si>
    <t>https://scontent.fykz1-2.fna.fbcdn.net/v/t1.6435-9/p960x960/221966218_4110684472319125_2582178837338488626_n.png?_nc_cat=111&amp;ccb=1-3&amp;_nc_sid=730e14&amp;_nc_ohc=yx6NkN3umV0AX-S3kln&amp;_nc_ad=z-m&amp;_nc_cid=0&amp;_nc_ht=scontent.fykz1-2.fna&amp;oh=4e72c62b210e0f375f2de46bb8d314b3&amp;oe=6121DF0B</t>
  </si>
  <si>
    <t>24.07.2021 19:05</t>
  </si>
  <si>
    <t>Сегодня и завтра в 21:00 смотри новый выпуск «Всероссийской лиги юмора» из Воронежа в онлайн-проекте «Большой эфир» по ссылке https://bit.ly/3Bz4zZb , а с понедельника — в бесплатном приложении «Триколор Кино и ТВ» и веб-версии онлайн-сервиса по ссылке http://kino.tricolor.tv</t>
  </si>
  <si>
    <t>24.07.2021 19:00</t>
  </si>
  <si>
    <t>#Интересные_факты
В составе Триколор ТВ оказывается вещали 2 канала:
● Дикий - проработал час и ушёл ( примерно май 2018 года)
● Живая Природа - проработал 10 минут (!) и ушёл ( 26 апреля 2021 года)
Видно не смогли полноценно договориться</t>
  </si>
  <si>
    <t>18:52</t>
  </si>
  <si>
    <t>Триколор, с вами бесполезно разговаривать. У вас так называемая корпоративная этика не пускает. А то что вы выше написали это называется отписка. Ладно живите с этим. Может позже поймёте. Хотя?</t>
  </si>
  <si>
    <t>Александр Бочков</t>
  </si>
  <si>
    <t>Узбекистан</t>
  </si>
  <si>
    <t>Ташкент</t>
  </si>
  <si>
    <t>Поняла , у меня Единый</t>
  </si>
  <si>
    <t>Оксана Гуркина</t>
  </si>
  <si>
    <t>Зубцов</t>
  </si>
  <si>
    <t>18:48</t>
  </si>
  <si>
    <t>24.07.2021 19:21</t>
  </si>
  <si>
    <t>почему пропал канал Дом кино
v2.5.0</t>
  </si>
  <si>
    <t>Кадрия Файзуллина</t>
  </si>
  <si>
    <t>24.07.2021 18:47</t>
  </si>
  <si>
    <t>Так ведь за приложение Триколор Кино и ТВ дополнительная плата? Или как?</t>
  </si>
  <si>
    <t>24.07.2021 18:39</t>
  </si>
  <si>
    <t>Триколор, но этого не делаете. Я также работаю с людьми. Но я более лоялен к людям чем вы.</t>
  </si>
  <si>
    <t>18:29</t>
  </si>
  <si>
    <t>«Мультиэкран» для мобильных устройств</t>
  </si>
  <si>
    <t>Сломался недавно старый смартфон с андроид 6,мультиэкран работал кое-как, купил новый смартфон с андроид 10.мультиэкран устанавливается, запускается, коннектится через IP адрес вручную к b621l, но трансляция не идет, приставку тоже приобрел недавно, в инструкции написано про функцию мультиэкран, что за бардак? Приложением вообще кто-нибудь занимается?</t>
  </si>
  <si>
    <t>Terminator Terminator</t>
  </si>
  <si>
    <t>Муром</t>
  </si>
  <si>
    <t>18:27</t>
  </si>
  <si>
    <t>24.07.2021 18:28</t>
  </si>
  <si>
    <t>✌ Есть две новости: одну вы уже знаете, а хорошая заключается в том, что в сезоне 2021/2022 мы будем эксклюзивно</t>
  </si>
  <si>
    <t>Тимур, триколор -это вообше очень бюджетное телевидение . для пенсионеров</t>
  </si>
  <si>
    <t>Ринат Ибятуллин</t>
  </si>
  <si>
    <t>Okko Спорт</t>
  </si>
  <si>
    <t>24.07.2021 22:23</t>
  </si>
  <si>
    <t>Вот где можно найти горного козла в Пакистане</t>
  </si>
  <si>
    <t>Пожалуйста :-$ !!! Что видел по телевизору, то и Вам написАл !!! У нас щАс тарелка *Триколор* и спутниковое ТВ через интернет. "Смотри-не хочу" :-D. Каналов о животных "навалом" :-D. Смотреть только некогда (ch).</t>
  </si>
  <si>
    <t>Евгений Шамраев</t>
  </si>
  <si>
    <t>Этот удивительный Мир</t>
  </si>
  <si>
    <t>Триколор, почитайте все мои коменты к вам. Если вы ориентировались на клиента, то не было бы столько негативных отзывов на вашу работу.</t>
  </si>
  <si>
    <t>Триколор, Я диагностировал свой приемник. И все с ним в порядке. А ваше отношение к пользователю считаю непорядочным. Вы даже не хотите вернуть мне деньги которые я заплатил за год ,а по договору вы говорите что мне вернёте 312руб. Это порядочно с вашей стороны или нет? Хотя оплатил в январе месяце. Перешёл на красного 2 месяца назад. Вот если 1500 разделить на 12 месяцев, сколько вы должны вернуть? Считайте. Нет312 рублей же. Вот она ваша порядочность.</t>
  </si>
  <si>
    <t>24.07.2021 18:20</t>
  </si>
  <si>
    <t>Любовь, у нас в доме есть антенна триколор она в комнате сына он живёт с нами и по ней нет местных новостей, мы и тут готовы платить лишь бы небыло рекламы.</t>
  </si>
  <si>
    <t>Антонина Лукинская</t>
  </si>
  <si>
    <t>Я - Пенсионер</t>
  </si>
  <si>
    <t>Туровец</t>
  </si>
  <si>
    <t>24.07.2021 18:19</t>
  </si>
  <si>
    <t>Триколор, я уже написал что ушел от вас именно по этой и ещё одной причине. Я хочу что бы люди знали оператора. Его отношение к пользователям. Я в вашей тарелке в деревне кур кормлю. А ресивер под кровать забросил. И перешёл на красного оператора. Там хоть география и вилд есть 8 каналов. Даже рассторгать договор с вами считаю не целесообразно. Сами отключите. У вас в договоре написано 3 пунктом "подарите денежку". Мы же бедные.</t>
  </si>
  <si>
    <t>Сервисный центр Триколор ТВ Ивантеевка</t>
  </si>
  <si>
    <t>Вeликoлeпнoe мecтeчкo. С вocтopгoм постоянно пoceщaю и ocтaюcь дoвoльным. Нeдopoгиe pacцeнки, paзнooбpaзный accopтимeнт, вceгдa кaчecтвeннoe oбcлуживaниe нe мoгут нe paдoвaть. Внутpи пopядкoм пpиличнo. Пo личнoму впeчaтeлнию peкoмeндую пpиятeлям и близки</t>
  </si>
  <si>
    <t>Николай Алхимов</t>
  </si>
  <si>
    <t>Ивантеевка</t>
  </si>
  <si>
    <t>18:01</t>
  </si>
  <si>
    <t>29.07.2021 15:39</t>
  </si>
  <si>
    <t>Внешний ИК-приемник для ресиверов Триколор Пульт телевизионный</t>
  </si>
  <si>
    <t>Хорошее качество</t>
  </si>
  <si>
    <t>Триколор, Почему же тогда мой приемник до момента обновления никогда по три дня в месяц не просил перекодировать ключ. А с новым обновлением стал по три дня перекодировать ключи? Какой  я должен делать вывод. Я думаю он напрашивался сам собой.</t>
  </si>
  <si>
    <t>24.07.2021 17:57</t>
  </si>
  <si>
    <t>Ну да. Обновить оборудование, а потом оно начнет ерундить. А Триколор в поддержке скажет меняйте на новое оборудование. Проходили,знаем. Поэтому и ушел от вас.</t>
  </si>
  <si>
    <t>17:49</t>
  </si>
  <si>
    <t>24.07.2021 17:49</t>
  </si>
  <si>
    <t>Триколор, да там вся сетка «кино и сериалы» крутят одно и тоже уже какой год подряд. На дачу приезжаем летом,платим за целый год за полный пакет. В итоге смотрим как и Москве общероссийские каналы. Потому что все остальное наизусть выучили</t>
  </si>
  <si>
    <t>Инна Manteuffel</t>
  </si>
  <si>
    <t>24.07.2021 17:42</t>
  </si>
  <si>
    <t>Триколор, а как достучаться до этого правообладателя?  Пора уже изменить программу передач.</t>
  </si>
  <si>
    <t>24.07.2021 17:29</t>
  </si>
  <si>
    <t>"Ротор" - "СКА-Хабаровск". Трансляция  В связи с запретом РОСПОТРЕБПОЗОРА на посещение матчей на "Волгоград Арене", мы</t>
  </si>
  <si>
    <t>Виталий, 2ТВ занимается именно продакшном, т.е. съемкой и подачей сигнала на Яндекс и Триколор. Трансляции на Волгоград-1 сюда не входят.</t>
  </si>
  <si>
    <t>Адиль Зодоров</t>
  </si>
  <si>
    <t>27.07.2021 06:56</t>
  </si>
  <si>
    <t>Триколор TV</t>
  </si>
  <si>
    <t>Персонал отзывчивый</t>
  </si>
  <si>
    <t>Альберт Атмурзаев</t>
  </si>
  <si>
    <t>24.07.2021 17:24</t>
  </si>
  <si>
    <t>Смотреть одно и тоже надоело. Одни и те же сериалы и фильмы. По одному каналу заканчивают и по другому начинают. В том году летом все посмотрела,думала хоть что то новое будет в этом,а нетопять тоже самое. Скудный репертуарчик у триколора☹️</t>
  </si>
  <si>
    <t>17:06</t>
  </si>
  <si>
    <t>Чем больше слушаю про них - тем больше убеждаюсь, что у всех так. Ваш комментарий это лишний раз подтверждает</t>
  </si>
  <si>
    <t>Elza_Hill</t>
  </si>
  <si>
    <t>Знакомая ситуация 
В деревне тоже альтернативы особо не было и пришлось выбрать Триколор хотя сейчас выбора куда подключиться все же побольше...
Ну в жару еще как-то показывает,а в дождь совсем караул...Еще чуть-чуть и вынудили бы менять приемник...Хорошо мастер попался совестливый и посоветовал всего лишь поменять головку на антенне и вышло дешевле и добрая часть каналов которые "типа не работали" на "старом" оборудовании тоже волшебным вернулись...
Про нумерацию каналов. Этот "прикол" у них появился после обновлений то ли в прошлом,то ли</t>
  </si>
  <si>
    <t>nas_averyanova</t>
  </si>
  <si>
    <t>16:57</t>
  </si>
  <si>
    <t>25.07.2021 11:31</t>
  </si>
  <si>
    <t>Работает исправно</t>
  </si>
  <si>
    <t>Андрей Ш.</t>
  </si>
  <si>
    <t>16:51</t>
  </si>
  <si>
    <t>24.07.2021 16:51</t>
  </si>
  <si>
    <t>триколор сами по себе мутные, сейчас хз, но раньше у них питерский номер техподдержки был и  в роуминг звонить не очень приятно было...</t>
  </si>
  <si>
    <t>Денис Новоселов</t>
  </si>
  <si>
    <t>16:46</t>
  </si>
  <si>
    <t>У меня у родителей на даче триколор, в дождик или ветер сигнал пропадает.  В следующем году поставим обычную тарелку, с этими тарифами и цены высокие и названия меняются.</t>
  </si>
  <si>
    <t>Daria.5</t>
  </si>
  <si>
    <t>16:40</t>
  </si>
  <si>
    <t>24.07.2021 16:41</t>
  </si>
  <si>
    <t>Вадим, на горячую линию триколор позвоните,они быстро их в чувства приведут,проверено</t>
  </si>
  <si>
    <t>Алексей Решетников</t>
  </si>
  <si>
    <t>24.07.2021 16:35</t>
  </si>
  <si>
    <t>Добрый день. Хочу попросить совета. Телевизор совсем стал плохо показывать. Все время пропадает сигнал. Весной особых</t>
  </si>
  <si>
    <t>У меня триколор. Но что то я не нашёл там 20 бесплатных каналов. Может плохо искал?? Кончились день и рубанули всё</t>
  </si>
  <si>
    <t>Кирилл Павлов</t>
  </si>
  <si>
    <t>Васкелово</t>
  </si>
  <si>
    <t>-то показывал. До подключения антенны у нас с сильнейшими помехами можно было посмотреть только Первый канал и НТВ, и это Подмосковье неподалёку от вышки связи! Что же творится ещё дальше от крупных городов? Так и было принято решение подключиться к спутнику.    
    Спутниковая антенна Триколор ТВКак стать абонентом Триколор ТВ? Когда мы подключались к ним, был только один способ связи - телефон. Центральный офис у них в Санкт-Петербурге, туда и дозванивались, а филиалы уже были раскиданы</t>
  </si>
  <si>
    <t>animal,sky,bird,building</t>
  </si>
  <si>
    <t>15:38</t>
  </si>
  <si>
    <t>25.07.2021 02:03</t>
  </si>
  <si>
    <t>VALENKI FOREVER - ТАКИЕ ДЕЛА Москва. Россия. Анонс фильма о "русских террористах". На отечественном канале Триколор. В</t>
  </si>
  <si>
    <t>ну нет такого телеканала -Триколор...  это провайдер интернет ТВ, там всё онлайн и нарыть можно любой шедевр или наоборот</t>
  </si>
  <si>
    <t>Elena Koblova</t>
  </si>
  <si>
    <t>Valenki Forever</t>
  </si>
  <si>
    <t>Великий Новгород</t>
  </si>
  <si>
    <t>15:31</t>
  </si>
  <si>
    <t>24.07.2021 15:31</t>
  </si>
  <si>
    <t>Васкелово в зоне неуверенного приема телесигнала. Это официальная позиция провайдера. У тещи тарелка триколор, более менее нормально. Или есть решение- интернет хороший плюс смарттв. Если тв, не умеет работать с интернетом напрямую, то через приставку iptv типа матрешка.</t>
  </si>
  <si>
    <t>Кирилл Зимин</t>
  </si>
  <si>
    <t>24.07.2021 20:52</t>
  </si>
  <si>
    <t>Обзор каналов пакета "Единый" спутникового ТВ "Триколор"" (25.09.2019)</t>
  </si>
  <si>
    <t>12:01 Кухня на Теле Кафе???? В Первый раз вижу</t>
  </si>
  <si>
    <t>MS ᴀʀᴛʜᴜʀ 190 ツ</t>
  </si>
  <si>
    <t>YrgenFoxter</t>
  </si>
  <si>
    <t>24.07.2021 14:47</t>
  </si>
  <si>
    <t>Здравствуйте. Не получается изменить номер телефона указанный в регистрации. Как его поменять с телефона?</t>
  </si>
  <si>
    <t>Открываете мобильное приложение Мой Триколор, авторизовывайтесь, заходите в раздел профиль затем Мои данные и вот там меняете и мобильный номер и электронную почту нажатием на изображениедалее ставите галочку что даёте своё согласен на на сбор и обработку персональных данных и всё.</t>
  </si>
  <si>
    <t>28.07.2021 01:09</t>
  </si>
  <si>
    <t>Триколор ТВ Архангельск</t>
  </si>
  <si>
    <t>Не могу сказать ничего плохого.</t>
  </si>
  <si>
    <t>Алина Светлова (Алина)</t>
  </si>
  <si>
    <t>13:58</t>
  </si>
  <si>
    <t>Galaxy Innovations Адаптер WI-FI для приставок DVB-T2 и ресиверов Триколор ТВ (5dbi)</t>
  </si>
  <si>
    <t>Норм...............</t>
  </si>
  <si>
    <t>Иван</t>
  </si>
  <si>
    <t>13:42</t>
  </si>
  <si>
    <t>25.07.2021 05:18</t>
  </si>
  <si>
    <t>Ресивер Триколор GS B622L Ultra HD c тарифом "Единый мульти"</t>
  </si>
  <si>
    <t>Достоинства: Супер спасибо продавцу все отлично и цена приятное и подарок</t>
  </si>
  <si>
    <t>Николай С.</t>
  </si>
  <si>
    <t>13:41</t>
  </si>
  <si>
    <t>24.07.2021 13:41</t>
  </si>
  <si>
    <t>#ФакелТомь Начало - в 18:00 ⏰ • Текстовый онлайн: fakelfc.ru  • Live-трансляция  #ФакелВоронеж</t>
  </si>
  <si>
    <t>Саша, На Наш Спорт 8 в приложении "Триколора" и на ТК "Футбольный" в 04:35 утра, но в записи</t>
  </si>
  <si>
    <t>Вадим Азаренко</t>
  </si>
  <si>
    <t>ФК «Факел» Воронеж</t>
  </si>
  <si>
    <t>Курск</t>
  </si>
  <si>
    <t>13:35</t>
  </si>
  <si>
    <t>Ресивер Триколор GS B622L + подписка на 7 дней ( Центр, Единый Ультра HD 2500 р/год)</t>
  </si>
  <si>
    <t>товар получин,все целое.</t>
  </si>
  <si>
    <t>24.07.2021 16:10</t>
  </si>
  <si>
    <t>Live Power Блок питания для Триколор ТВ,светодиодных лент,камер видеонаблюдения 12V/2A (5.5x2.5)</t>
  </si>
  <si>
    <t>Всё работает! Рекомендую!</t>
  </si>
  <si>
    <t>Достоинства: Компактный,  встроенный  wi fi, пультом можно не целиться на ресивер.
Недостатки: Дисплей,  нет вентиляционных отверстий (как скажется на нагрев?)
В первую очередь обрадовал wi fi, скорость чуть режет (через стену в 5м от роутера ADSL)но держится стабильно, ещё пультом можно не целиться на ресивер- как например с GS 527 чуть в сторону и не переключить , появились дополнительные каналы в списке которые через интернет а в меню предложенные   платные и бесплатные фильмы, сериалы,   в GS 527  этого нет, обновилось ПО- теперь минусы</t>
  </si>
  <si>
    <t>electronic device,building,kitchen appliance,home appliance,furniture,table,television,floor,display device,microwave oven,wood,drawer</t>
  </si>
  <si>
    <t>design,interior design,room</t>
  </si>
  <si>
    <t>13:18</t>
  </si>
  <si>
    <t>24.07.2021 13:18</t>
  </si>
  <si>
    <t>Либо блок питания ресивера сгорел</t>
  </si>
  <si>
    <t>Илья Астафьев</t>
  </si>
  <si>
    <t>Ханты-Мансийский автономный округ — Югра</t>
  </si>
  <si>
    <t>Нягань</t>
  </si>
  <si>
    <t>13:00</t>
  </si>
  <si>
    <t>24.07.2021 13:32</t>
  </si>
  <si>
    <t>Третий сезон Юношеской футбольной лиги стартует уже сегодня!  В первенстве ЮФЛ-2021/22 в двух возрастных дивизионах</t>
  </si>
  <si>
    <t>Третий сезон Юношеской футбольной лиги стартует уже сегодня! 
В первенстве ЮФЛ-2021/22 в двух возрастных дивизионах примут участие 15 академий! Победитель розыгрыша получит путёвку в Юношескую лигу УЕФА. Сезон завершится в конце мая 2022 года. Все матчи турнира покажет Триколор. 
Смотрите прямые трансляции Юношеской футбольной лиги: 
⚽️ через спутник на телеканале «Футбольный» под номером 609 (в Центре) или 610 (в Сибири)
⚽️ в онлайн-плеерах «Наш спорт» в приложении «Триколор Кино и ТВ» на смартфонах, планшетах и телевизорах с функцией Smart TV и в веб-версии онлайн-сервиса kino.tricolor.tv по ссылке https://ok.me/mE1g</t>
  </si>
  <si>
    <t>plant,text,ball,sports equipment,grass</t>
  </si>
  <si>
    <t>games,sport venue,sports,competition,football,ball game,championship</t>
  </si>
  <si>
    <t>24.07.2021 13:05</t>
  </si>
  <si>
    <t>Третий сезон Юношеской футбольной лиги стартует уже в эту субботу!  Смотрите прямые трансляции:
⚽️ на телеканале «Футбольный» под номером 609 (в Центре) или 610 (в Сибири)
⚽️ в онлайн-плеерах «Наш спорт» в приложении «Триколор Кино и ТВ» для мобильных устройств и Smart TV</t>
  </si>
  <si>
    <t>Третий сезон Юношеской футбольной лиги стартует уже сегодня! 
В первенстве ЮФЛ-2021/22 в двух возрастных дивизионах примут участие 15 академий! Победитель розыгрыша получит путёвку в Юношескую лигу УЕФА. Сезон завершится в конце мая 2022 года. Все матчи турнира покажет Триколор. 
Смотрите прямые трансляции Юношеской футбольной лиги: 
⚽️ через спутник на телеканале «Футбольный» под номером 609 (в Центре) или 610 (в Сибири)
⚽️ в онлайн-плеерах «Наш спорт» в приложении «Триколор Кино и ТВ» на смартфонах, планшетах и телевизорах с функцией Smart TV и в веб-версии онлайн-сервиса kino.tricolor.tv по ссылке https://clck.ru/UbTWa</t>
  </si>
  <si>
    <t>https://scontent.fykz1-1.fna.fbcdn.net/v/t1.6435-9/e15/q75/p960x960/221036022_4110643715656534_1914015745829209780_n.jpg?_nc_cat=106&amp;ccb=1-3&amp;_nc_sid=730e14&amp;_nc_ohc=Y5IG7Q4zUvwAX_6PHNI&amp;_nc_ad=z-m&amp;_nc_cid=0&amp;_nc_ht=scontent.fykz1-1.fna&amp;oh=fe0aac09a9aaeee0e86562db3a6ee2e3&amp;oe=61211D1D</t>
  </si>
  <si>
    <t>24.07.2021 12:46</t>
  </si>
  <si>
    <t>БАЛТИКА - ОРЕНБУРГ. ПРЕВЬЮ 24 июля в 22.00 (время оренбургское) на стадионе «Калининград» состоится матч</t>
  </si>
  <si>
    <t>Рустам, купить триколор тв)</t>
  </si>
  <si>
    <t>Владимир Николаев</t>
  </si>
  <si>
    <t>ФК "Оренбург"</t>
  </si>
  <si>
    <t>Оренбург</t>
  </si>
  <si>
    <t>12:40</t>
  </si>
  <si>
    <t>25.07.2021 19:37</t>
  </si>
  <si>
    <t>Приложение
Приложение необходимое для абонентов ТРИКОЛОР, но тяжело открывается! Хотелось бы, чтоб приходили напоминания о необходимости оплатить подписку за месяц ‍♂️</t>
  </si>
  <si>
    <t>Arctic1957tiger</t>
  </si>
  <si>
    <t>12:34</t>
  </si>
  <si>
    <t>24.07.2021 12:34</t>
  </si>
  <si>
    <t>Сергей, без всякого яндекса на триколора найди канал "ФУТБОЛЬНЫЙ" и вперёд прямая трансляция!</t>
  </si>
  <si>
    <t>Сергей Ерескин</t>
  </si>
  <si>
    <t>Котельниково</t>
  </si>
  <si>
    <t>24.07.2021 12:25</t>
  </si>
  <si>
    <t>Копеечный штекер, пол минуты снять старый, и поставить новый.</t>
  </si>
  <si>
    <t>Сергей Сорос</t>
  </si>
  <si>
    <t>25.07.2021 02:04</t>
  </si>
  <si>
    <t>Это не в первый раз, по телеку показывают фильмы, где русские в виде бандитов или террористов</t>
  </si>
  <si>
    <t>Irina Nalivayko</t>
  </si>
  <si>
    <t>Томская область</t>
  </si>
  <si>
    <t>Томск</t>
  </si>
  <si>
    <t>24.07.2021 12:17</t>
  </si>
  <si>
    <t>Рустам, нет, через приложение нужен только интернет и аккаунт от триколора (раньше так было)</t>
  </si>
  <si>
    <t>Игорь Компанеец</t>
  </si>
  <si>
    <t>12:14</t>
  </si>
  <si>
    <t>Достоинства: хорошо держит сигнал
Недостатки: нет
сигнал усиливает и чуть лучше держит по сравнению с предыдущим, который пришел в негодность и этот был куплен на замену. Сигнал стал реально лучше.</t>
  </si>
  <si>
    <t>Гринкевич Елена</t>
  </si>
  <si>
    <t>24.07.2021 12:09</t>
  </si>
  <si>
    <t>Доброе утро знакотам... Подскажите, нет в сети iptv и вообще ничего, какой малой кровью обойтись и раздать людям ТВ...</t>
  </si>
  <si>
    <t>вопрос - Вы на этом заработать хотите или на альтруизме всю систему поддерживать будете? Не для рекламы - домой брал приставку от Триколор - она через инет работает без привязки к провайдеру. Годовая плата за пакет из 100+ каналов около 1500 р. + приставка. Ну и бонусом еще до 4 или 5 устройств на андроиде/iOS обеспечить телевидением.
З.Ы. новостные каналы почти не включаю - больше по фильмам, тем более что там почти на всех каналах есть архив программ на 7 суток</t>
  </si>
  <si>
    <t>Дима Зайцев</t>
  </si>
  <si>
    <t>Администрирование: MikroTik, Ubiquiti, Провайдер</t>
  </si>
  <si>
    <t>11:59</t>
  </si>
  <si>
    <t>24.07.2021 17:21</t>
  </si>
  <si>
    <t>Пульт отличный, заработал как ни странно сразу, а описании написано что оригинал, так что не удивительно. Подходит ко всем приемникам</t>
  </si>
  <si>
    <t>Дамир</t>
  </si>
  <si>
    <t>24.07.2021 11:40</t>
  </si>
  <si>
    <t>Подскажите пожалуйста, чтобы смотреть в смарт тв в приложении триколор, нужна тарелка?</t>
  </si>
  <si>
    <t>Рустам Абишев</t>
  </si>
  <si>
    <t>24.07.2021 11:36</t>
  </si>
  <si>
    <t>Они с.ки еще за перепрошивку рублей 700 берут хотя приемники глючат по вине триколора.</t>
  </si>
  <si>
    <t>Василий Андреев</t>
  </si>
  <si>
    <t>11:28</t>
  </si>
  <si>
    <t>24.07.2021 11:28</t>
  </si>
  <si>
    <t>Всем привет. Хочу предупредить желающих посетить дилерскую точку спутникового телевидения на Горького д.3. При всяких акционных обменах оборудования умудряются обманывать. Проверяйте. Меня сегодня на 2тр обманули, на сайте триколор подтвердили, но триколор от дилера открещивается, не хочет на них давить.</t>
  </si>
  <si>
    <t>25.07.2021 00:12</t>
  </si>
  <si>
    <t>Быстрое обслуживание, отличные менеджеры.</t>
  </si>
  <si>
    <t>Михаил Ш.</t>
  </si>
  <si>
    <t>11:12</t>
  </si>
  <si>
    <t>24.07.2021 13:04</t>
  </si>
  <si>
    <t>Где я что то не нашёл</t>
  </si>
  <si>
    <t>И там же не пропадут каналы провайдера мини максы квс  vf и прочие ониже находятся в категории кино  а я хочу что бы себе сделать что бы были только каналы нтв плюс  и триколор тв ну   все остоль ные региональные   и все какие имеют русский язык)</t>
  </si>
  <si>
    <t>Anton Egorovich13</t>
  </si>
  <si>
    <t>ILookTV</t>
  </si>
  <si>
    <t>27.07.2021 06:02</t>
  </si>
  <si>
    <t>Телевизор BBK 40LEM-1072/FTS2C 40"</t>
  </si>
  <si>
    <t>приставки Триколор (по-другому не ловит). Данная модель подошла более чем! За невысокую цену получаете приличный"ящик". Устанавливала и подключала к спутниковой приставке сама - особых усилий это не потребовало. Всё на интуитивном уровне, даже не пришлось открывать инструкцию. Особых настроек тоже не потребовалось. Так, покопалась немного в картинке и звуке, выставила время, спутник настроился сам. Немного пришлось повозиться с прикручиванием ножек. Болты заходят в пластик, без резьбы, поэтому не смогла ввернуть до конца - сил не хватило. Ножки</t>
  </si>
  <si>
    <t>Татьяна Лиманская</t>
  </si>
  <si>
    <t>01.08.2021 06:33</t>
  </si>
  <si>
    <t>Триколор Спутниковый двухтюнерный цифровой 4K ресивер Триколор GS B626L (Год 1500 руб.)</t>
  </si>
  <si>
    <t>24.07.2021 14:33</t>
  </si>
  <si>
    <t>Триколор Ресивер телевизионный GS B626L</t>
  </si>
  <si>
    <t>Заказ приехал быстро. Сервис обслуживание на высоте. Всё активировали и зарегистрировали быстро, рекомендую к покупке.</t>
  </si>
  <si>
    <t>Денис</t>
  </si>
  <si>
    <t>monitor,output device,display device,television,screen,electronic device,flat panel display,computer monitor,gadget</t>
  </si>
  <si>
    <t>10:33</t>
  </si>
  <si>
    <t>24.07.2021 10:33</t>
  </si>
  <si>
    <t>Да беда надо менять ресивер</t>
  </si>
  <si>
    <t>Евгений Ланских</t>
  </si>
  <si>
    <t>24.07.2021 10:28</t>
  </si>
  <si>
    <t>Что может быть круче распродажи в онлайн-сервисе «Триколор Кино и ТВ»?  Ничего...  Потому купить такие классные</t>
  </si>
  <si>
    <t>Раздел радио так и нету</t>
  </si>
  <si>
    <t>Привет когда появиться радио этот классный фильм</t>
  </si>
  <si>
    <t>24.07.2021 10:14</t>
  </si>
  <si>
    <t>Добрый день. Тобольская, с 14 июля сидим без интернета. Тис Диалог устраивал, но где то в районе вандалы обрезали кабель</t>
  </si>
  <si>
    <t>Ольга, спасибо большое, хочу интернет в дом, у Ростелекома нет сети свободной, тис к частникам не подключает, а без интернета как без рук (
Пробовали МТС, и спутниковый интернет от триколора, но что то не зашло, цена ого-го, а не грузит вообще</t>
  </si>
  <si>
    <t>Виктория Занько</t>
  </si>
  <si>
    <t>10:05</t>
  </si>
  <si>
    <t>24.07.2021 17:25</t>
  </si>
  <si>
    <t>TP-Link Адаптер Wi-Fi TL-WN725N</t>
  </si>
  <si>
    <t>Хороший товар. Работает отлично на спутниковом приёмнике от Триколор ТВ.</t>
  </si>
  <si>
    <t>Завтра начнутся мероприятия в честь дня ВМФ России в Севастополе!
Смотрите прямую трансляцию события с героического Черноморского побережья в Триколоре:
 на телеканале «День Победы» под номером 29 в общем списке каналов
 в «Большом эфире» по ссылке: https://clck.ru/RyxsS 
Вы сможете не только восхититься мощью флота, но и вдохновиться российской авиацией — над бухтой Севастополя пролетит более двух десятков самолетов и вертолетов.</t>
  </si>
  <si>
    <t>text,flag</t>
  </si>
  <si>
    <t>https://scontent.fykz1-2.fna.fbcdn.net/v/t1.6435-9/p960x960/220520927_4110249382362634_8440437879536012825_n.png?_nc_cat=101&amp;ccb=1-3&amp;_nc_sid=730e14&amp;_nc_ohc=Nx0_rIQV0AwAX-giv6j&amp;_nc_ad=z-m&amp;_nc_cid=0&amp;_nc_ht=scontent.fykz1-2.fna&amp;oh=7451593bc9eea93c96b76265fc1da91b&amp;oe=6122D8B2</t>
  </si>
  <si>
    <t>24.07.2021 10:34</t>
  </si>
  <si>
    <t>Завтра начнутся мероприятия в честь дня ВМФ России в Севастополе! Смотрите прямую трансляцию события с героического</t>
  </si>
  <si>
    <t>Завтра начнутся мероприятия в честь дня ВМФ России в Севастополе!
Смотрите прямую трансляцию события с героического Черноморского побережья в Триколоре:
 на телеканале «День Победы» под номером 29 в общем списке каналов
 в «Большом эфире» по ссылке: https://ok.me/xEzY 
Вы сможете не только восхититься мощью флота, но и вдохновиться российской авиацией — над бухтой Севастополя пролетит более двух десятков самолетов и вертолетов.
Что измеряют в морских узлах?
Скорость
Время
Плотность воды</t>
  </si>
  <si>
    <t>24.07.2021 10:05</t>
  </si>
  <si>
    <t>Завтра начнутся мероприятия в честь дня ВМФ России в Севастополе!
Смотрите прямую трансляцию события с героического Черноморского побережья в Триколоре:
 на телеканале «День Победы» под номером 29 в общем списке каналов
 в «Большом эфире» по ссылке: https://bit.ly/3BJ1lT4</t>
  </si>
  <si>
    <t>09:59</t>
  </si>
  <si>
    <t>25.07.2021 00:11</t>
  </si>
  <si>
    <t>Плохо! Не связываться</t>
  </si>
  <si>
    <t>Фото с камеры Ф.</t>
  </si>
  <si>
    <t>Достоинства: Работает. 
Недостатки: Их нет. 
Нужен компас)) По-любому. Ловит все нормально. Сигнал громкий. Светодиоды яркие</t>
  </si>
  <si>
    <t>24.07.2021 09:15</t>
  </si>
  <si>
    <t>. Конечно, целый год я не заходил в личный кабинет. Что мне там делать каждый день-то?
На все обращения в чат поддержки (а дозвониться до них невозможно) приходит стандартный ответ - сами подключили, сами не заметили, сами виноваты.
Так что, если пользуетесь ТВ от Триколора - не поленитесь, зайдите в ЛК в раздел платежей и посмотрите на включенную автооплату.
Написал обращение в роспотребнадзор. Но, читая отзывы в нете за последние месяцы, понимаю, что скорее всего - это бесполезное занятие.</t>
  </si>
  <si>
    <t>Циферблаты для  смарт-часов SAMSUNG</t>
  </si>
  <si>
    <t>Наро-Фоминск</t>
  </si>
  <si>
    <t>text,symbol,trademark</t>
  </si>
  <si>
    <t>24.07.2021 09:37</t>
  </si>
  <si>
    <t>Щас надо хуярить искать блок питания для триколор приставки</t>
  </si>
  <si>
    <t>Oplaus (Спортмастер -30%)</t>
  </si>
  <si>
    <t>Чат@Купоны и акции в поддержку Навального от меня</t>
  </si>
  <si>
    <t>25.07.2021 13:48</t>
  </si>
  <si>
    <t>Блок питания Триколор стабилизированный 12В/2А, подходит для Спутниковых ресиверов, DC разъем 5,5*2,1</t>
  </si>
  <si>
    <t>Достоинства: работает без проблем. цена и качество соответствует.</t>
  </si>
  <si>
    <t>Анна Я.</t>
  </si>
  <si>
    <t>08:18</t>
  </si>
  <si>
    <t>Пульт поступил хорошо упакованный, дома проверил, работает исправно с B533M.</t>
  </si>
  <si>
    <t>24.07.2021 23:54</t>
  </si>
  <si>
    <t>Блок питания (сетевой адаптер) универсальный для Триколор / Ростелеком / Wink / Gpon / GS, для модемов, роутеров, ТВ-приставок, ресиверов, камер видеонаблюдения GoodPower-1202 12V 2A 24W разъём DC 5.5*2.5 мм</t>
  </si>
  <si>
    <t>Достоинства: соответствует описанию</t>
  </si>
  <si>
    <t>Дмитрий М.</t>
  </si>
  <si>
    <t>07:56</t>
  </si>
  <si>
    <t>24.07.2021 07:56</t>
  </si>
  <si>
    <t>Что происходит с интернетом "Летай" ? Постоянно вылетает.Невозможно пользоваться</t>
  </si>
  <si>
    <t>Максим, оборудование сколько стоит? От триколора интернет только на прием данных или же на передачу данных тоже?</t>
  </si>
  <si>
    <t>Дмитрий Зарипов</t>
  </si>
  <si>
    <t>УРУССУ - small city LIFE</t>
  </si>
  <si>
    <t>Уруссу</t>
  </si>
  <si>
    <t>07:43</t>
  </si>
  <si>
    <t>24.07.2021 08:00</t>
  </si>
  <si>
    <t>Успейте подключить пакет каналов «Детский» по старой цене с новыми возможностями! Подписка доступна как на спутнике, так</t>
  </si>
  <si>
    <t>Один из лучших и оптимальных по цене детских пакетов среди всех операторов. Не только спутникового ТВ.</t>
  </si>
  <si>
    <t>24.07.2021 07:38</t>
  </si>
  <si>
    <t>Любовь, в 12 часов дня наведите тарелку прямо на солнце и будет счастье!!!</t>
  </si>
  <si>
    <t>07:29</t>
  </si>
  <si>
    <t>24.07.2021 07:29</t>
  </si>
  <si>
    <t>Триколор очень дорого .да и  не очень
Сейчас дом ру ,очень нравится</t>
  </si>
  <si>
    <t>06:18</t>
  </si>
  <si>
    <t>24.07.2021 06:18</t>
  </si>
  <si>
    <t>А триколор был у мужа в деревне, отказались, только бесплатные каналы оставили</t>
  </si>
  <si>
    <t>Оля Ванькова</t>
  </si>
  <si>
    <t>06:14</t>
  </si>
  <si>
    <t>24.07.2021 07:06</t>
  </si>
  <si>
    <t>Lllkp⁰ taco bell Google my now that
v2.4.0</t>
  </si>
  <si>
    <t>Алексей Марков</t>
  </si>
  <si>
    <t>24.07.2021 05:51</t>
  </si>
  <si>
    <t>Что может быть ? Каналы Мосфильма и дом кино прем , работают с перебоями . причем включается смотришь параметры , сила</t>
  </si>
  <si>
    <t>Нормальное качество 80 все работает без проблем</t>
  </si>
  <si>
    <t>Сергей Попков</t>
  </si>
  <si>
    <t>Акмолинская область</t>
  </si>
  <si>
    <t>Кокшетау</t>
  </si>
  <si>
    <t>05:36</t>
  </si>
  <si>
    <t>29.07.2021 06:14</t>
  </si>
  <si>
    <t>Блок питания 12V 2A для Триколор / Ростелеком / Wink / Gpon / GS. Адаптер для модемов, роутеров, ТВ-приставок, ресиверов, камер видеонаблюдения.</t>
  </si>
  <si>
    <t>Достоинства: отлично блок питания</t>
  </si>
  <si>
    <t>03:55</t>
  </si>
  <si>
    <t>24.07.2021 18:29</t>
  </si>
  <si>
    <t>Новые требования Минцифры сделают невозможным использование спутниковой связи в России Министерство цифрового развития,</t>
  </si>
  <si>
    <t>" А как же спутниковый интернет от " Триколор " для удаленных мест ? "</t>
  </si>
  <si>
    <t>Рустам Кильдияров</t>
  </si>
  <si>
    <t>3DNews</t>
  </si>
  <si>
    <t>03:20</t>
  </si>
  <si>
    <t>24.07.2021 15:53</t>
  </si>
  <si>
    <t>Отличное качество изображения</t>
  </si>
  <si>
    <t>Владимир Владимирович Путин</t>
  </si>
  <si>
    <t>01:47</t>
  </si>
  <si>
    <t>24.07.2021 02:12</t>
  </si>
  <si>
    <t>Мене очень нравится очень хороший вариант
v2.5.0</t>
  </si>
  <si>
    <t>Игорь Новак</t>
  </si>
  <si>
    <t>01:42</t>
  </si>
  <si>
    <t>24.07.2021 04:25</t>
  </si>
  <si>
    <t>Достоинства: Работает 
Недостатки: Сильно греется</t>
  </si>
  <si>
    <t>Михаил М.</t>
  </si>
  <si>
    <t>00:21</t>
  </si>
  <si>
    <t>24.07.2021 02:30</t>
  </si>
  <si>
    <t>Уровень неуважения России к Украине дошёл и до того, что это самое неуважение отражается даже в самых разных мелочах.  Вот, на церемонии открытия олимпийских игр прямо перед выходом украинской команды первый канал… запускает рекламу! И подключается к трансляции</t>
  </si>
  <si>
    <t>Странно, я на Первом всё видел. Особенно доставило, что знаменосцы Украины маски носили чуть не на шее.
Но я первый смотрел по триколор, может в этом дело</t>
  </si>
  <si>
    <t>Дмитрий Мацедонский</t>
  </si>
  <si>
    <t>Чат #PTM</t>
  </si>
  <si>
    <t>24.07.2021 00:14</t>
  </si>
  <si>
    <t>Доброго времени суток, кто знает как настраивать Триколор? Есть у кого-то номера людей которые этим занимаются. Анонимно</t>
  </si>
  <si>
    <t>Евгений, крутили-вертели, сигнала, ну вот как не было, так и нет, в чём дело понять не может</t>
  </si>
  <si>
    <t>Екатерина Волкова</t>
  </si>
  <si>
    <t>Подслушано в Дорогобуже | ВерхнеднепровскОМ</t>
  </si>
  <si>
    <t>00:02</t>
  </si>
  <si>
    <t>24.07.2021 13:25</t>
  </si>
  <si>
    <t>Ставили на дачу, все работает, все ок</t>
  </si>
  <si>
    <t>Оптика в ховринО</t>
  </si>
  <si>
    <t>Дмитров</t>
  </si>
  <si>
    <t>23.07.2021</t>
  </si>
  <si>
    <t>23:43</t>
  </si>
  <si>
    <t>24.07.2021 05:40</t>
  </si>
  <si>
    <t>Достоинства: После "смерти" Родного пульта, я уже поменял 2, этот пульт 3 (покупал аналоги хотя цена оказалась такой же практически). Единственное скажу пульт понравился даже лучше чем в родном комплекте. 
Недостатки: Нет</t>
  </si>
  <si>
    <t>23.07.2021 23:29</t>
  </si>
  <si>
    <t>Радость-то какая! Долгожданный дождь!!! А вот Триколор показывать перестал. Он что, только в хорошую погоду работает? А</t>
  </si>
  <si>
    <t>Мне 20 каналов по цифре вполне хватает. Антенна самая простая зато никогда не отключается.</t>
  </si>
  <si>
    <t>Александр Риор</t>
  </si>
  <si>
    <t>Сад.массив Михайловский | ж/д ст. Михайловская</t>
  </si>
  <si>
    <t>23:28</t>
  </si>
  <si>
    <t>24.07.2021 00:55</t>
  </si>
  <si>
    <t>До официального открытия Олимпийских игр в Токио остаются считанные часы, но всё еще неясно, получат ли казахстанские</t>
  </si>
  <si>
    <t>Отлично посмотрел в HD качестве на Триколор ТВ.</t>
  </si>
  <si>
    <t>Maxim  Petrov</t>
  </si>
  <si>
    <t>Radio Azattyq</t>
  </si>
  <si>
    <t>24.07.2021 05:39</t>
  </si>
  <si>
    <t>не проверял времини нет</t>
  </si>
  <si>
    <t>Олег П.</t>
  </si>
  <si>
    <t>23.07.2021 23:14</t>
  </si>
  <si>
    <t>Кто-то скажет, что это прошлый век. Но выходит так что пакет на 1 год стоит 2000 в среднем(227 каналов). В то время как у ростелекома обойдется в 500 минимум(117 каналов). Плюс это г***но не работает когда ростелеком проводит свои "тех работы". Когда триколор 365/24/7 лишь бы свет был. А лучше не смотрите телевизор))) Мир откроете о "России" и как всем хорошо</t>
  </si>
  <si>
    <t>Максим Максимов</t>
  </si>
  <si>
    <t>23.07.2021 23:04</t>
  </si>
  <si>
    <t>Только не триколор! Платишь деньги, а тв постоянно глючит, чуть дождик или ветер и всё- не показывают каналы!</t>
  </si>
  <si>
    <t>Владимир Казанин</t>
  </si>
  <si>
    <t>25.07.2021 01:21</t>
  </si>
  <si>
    <t>Триколор
Мне нравятся триколор</t>
  </si>
  <si>
    <t>волков сергей</t>
  </si>
  <si>
    <t>23.07.2021 22:50</t>
  </si>
  <si>
    <t>#Саратов_Ищу_рекомендации
#РК_Саратов
Добрый вечер,подскажите ,нужен хороший интернет и телевидение(спутниковое)в квартире,рассматриваю триколор!сколько по деньгам стоит, и какое качество (Саратов)анон пожалуйста)</t>
  </si>
  <si>
    <t>23.07.2021 23:11</t>
  </si>
  <si>
    <t>Кашмар
v2.4.0</t>
  </si>
  <si>
    <t>Андрей Кулишкин</t>
  </si>
  <si>
    <t>22:30</t>
  </si>
  <si>
    <t>24.07.2021 02:52</t>
  </si>
  <si>
    <t>Как бесплатно прошить ресивер Триколор ТВ</t>
  </si>
  <si>
    <t>МОЖНО ЛИ ПРОШИТЬ GS C591 ПОД ИНТЕРНЕТ ПРОСМОТР?</t>
  </si>
  <si>
    <t>KAMAL NAZIMOV</t>
  </si>
  <si>
    <t>22:27</t>
  </si>
  <si>
    <t>24.07.2021 04:29</t>
  </si>
  <si>
    <t>Сожалеем, что Вы столкнулись с подобными трудностями. Эти каналы входят в состав Триколора. Для того, чтобы мы могли Вам помочь, пожалуйста, напишите в сообщения группы.</t>
  </si>
  <si>
    <t>22:19</t>
  </si>
  <si>
    <t>24.07.2021 02:45</t>
  </si>
  <si>
    <t>Антенна триколор не ловит сигнал, что делать ? Ищем неисправность !</t>
  </si>
  <si>
    <t>Спасибо. Вот оптику затянут. Будет хороший интернет. И подключим все.</t>
  </si>
  <si>
    <t>Деревенский СУНДУЧОК TV</t>
  </si>
  <si>
    <t>24.07.2021 04:11</t>
  </si>
  <si>
    <t>Наверное Самсунг. У меня был, 15 лет в строю, потом современный купил, а этот отдал, так он до сих пор работает. И самое интересное, ловил на него переговоры полиции, когда рядом были, таксиста один раз тоже перехватил, а ещё рядом местный канал рядом транслировал на триколор спутник, его тоже поймал. Вечная техника.</t>
  </si>
  <si>
    <t>K.I.N. 22</t>
  </si>
  <si>
    <t>Yaplakal.com ЧАТ</t>
  </si>
  <si>
    <t>23.07.2021 22:08</t>
  </si>
  <si>
    <t>В 2020 году фильм «Скандал» получил «Оскар» в номинации «Лучший грим и причёски». И это действительно заслуженно, ведь</t>
  </si>
  <si>
    <t>Триколор, матч-премьер в пакете каналов</t>
  </si>
  <si>
    <t>Савин Андрей</t>
  </si>
  <si>
    <t>21:36</t>
  </si>
  <si>
    <t>24.07.2021 13:10</t>
  </si>
  <si>
    <t>Комплект спутникового телевидения Триколор ТВ Ultra HD GS B622 (Пакет Единый-Мульти-Лайт 7 дней. 1500р/годЦентр)</t>
  </si>
  <si>
    <t>Достоинства: не знаю
Недостатки: в комплекте не оказалось активационного кода или его нагло спёрли!!! хотя комплект подразумевал годовую подписку на 1500!!
ужасно расстроен. теперь бегать по дилерам, пытаться зарегистрироваться и платить.</t>
  </si>
  <si>
    <t>Сергей Е.</t>
  </si>
  <si>
    <t>21:33</t>
  </si>
  <si>
    <t>24.07.2021 02:21</t>
  </si>
  <si>
    <t>Супер, отличный пульт</t>
  </si>
  <si>
    <t>21:30</t>
  </si>
  <si>
    <t>23.07.2021 21:30</t>
  </si>
  <si>
    <t>Что там настраивать?)) Тарелку выставить вертикально и повернуть на юг ,дальше ворочать вправо ,влево, пока не появится максимальная сила сигнала.А качество сигнала регулировка по вертикали тарелки.</t>
  </si>
  <si>
    <t>Евгений Рой</t>
  </si>
  <si>
    <t>Дорогобуж</t>
  </si>
  <si>
    <t>Триколор
Осень удобное приложение</t>
  </si>
  <si>
    <t>lashchenov alex</t>
  </si>
  <si>
    <t>21:24</t>
  </si>
  <si>
    <t>24.07.2021 03:48</t>
  </si>
  <si>
    <t>Приемник какой? Может быть реальная неисправность</t>
  </si>
  <si>
    <t>21:23</t>
  </si>
  <si>
    <t>Смотрите интернет, нафиг вам этот зомбоящик!</t>
  </si>
  <si>
    <t>Вася Вася</t>
  </si>
  <si>
    <t>21:05</t>
  </si>
  <si>
    <t>23.07.2021 21:10</t>
  </si>
  <si>
    <t>привет) я сегодня купил ночной пакет каналов на триколоре) не хочешь посмотреть?))</t>
  </si>
  <si>
    <t>маша и</t>
  </si>
  <si>
    <t>Приморский край</t>
  </si>
  <si>
    <t>Ракушка</t>
  </si>
  <si>
    <t>Ресивер Триколор GS B622L + подписка на 7 дней ( Центр, Единый Мульти Лайт 1500 р/год)</t>
  </si>
  <si>
    <t>Недостатки: В комплекте не оказалось скретч-карты</t>
  </si>
  <si>
    <t>Мария Х.</t>
  </si>
  <si>
    <t>21:02</t>
  </si>
  <si>
    <t>23.07.2021 21:07</t>
  </si>
  <si>
    <t>Здравствуйте! Хочу поменять приёмник по акции. В наличии есть приёмники модели GS B523L / GS B621L / GS B622L / GS B623L</t>
  </si>
  <si>
    <t>Мне нравиться GS B621L</t>
  </si>
  <si>
    <t>Тимофей Андреев</t>
  </si>
  <si>
    <t>привет) я сегодня купил ночной пакет телеканалов в триколоре) не хочешь глянуть?))</t>
  </si>
  <si>
    <t>21:01</t>
  </si>
  <si>
    <t>Достоинства: работает.как родной
Недостатки: нету</t>
  </si>
  <si>
    <t>Светлана Г.</t>
  </si>
  <si>
    <t>20:55</t>
  </si>
  <si>
    <t>Пульт  подошёл все отлично спасибо.</t>
  </si>
  <si>
    <t>24.07.2021 02:19</t>
  </si>
  <si>
    <t>Орбита Блок питания для триколор тв, адаптер питания для цифровых пристовок 12V 2A, штекер 5,5/2.5</t>
  </si>
  <si>
    <t>Все четко !!!</t>
  </si>
  <si>
    <t>Саид</t>
  </si>
  <si>
    <t>23.07.2021 20:39</t>
  </si>
  <si>
    <t>У меня пропали каналы показывает только 100 каналов</t>
  </si>
  <si>
    <t>Любовь Капущу</t>
  </si>
  <si>
    <t>Анциферово</t>
  </si>
  <si>
    <t>23.07.2021 21:09</t>
  </si>
  <si>
    <t>Класс
v2.5.0</t>
  </si>
  <si>
    <t>Вячеслав Парфенов</t>
  </si>
  <si>
    <t>20:32</t>
  </si>
  <si>
    <t>23.07.2021 20:32</t>
  </si>
  <si>
    <t>Подскажите, кто каким провайдером интернета пользуется в Сулее, как вам цена/качество? И каким телевидением? В районе ул</t>
  </si>
  <si>
    <t>А телевидение у нас триколор</t>
  </si>
  <si>
    <t>Анжела Подолян</t>
  </si>
  <si>
    <t>Подслушано Сулея</t>
  </si>
  <si>
    <t>23.07.2021 20:29</t>
  </si>
  <si>
    <t>Триколор, скачал приложение и там тоже пишет ( Не удалось загрузить часть данных .обновите страницу либо позвоните попытку позже ) и так несколько раз одно и тоже ..на телефоне 300 + рублей средчт достаточно</t>
  </si>
  <si>
    <t>Андрей Богдан</t>
  </si>
  <si>
    <t>Суворов</t>
  </si>
  <si>
    <t>23.07.2021 20:28</t>
  </si>
  <si>
    <t>Алексей, и где связь: олимпиада и футбол? Или олимпийский футбол только по футбольным каналам показывают?</t>
  </si>
  <si>
    <t>Дмитрий Кирий</t>
  </si>
  <si>
    <t>23.07.2021 20:20</t>
  </si>
  <si>
    <t>Триколор, не приложение</t>
  </si>
  <si>
    <t>20:19</t>
  </si>
  <si>
    <t>Достоинства: цена
На win10 (пк) после установки драйвера надо зайти в настройки сети и настроить параметры сетевого адаптера. У меня автоматически не включилось.</t>
  </si>
  <si>
    <t>Валентин И.</t>
  </si>
  <si>
    <t>20:18</t>
  </si>
  <si>
    <t>23.07.2021 20:18</t>
  </si>
  <si>
    <t>Почему не могу оплатить матч премьер с телефона ..кол ошибки :19217</t>
  </si>
  <si>
    <t>20:13</t>
  </si>
  <si>
    <t>24.07.2021 04:02</t>
  </si>
  <si>
    <t>подошел к светодиодной ленте 5 метров</t>
  </si>
  <si>
    <t>Ильдар Г.</t>
  </si>
  <si>
    <t>20:11</t>
  </si>
  <si>
    <t>23.07.2021 20:11</t>
  </si>
  <si>
    <t>МАТЧ! ПРЕМЬЕР
МАТЧ! ФУТБОЛ 1/2/3</t>
  </si>
  <si>
    <t>23.07.2021 20:03</t>
  </si>
  <si>
    <t>Триколор, спасибо за помощь))</t>
  </si>
  <si>
    <t>Вовчик Кот</t>
  </si>
  <si>
    <t>23.07.2021 20:01</t>
  </si>
  <si>
    <t>Триколор, это же обдираловка</t>
  </si>
  <si>
    <t>24.07.2021 02:47</t>
  </si>
  <si>
    <t>Что может быть круче распродажи в онлайн-сервисе «Триколор Кино и ТВ»? 
Ничего... 
Потому купить такие классные фильмы, как «Зависнуть в Палм-Спрингс», «Агент Ева», «Семейка Бигфутов» и другие, можно всего за 29 рублей!  
 Более 30 фильмов со скидкой уже ждут на сайте kino.tricolor.tv</t>
  </si>
  <si>
    <t>hairstyle,black hair,hair coloring,poster,long hair,muscle</t>
  </si>
  <si>
    <t>https://scontent.fuio1-1.fna.fbcdn.net/v/t1.6435-9/p960x960/218840552_4110355759018663_663576756320774833_n.png?_nc_cat=109&amp;ccb=1-3&amp;_nc_sid=730e14&amp;_nc_ohc=dT1yJUeuy8YAX_r2flh&amp;_nc_ad=z-m&amp;_nc_cid=0&amp;_nc_ht=scontent.fuio1-1.fna&amp;oh=326b76153e3facdca8f817a12714a547&amp;oe=611FA9B7</t>
  </si>
  <si>
    <t>23.07.2021 20:43</t>
  </si>
  <si>
    <t>hairstyle,black hair,hair coloring,long hair,poster,muscle</t>
  </si>
  <si>
    <t>23.07.2021 20:00</t>
  </si>
  <si>
    <t>Триколор, матч премьер я отдельно подключил</t>
  </si>
  <si>
    <t>23.07.2021 19:58</t>
  </si>
  <si>
    <t>Триколор, он самый</t>
  </si>
  <si>
    <t>19:56</t>
  </si>
  <si>
    <t>23.07.2021 19:57</t>
  </si>
  <si>
    <t>Кто сталкивался?Подключил матч премьер,на основном приёмнике канал показывает,а на втором приёмнике(GSC592) не показывает....Что делать в таком случае?</t>
  </si>
  <si>
    <t>19:36</t>
  </si>
  <si>
    <t>24.07.2021 04:09</t>
  </si>
  <si>
    <t>А когда вы перестали смотреть телевизор? А если смотрите, то что именно?</t>
  </si>
  <si>
    <t>Уже года 2-3 кинопаб только смотрю. Общественное телевидение только на даче, да и то там триколор с кинозалами есть</t>
  </si>
  <si>
    <t>Галина Козеева</t>
  </si>
  <si>
    <t>Anton Golubchik</t>
  </si>
  <si>
    <t>19:26</t>
  </si>
  <si>
    <t>23.07.2021 20:06</t>
  </si>
  <si>
    <t>Только одна проблема когда дождь идёт тогда у меня не показывает Триколор
v2.5.0</t>
  </si>
  <si>
    <t>Ибрагим Гинардукаев</t>
  </si>
  <si>
    <t>19:21</t>
  </si>
  <si>
    <t>23.07.2021 19:26</t>
  </si>
  <si>
    <t>Гриша, Ты ещё "Настоящее время" попроси.</t>
  </si>
  <si>
    <t>23.07.2021 19:20</t>
  </si>
  <si>
    <t>Алексей, А какие спортивные каналы у тебя платные? Только Футбольные.</t>
  </si>
  <si>
    <t>19:07</t>
  </si>
  <si>
    <t>Первый канал представляет трансляцию с Торжественного Парада ко Дню ВМФ, который состоится в Санкт-Петербурге 25 июля в</t>
  </si>
  <si>
    <t>Не смотрю эту дичь</t>
  </si>
  <si>
    <t>Александр Анатольевич</t>
  </si>
  <si>
    <t>23.07.2021 18:56</t>
  </si>
  <si>
    <t>Кто в городе отвечает за качество цифрового телевидения? Последние недели три смотрим в таком качестве: изображение</t>
  </si>
  <si>
    <t>У моей бабушки с Триколором такая же фигня</t>
  </si>
  <si>
    <t>Альбина Муравьева</t>
  </si>
  <si>
    <t>Белебей. Газеточка ☼</t>
  </si>
  <si>
    <t>Приютово</t>
  </si>
  <si>
    <t>23.07.2021 18:41</t>
  </si>
  <si>
    <t>День ВМФ с Триколором: оператор покажет трансляцию праздничных мероприятий в Севастополе Зрители телеканала «День</t>
  </si>
  <si>
    <t>Привет когда появиться радио раздел</t>
  </si>
  <si>
    <t>23.07.2021 18:46</t>
  </si>
  <si>
    <t>Здравствуйте! подскажите пожалуйста,почему приходит сообщение что заканчивается подписка на пакет "Детский",хотя была оплата 499 рублей,24 июня по акции на 3 месяца,типа каникулы....а сейчас осталось 3 дня,как это понимать???</t>
  </si>
  <si>
    <t>Триколор, верни Дождь</t>
  </si>
  <si>
    <t>Гриша Соломонов</t>
  </si>
  <si>
    <t>Тюмень</t>
  </si>
  <si>
    <t>23.07.2021 18:26</t>
  </si>
  <si>
    <t>Матч премьер HD, у кого нибудь есть плейлист с этим каналом?</t>
  </si>
  <si>
    <t>Матч ТВ официальную ссылку я не могу тебе скинуть это все у триколор есть платно платно  Матч ТВ</t>
  </si>
  <si>
    <t>Алексей Палкин</t>
  </si>
  <si>
    <t>IPTV</t>
  </si>
  <si>
    <t>23.07.2021 21:55</t>
  </si>
  <si>
    <t>Здравствуйте! Уточните, пожалуйста, какие фильмы/сериалы вам интересны для просмотра? Чтобы вы хотели видеть? Обратите внимание, что на данный в приложении «Триколор Кино и ТВ» вам доступные различные фильмы и сериалы в рамках сервиса «Кино Онлайн»</t>
  </si>
  <si>
    <t>18:11</t>
  </si>
  <si>
    <t>24.07.2021 05:19</t>
  </si>
  <si>
    <t>Решаем проблему с сетью на Яндекс ТВ</t>
  </si>
  <si>
    <t>Здравствуйте, у меня такой же телевизор,только 24 дюйма. Подскажи как скачать на него приложение Триколор кино и ТВ...</t>
  </si>
  <si>
    <t>Знание - Сила!</t>
  </si>
  <si>
    <t>23.07.2021 19:01</t>
  </si>
  <si>
    <t>Мне очень нравится триколор тв
v2.5.0</t>
  </si>
  <si>
    <t>Алексей Яковин</t>
  </si>
  <si>
    <t>18:06</t>
  </si>
  <si>
    <t>23.07.2021 18:08</t>
  </si>
  <si>
    <t>Мощно, посмотрим!</t>
  </si>
  <si>
    <t>23.07.2021 17:55</t>
  </si>
  <si>
    <t>Установка и продажа Спутниковых Антен всех провайдеров. Мы являемся Официальным Дилером Триколор ТВ в Чеховском р-не.</t>
  </si>
  <si>
    <t>Такая же беда, ваще капец, не хочет вещать, хоть ты тресни, уже как неделю!</t>
  </si>
  <si>
    <t>Наталия Королева</t>
  </si>
  <si>
    <t>Чехов Град</t>
  </si>
  <si>
    <t>Чехов</t>
  </si>
  <si>
    <t>23.07.2021 17:58</t>
  </si>
  <si>
    <t>Антенны Тамбов. Цифровые ТВ приставки. Магазин "Триколор ТВ"</t>
  </si>
  <si>
    <t>Очень классный магазин хорошие продавцы хорошее обслуживание класс</t>
  </si>
  <si>
    <t>Михан Тамбов68</t>
  </si>
  <si>
    <t>17:14</t>
  </si>
  <si>
    <t>24.07.2021 15:39</t>
  </si>
  <si>
    <t>⚡ Match Day Стартовые составы на сегодняшний матч по версии Sports.ru</t>
  </si>
  <si>
    <t>Энхболд Баатаржав Если есть дома триколор ТВ, 300 рублей, матч премьер.</t>
  </si>
  <si>
    <t>Дмитрий Гришин</t>
  </si>
  <si>
    <t>FC Dynamo Moscow</t>
  </si>
  <si>
    <t>23.07.2021 16:49</t>
  </si>
  <si>
    <t>Избавьте меня от рекламы во время перелистывание каналов!</t>
  </si>
  <si>
    <t>Ирек Хаертдинов</t>
  </si>
  <si>
    <t>23.07.2021 19:47</t>
  </si>
  <si>
    <t>Выбор медиаплеера, ТВ бокс на Андроид - Общая тема</t>
  </si>
  <si>
    <t>GEO-Tr @ 23.07.21, 16:36  /forum/index.php?act=findpost&amp;pid=108168857 Бесплатно Триколор - никак не словить на Микуле  ?
Неее :D Да и чёто глянул я первый попавшийся магазин на Ali, пишут S2 тюнер, глянул в другой, там T2 тюнер. А модель то одна. То есть похоже есть со спутником а есть с эфиром  :D</t>
  </si>
  <si>
    <t>lion_st</t>
  </si>
  <si>
    <t>16:36</t>
  </si>
  <si>
    <t>/forum/index.php?act=findpost&amp;pid=108168686  lion_st,
оо, а у меня антенна круглая есть... и чтобы Триколор или НТВ ловил - это по-любому еще фирменную карту (подписку ) у операторов покупать надо (если не шарить) ? Бесплатно Триколор - никак не словить на Микуле  ?</t>
  </si>
  <si>
    <t>GEO-Tr</t>
  </si>
  <si>
    <t>24.07.2021 21:23</t>
  </si>
  <si>
    <t>Триколор
Все отлично! Спасибо</t>
  </si>
  <si>
    <t>фк пуня</t>
  </si>
  <si>
    <t>16:21</t>
  </si>
  <si>
    <t>23.07.2021 16:21</t>
  </si>
  <si>
    <t>По случаю старта 32-х Олимпийских игр в Токио, в позиции 19.2°E в испанском пакете Movistar начали работу каналы</t>
  </si>
  <si>
    <t>Коля, нет не будет на Триколор</t>
  </si>
  <si>
    <t>Магомед Мазаев</t>
  </si>
  <si>
    <t>16:09</t>
  </si>
  <si>
    <t>23.07.2021 16:27</t>
  </si>
  <si>
    <t>#ЛучшаяЛигаМира снова в Триколоре! После двух туров в ФНЛ в лидеры прорвались команды «Оренбург» и «Торпедо». Но им не</t>
  </si>
  <si>
    <t>Сделайте, пожалуйста, на время Олимпиады в Токио (23 июля-8 августа 2021) все спортивные каналы бесплатно!</t>
  </si>
  <si>
    <t>23.07.2021 16:09</t>
  </si>
  <si>
    <t>16:02</t>
  </si>
  <si>
    <t>23.07.2021 18:06</t>
  </si>
  <si>
    <t>Спутниковое телевидение МТС - дорого и ненадежно</t>
  </si>
  <si>
    <t>Купил ;) всему начальству и родителям заказывал установку триколора (штук 10 приставок 10 лет уже работают) , а себе решил сэкономить, мтс взял. Кстати, сейчас и себе уже взял триколор двойную сразу. 
Я не рекомендую никого. Триколор очень дорого. Поэтому и брал мтс. Но я не думал что у них такое хилое оборудование. Действительно, всё познается в сравнении</t>
  </si>
  <si>
    <t>AndBaks</t>
  </si>
  <si>
    <t>Спутниковое телевидение МТС</t>
  </si>
  <si>
    <t>23.07.2021 18:34</t>
  </si>
  <si>
    <t>Триколор взыскал через суд сотни тысяч рублей с "сайтов-двойников"</t>
  </si>
  <si>
    <t>целью предотвращения подобных мошеннических действий оператор заявил о своей готовности к правовой защите бренда в интернете.
В пресс-службе компании отметили, что одним из недавних судебных разбирательств стало рассмотрение иска Триколора к предпринимателю Б., который зарегистрировал два доменных имени — tricolortv.info и tricolortv.tv, и разместил на соответствующих сайтах предложения по продаже спутникового приёмного оборудования, регистрации абонентов, а также сервис приема платежей за услуги спутникового телевидения. Также гражданин Б</t>
  </si>
  <si>
    <t>Триколор предупреждает о сайтах-двойниках</t>
  </si>
  <si>
    <t>целью предотвращения подобных мошеннических действий оператор заявил о своей готовности к правовой защите бренда в интернете.
В пресс-службе компании отметили, что одним из недавних судебных разбирательств стало рассмотрение иска Триколора к предпринимателю Б., который зарегистрировал два доменных имени — www.tricolortv.info http://www.tricolortv.info  и www.tricolortv.tv http://www.tricolortv.tv , и разместил на соответствующих сайтах предложения по продаже спутникового приёмного оборудования, регистрации абонентов, а также сервис приема</t>
  </si>
  <si>
    <t>15:45</t>
  </si>
  <si>
    <t>23.07.2021 15:45</t>
  </si>
  <si>
    <t>Яндекс.Эфир на смарт-тв и очень стремно на андроид тв. Лаги в браузере дикие, приложения нормального нет, а приложение Яндекс на андроид тв лично у меня жестко лагает. На компе в веб версии - все нормально.
Поэтому для тех, у кого андроид тв или смарт тв самсунг, можно поставить приложение Триколора ебаного (чтоб не подумали, что я тут рекламирую их). Есть и на андроиде, и на самсунге (тоже юзаю). Там в списке ТВ - &gt; Спортивные, и там уже 9 каналов Наш спорт. Смотреть на телеке — ништяк.
Ну и на сайте тоже:
https://kino.tricolor.tv/live/?content</t>
  </si>
  <si>
    <t>ololofootball</t>
  </si>
  <si>
    <t>23.07.2021 15:49</t>
  </si>
  <si>
    <t>Россия 1 тоже покажет парад.</t>
  </si>
  <si>
    <t>Игорь Чернолоз</t>
  </si>
  <si>
    <t>24.07.2021 05:50</t>
  </si>
  <si>
    <t>Тысячу раз пожелел что решил пополнить счёт триколора через данную компанию. Только через сутки, и то по моему запросу зачислили деньги в личный кабинет...при этом ещё и учили жизни, что как я считаю не совсем вежливо. лучше с данной компанией дело не иметь. Хотя это личное дело каждого, но я не рекомендую. Всем удачи.</t>
  </si>
  <si>
    <t>Илья Потапов</t>
  </si>
  <si>
    <t>Екатеринбург</t>
  </si>
  <si>
    <t>01.08.2021 09:44</t>
  </si>
  <si>
    <t>В семье российских ТВ каналов не без уродов.                                                                  Ожидал какую-нибудь подлянку от Матч ТВ и Триколора (после объявления на экране запрета от правообладателя на трансляцию Лиги Европы по футболу на всех каналах российского ТВ. Смотрю через Интернет). Включаю прямую трансляцию на 1 открытия Олимпийских Игр в 14 часов, и вижу, что в расписании показа любых передач до 18 часов, нет. Ну ясно, что писать слова о запрете показа от правообладателя, для ОИ нельзя, могут настучать по голове. Вперёд, ребята-правообладатели, так держать! Настала эпоха пандемии СМИ!</t>
  </si>
  <si>
    <t>Юрий Гуревич</t>
  </si>
  <si>
    <t>23.07.2021 14:31</t>
  </si>
  <si>
    <t>У меня чёт триколор  барахлит</t>
  </si>
  <si>
    <t>Алексей Алешин</t>
  </si>
  <si>
    <t>23.07.2021 14:32</t>
  </si>
  <si>
    <t>Никаких тревожных звонков от соседей в отпуске!
Установите сервис «Триколор Умный дом»: датчики протечки реагируют на воду и помогут заметить потоп и оперативно принять меры 
Подробности по ссылке: https://home.tricolor.tv/</t>
  </si>
  <si>
    <t>23.07.2021 15:14</t>
  </si>
  <si>
    <t>https://scontent.fuio1-1.fna.fbcdn.net/v/t1.6435-9/e15/q75/p960x960/221822906_4109882235732682_6797576827885221605_n.jpg?_nc_cat=102&amp;ccb=1-3&amp;_nc_sid=730e14&amp;_nc_ohc=cGD3drzZHhMAX9mSFg2&amp;_nc_ad=z-m&amp;_nc_cid=0&amp;_nc_ht=scontent.fuio1-1.fna&amp;oh=a619e796b0a5c67094fbe7fd47353ffe&amp;oe=61220FCB</t>
  </si>
  <si>
    <t>23.07.2021 14:23</t>
  </si>
  <si>
    <t>Что может быть ? Каналы Мосфильма и дом кино прем , работают с перебоями . причем включается смотришь параметры , сила 100% , качество 68 % и вдруг бац качество 57% , а потом вообще пропадает , и на экране дергается картинка с надписью нет сигнала ?! Антена не шевелится , почему только на этих двух каналах такие фокусы ? Триколор Сибирь !</t>
  </si>
  <si>
    <t>Егор Иванов</t>
  </si>
  <si>
    <t>Копейск</t>
  </si>
  <si>
    <t>23.07.2021 22:41</t>
  </si>
  <si>
    <t>Ресивер Триколор GS B621L</t>
  </si>
  <si>
    <t>Достоинства: С последней прошивкой, быстрая загрузка после холодного запуска (по сравнению с другими приставками от триколор)
Недостатки: Немного напрягло требование отправлять скан паспорта
Одно из самых выгодных предложений на Озоне. Продавец быстро отправил и шел на контакт. Спасибо</t>
  </si>
  <si>
    <t>Павел П.</t>
  </si>
  <si>
    <t>14:13</t>
  </si>
  <si>
    <t>Достоинства: Потери сигнала не обнаружил, до этого стоял конвертор на 1 выход.
Недостатки: Не выявлены
Решил отказаться от кабельного ТВ и во вторую дальнюю комнату протянул кабель для спутникового тв. Потери сигнала нет, буду мониторить как долго проживет</t>
  </si>
  <si>
    <t>14:11</t>
  </si>
  <si>
    <t>23.07.2021 14:51</t>
  </si>
  <si>
    <t>Starter Kit для BLE датчика</t>
  </si>
  <si>
    <t>Подскажите пожалуйста!
"Умный дом" от Триколор, Zigbee ...
1) Модуль управления GS SMH-ZW-I1
2) Датчик температуры и влажности GS STHM-I1H
3) Умная розетка GS SKHMP30-I1
4) Умная лампа цветная GS BRHM8E27W70-I1
Можно с чем то подружить?
Достался почти даром такой комплект, но не устраивает, что всё завязано на "умный" ресивер</t>
  </si>
  <si>
    <t>t0msa</t>
  </si>
  <si>
    <t>livejournal.com</t>
  </si>
  <si>
    <t>Сообщество радиолюбителей</t>
  </si>
  <si>
    <t>13:56</t>
  </si>
  <si>
    <t>23.07.2021 13:56</t>
  </si>
  <si>
    <t>Ринат, ну вот, например, я взял триколор тв, самого популярного кабельщика. Цена в год выходит 4560, не беря в расчёт основной тариф для всех каналов. А теперь посмотри, сколько стоит окко на данный момент. Спойлер: дешевле. Более того, матч не будет показывать все матчи, а окко будет. А что касается топов, то не все люди смотрят лишь топ матчи, так что рады будут только фанаты денежных мешков</t>
  </si>
  <si>
    <t>Rustem Khutiev</t>
  </si>
  <si>
    <t>23.07.2021 13:50</t>
  </si>
  <si>
    <t>Не только девочка из «Подростка» была изнасилована, пострадал и мальчик: Уголовные дела дошли до суда Как стало известно</t>
  </si>
  <si>
    <t>Tanya, за бесплатный телевиор и "Триколор ТВ"...</t>
  </si>
  <si>
    <t>Илья Лябин</t>
  </si>
  <si>
    <t>Отзывы | ЧП Новости | Великий Новгород.</t>
  </si>
  <si>
    <t>23.07.2021 13:48</t>
  </si>
  <si>
    <t>Триколор никогда бесплатно не предоставлял услуги по настройке бесплатно, так же мтс не предоставляет</t>
  </si>
  <si>
    <t>Иван Кашпиров</t>
  </si>
  <si>
    <t>Хвойная</t>
  </si>
  <si>
    <t>24.07.2021 01:15</t>
  </si>
  <si>
    <t>Медиаплеер СМАРТ ТВ бокс Smart TV box Андроид приставка-4К SELENGA R4 (2Гб / 16Гб)</t>
  </si>
  <si>
    <t>Достоинства: Цена
Недостатки: Android 7.1, установка некоторых программ 
Пока что работает. 
Ютуб на 4К подтормаживает, в 1080 работаеь норм.
для удобной навигации лучше исползовать мышку и клавиатуру. 
понимает жетский диск на 2ТБ.
Можно установить Триколор ТВ только если устанавливать через apk файл. в Гугл плее не находит.
в общем если по скидке, то своих денег стоит.</t>
  </si>
  <si>
    <t>24.07.2021 03:05</t>
  </si>
  <si>
    <t>#ЛучшаяЛигаМира снова в Триколоре!  После двух туров в ФНЛ в лидеры прорвались команды «Оренбург» и «Торпедо». Но им не</t>
  </si>
  <si>
    <t>Елена Хайбулина, поняли вас. У вас не найдены каналы, которые транслируются на частоте 11747. Это может быть вызвано по двум причинам. Либо сбилась настройка самой антенны, либо вышел из строя конвертер, который установлен на антенне, и из-за его неисправности часть частот не поступает на него. Установить спутниковую антенну поможет инструкция: https://s1.tricolor.tv/usa . А по вопросу замены конвертера вы можете обратиться к ближайшему вам дилеру. Вот ссылка на поиск дилера https://www.tricolor.tv/how-to-connect/where-buy/buy/dealers/ .
Установка спутниковой антенны | Официальный сайт Триколора
Если вы планируете установить и настроить оборудование самостоятельно, ознакомьтесь с инструкцией ниже. Также вы можете обратиться в фирменный салон Триколора ...
https://s1.tricolor.tv/usa</t>
  </si>
  <si>
    <t>12:52</t>
  </si>
  <si>
    <t>Триколор , к заводским настройкам возвращалась, результата нет. Качество сигнала 100 процентов,  сила  - примерно 60 процентов</t>
  </si>
  <si>
    <t>Елена Хайбулина</t>
  </si>
  <si>
    <t>Елена Хайбулина, в таком случае, произведите возврат настроек приемника до заводских. Восстановить заводские настройки приёмника поможет инструкция: https://s1.tricolor.tv/vzu . После этого нужно будет проверить уровень заполнения шкал «Сила» и «Качество». Проверить силу и качество спутникового сигнала поможет эта инструкция: https://s1.tricolor.tv/sks .
Возврат настроек приемника к заводским установкам | Официальный сайт Триколора
В некоторых случаях требуется вернуть настройки приёмного оборудования к заводским установкам .
https://s1.tricolor.tv/vzu</t>
  </si>
  <si>
    <t>Реклама исходит не от Триколора, а от правообладателей каналов в составе наших услуг. Мы ее не производим, только транслируем, отношения к Триколору она не имеет. Пока что телеканал «Звезда Плюс» в наши пакеты не входит.</t>
  </si>
  <si>
    <t>23.07.2021 12:13</t>
  </si>
  <si>
    <t>С 21 июля 2021 года в состав канального плана внесены изменения. - Во все базовые пакеты добавлены каналы Red и Sci-Fi</t>
  </si>
  <si>
    <t>Даня, это специально для мтс надо триколор gs b 527 цена 7000 руб</t>
  </si>
  <si>
    <t>Валентин Лобанов</t>
  </si>
  <si>
    <t>СПУТНИКОВОЕ ТВ МТС</t>
  </si>
  <si>
    <t>Елена Хайбулина, попробуйте осуществить перепоиск каналов по инструкции https://www.tricolor.tv/help/technical-issues/poisk-sputnikovykh-kanalov/kak-vypolnit-poisk-kanalov/ .
Как выполнить поиск каналов? | Официальный сайт Триколора
На экране телевизора может появиться запрос на поиск спутниковых каналов, подтвердите его и обязательно сохраните найденные каналы после завершения поиска. ...
https://www.tricolor.tv/help/technical-issues/poisk-sputnikovykh-kanalov/kak-vypolnit-poisk-kanalov/</t>
  </si>
  <si>
    <t>23.07.2021 12:09</t>
  </si>
  <si>
    <t>Узнай, во сколько идет твоя любимая программа на телеканале «E» благодаря расписанию, приятного просмотра</t>
  </si>
  <si>
    <t>В программе передач на понедельник в Триколор тв, Гедеона нет, ох, начинаю волноваться.</t>
  </si>
  <si>
    <t>Pavel Rally</t>
  </si>
  <si>
    <t>Телеканал Е TV</t>
  </si>
  <si>
    <t>Петрозаводск</t>
  </si>
  <si>
    <t>Добрый день! А мне вот интересно , почему у меня на пакете Единый, несмотря на все перезагрузки и активацию, так и не работает канал Футбольный</t>
  </si>
  <si>
    <t>heart,text,symbol,emoticon</t>
  </si>
  <si>
    <t>clip art,love,art</t>
  </si>
  <si>
    <t>https://scontent-arn2-1.xx.fbcdn.net/v/t39.1997-6/69048208_917007838642598_8061958647464329216_n.webp?_nc_cat=106&amp;ccb=1-3&amp;_nc_sid=0572db&amp;_nc_ohc=T3ruRB11yOAAX8XHDVH&amp;_nc_ad=z-m&amp;_nc_cid=0&amp;_nc_ht=scontent-arn2-1.xx&amp;oh=f12961ed92b694f2e5eae604c738dd66&amp;oe=60FF8CBF</t>
  </si>
  <si>
    <t>23.07.2021 19:07</t>
  </si>
  <si>
    <t>Я думала, что верх неприличия был продемонстрирован в интервью Явлинского. Сейчас посмотрела дебаты</t>
  </si>
  <si>
    <t>Ирина Стрельникова Я был постоянным слушателем радио "Эхо Москвы" с примерно 1995 года до 2015, когда закрыли "Эхо Москвы в Туле" и на "правой поляризации" в спутнике "Триколор". И был зрителем "Дождя" с момента создания до прекращения трансляции на спутнике "Триколор"
Я свидетель, как по лекалам большого зомбоящика, промывающего мозги за Путина, на этих станциях зомбировали аудиторию за Навального.
В частности в 2013 году малый змбоящик полгода активно с июня по декабрь промывал аудитрии мозги и лепил из Алексея Навального образ лидера</t>
  </si>
  <si>
    <t>Лада Юрьева</t>
  </si>
  <si>
    <t>11:45</t>
  </si>
  <si>
    <t>23.07.2021 17:25</t>
  </si>
  <si>
    <t>Рекомендую.Отлично подошел к приемнику Триколор пятилетней даврости.</t>
  </si>
  <si>
    <t>Ольга</t>
  </si>
  <si>
    <t>11:35</t>
  </si>
  <si>
    <t>23.07.2021 11:35</t>
  </si>
  <si>
    <t>Карточку вставьте в ресивер и счёт оплатите, а уже потом позвоните в триколор на горячую линию, вам приедут и БЕСПЛАТНО настроят</t>
  </si>
  <si>
    <t>Никита Козодаев</t>
  </si>
  <si>
    <t>Бежецк</t>
  </si>
  <si>
    <t>23.07.2021 17:21</t>
  </si>
  <si>
    <t>Кривое зеркало: с владельцев сайтов-двойников суды взыскивают крупные компенсации</t>
  </si>
  <si>
    <t>соответствующих сайтах предложения по продаже спутникового приёмного оборудования, регистрации абонентов, а также сервис приема платежей за услуги спутникового телевидения. Также гражданин Б. создал страницу в интернете, на которой был использован контент, незаконно содержащий товарные знаки оператора.
По результатам рассмотрения иска суд принял решение о запрете использования товарного знака Триколора в доменных именах и контенте сайтов, а также о взыскании в пользу оператора компенсации в размере 200 тысяч рублей и судебных расходов</t>
  </si>
  <si>
    <t>23.07.2021 13:29</t>
  </si>
  <si>
    <t>мошеннических действий оператор заявляет о своей готовности к правовой защите бренда в интернете.
Одним из недавних судебных разбирательств стало рассмотрение иска Триколора к предпринимателю Б., который зарегистрировал два доменных имени — www.tricolortv.info http://www.tricolortv.info  и www.tricolortv.tv http://www.tricolortv.tv , и разместил на соответствующих сайтах предложения по продаже спутникового приёмного оборудования, регистрации абонентов, а также сервис приема платежей за услуги спутникового телевидения. Также гражданин Б. создал</t>
  </si>
  <si>
    <t>confectionery,dessert,food,cigarette,tobacco products,wood,metal,chocolate</t>
  </si>
  <si>
    <t>Обслуживание на высоте, всегда проконсультируют, ноооо ценник их минус!!!</t>
  </si>
  <si>
    <t>Иван Ботвинин</t>
  </si>
  <si>
    <t>Цифровая двухтюнерная приставка GS B626L - Всё устраивает</t>
  </si>
  <si>
    <t>детские каналы, цена по обмену
вес приёмника,
Очень давно пользуюсь услугами Триколор ТВ и вот недавно решила обновить оборудование по программе обмена. Не скажу, что он тормозной – отклк нормальный, все работает стабильно. Выбор каналов по сути не изменился, появилась новая вкладка для детских каналов. Каналы в 4К не подвисают и не залипают, их много. Вообще решение с разделами получилось удачным, большие значки в меню, всё выглядит супер! В целом вполне себе хороший приемник, изображение как всегда качественное.
То, что сам приемник мелкий и хорошои плохо. Удобно увозить с собой с дачи на всякий случай. Но так как весит он совсем нифига его невозможно устаканить на одном месте ровно из-за проводов от тарелки, питание и HDMIв телик.</t>
  </si>
  <si>
    <t>Аноним4131208</t>
  </si>
  <si>
    <t>Цифровая двухтюнерная приставка GS B626L</t>
  </si>
  <si>
    <t>Ярославская область</t>
  </si>
  <si>
    <t>Ярославль</t>
  </si>
  <si>
    <t>24.07.2021 02:38</t>
  </si>
  <si>
    <t>GS-B534M, 16-ти гигабайтная "пушка" от Триколор ТВ</t>
  </si>
  <si>
    <t>Здравствуйте, подскажите пожалуйста gs b534m скачет качество от 47 до 60 это нормально на нем или нет? 
Тогда как на этом же блоке питания и с этой же антенной gs b528 показывает стабильно 60 качества.</t>
  </si>
  <si>
    <t>Анатолий Григорьев</t>
  </si>
  <si>
    <t>23.07.2021 11:09</t>
  </si>
  <si>
    <t>Триколор, апять минут назад вы написали, что повышения не будет)
Повторяю ещё раз свою позицию, мне расширенный контент не нужен, я о нём никого не просил. Будут ли у вас тарифы только с телеканалами?</t>
  </si>
  <si>
    <t>Den Zueff</t>
  </si>
  <si>
    <t>23.07.2021 10:51</t>
  </si>
  <si>
    <t>Смотрю «триколор» онлайн через приставку Apple TV. Вчера пришло смс (см. изображение).
Мне нужны только телеканалы и стоимость 149₽ меня вполне устраивала. Платить 349₽ за ненужные навязываемые услуги нет желания. Вопрос: будет ли какой-то тариф БЕЗ ненужных мне фильмов? Или можно попрощаться с сервисом?</t>
  </si>
  <si>
    <t>23.07.2021 10:33</t>
  </si>
  <si>
    <t>#Интересные_факты Часть каналов вышедших из Триколор ТВ в 2011 и 2012 году: ● Эксперт ТВ - 7 ноября 2011 г. ● 7 ТВ</t>
  </si>
  <si>
    <t>Илья, я вот обиделся платные пакеты не смотрю лутше проесть как большинство дклает</t>
  </si>
  <si>
    <t>10:32</t>
  </si>
  <si>
    <t>23.07.2021 10:37</t>
  </si>
  <si>
    <t>После двух туров в ФНЛ @FNLeague в лидеры прорвались команды «Оренбург» и «Торпедо». Но им не стоит расслабляться! Смотрите матчи на канале «Футбольный» и в онлайн-плеерах «Наш спорт» в приложении «Триколор Кино и ТВ»: https://bit.ly/3eMrWou 
#ЛучшаяЛигаМира #нашспортздесь</t>
  </si>
  <si>
    <t>23.07.2021 10:32</t>
  </si>
  <si>
    <t>Илья, зато цены растут это они делают</t>
  </si>
  <si>
    <t>Алексей, хоти дальше в нашей стране запрещено чем больше просишь то бесполезно</t>
  </si>
  <si>
    <t>23.07.2021 10:31</t>
  </si>
  <si>
    <t>#Интересные_факты Часть каналов вышедших из Триколор ТВ с 2014 по 2016 год ● KidsCo - 1 января 2014 (Прекращение вещания</t>
  </si>
  <si>
    <t>Ужас смо смотреть стало не чего разработчики лентяи</t>
  </si>
  <si>
    <t>23.07.2021 15:37</t>
  </si>
  <si>
    <t>Триколор спутниковая антенна с кронштейном (установочный комплект)</t>
  </si>
  <si>
    <t>Достоинства: Стандартная антенна триколор, сборка без проблем
Недостатки: Нет</t>
  </si>
  <si>
    <t>Игорь К.</t>
  </si>
  <si>
    <t>24.07.2021 03:12</t>
  </si>
  <si>
    <t>Достоинства: Купил, поменяв «старое оборудование на новинку». Мой совет всем – не пожадничать и купить HDMI-кабель и подключить ТВ именно черезнего.UHD каналы летают, второй телик их не поддерживает, приставка конвертирует в HDсама. Картинка будет гораздо лучше и качественней. Аналоговое подключение сильно режет качество! Хороший приёмник, можно смотреть через интернет и даже на двух разных телевизорах. Очень компактный и не маркий.
Недостатки: Пользуюсь недолго, пока – полёт нормальный)))
Пульт обычный</t>
  </si>
  <si>
    <t>Роман Дегтярев</t>
  </si>
  <si>
    <t>(Воронеж) — Томь (Томск)
18:50 — Краснодар-2 — Текстильщик (Иваново)
18:50 — Ротор (Волгоград) — СКА-Хабаровск
19:50 — Балтика (Калининград) — Оренбург
⚽️ 25 июля
16:50 — Металлург (Липецк) — Акрон (Тольятти)
19:50 — Кубань (Краснодар) — Велес (Москва)
Смотрите матчи на канале «Футбольный» и в онлайн-плеерах «Наш спорт» в приложении «Триколор Кино и ТВ» на мобильных устройствах и планшетах, телевизорах с функцией Smart TV и в веб-версии онлайн-кинотеатра kino.tricolor.tv
 Трансляции матчей по ссылке: https://ok.me/mE1g
#нашспортздесь</t>
  </si>
  <si>
    <t>24.07.2021 02:49</t>
  </si>
  <si>
    <t>(Воронеж) — Томь (Томск)
18:50 — Краснодар-2 — Текстильщик (Иваново)
18:50 — Ротор (Волгоград) — СКА-Хабаровск
19:50 — Балтика (Калининград) — Оренбург
⚽️ 25 июля
16:50 — Металлург (Липецк) — Акрон (Тольятти)
19:50 — Кубань (Краснодар) — Велес (Москва)
Смотрите матчи на канале «Футбольный» и в онлайн-плеерах «Наш спорт» в приложении «Триколор Кино и ТВ» на мобильных устройствах и планшетах, телевизорах с функцией Smart TV и в веб-версии онлайн-кинотеатра kino.tricolor.tv
 Трансляции матчей по ссылке: https://clck.ru/UbTWa
#нашспортздесь</t>
  </si>
  <si>
    <t>https://scontent.fuio1-1.fna.fbcdn.net/v/t1.6435-9/e15/q75/p960x960/221665733_4109348812452691_7763735689518752686_n.jpg?_nc_cat=111&amp;ccb=1-3&amp;_nc_sid=730e14&amp;_nc_ohc=4ZJqNmVFhfYAX_A57vL&amp;_nc_ad=z-m&amp;_nc_cid=0&amp;_nc_ht=scontent.fuio1-1.fna&amp;oh=a8999a8a309756152fa3ac434a6fbd9c&amp;oe=611FDF92</t>
  </si>
  <si>
    <t>23.07.2021 10:09</t>
  </si>
  <si>
    <t>Подскажите, пожалуйста, куда переехал Триколор ТВ с 4мкр.?</t>
  </si>
  <si>
    <t>Татьяна Стельмаченко</t>
  </si>
  <si>
    <t>ГУБКИНСКИЙ — ГОРОД МЕЧТЫ</t>
  </si>
  <si>
    <t>Губкинский</t>
  </si>
  <si>
    <t>24.07.2021 13:46</t>
  </si>
  <si>
    <t>Очень неудобное и непонятное приложение
Всё сделано очень непонятно и очень неудобно,постоянно зависает, вылетает.</t>
  </si>
  <si>
    <t>кол7777777777777</t>
  </si>
  <si>
    <t>09:53</t>
  </si>
  <si>
    <t>Конвертор Lumax twin (2 независимых выхода) круговой для Триколор и НТВ</t>
  </si>
  <si>
    <t>Достоинства: Синенький. 
Недостатки: Проработал нормально день после установки, затем на одном из приёмников стали периодически отваливаться каналы с вертикальной поляризацией, а поскольку на НТВ+ их большинство, и все HD, то ценность данного конвертера упала наполовину.. Другой ресивер (Триколор) работает прекрасно. Со старым одноканальным конвертером оба приёмника по отдельности тоже работают нормально.</t>
  </si>
  <si>
    <t>Николай К.</t>
  </si>
  <si>
    <t>23.07.2021 17:46</t>
  </si>
  <si>
    <t>Орбита Адаптер - блок питания 12В 2А (2000мА) для приставок DVB-T, триколор</t>
  </si>
  <si>
    <t>Отличный адаптер.Покупателя рекомендую.</t>
  </si>
  <si>
    <t>Дина</t>
  </si>
  <si>
    <t>23.07.2021 12:19</t>
  </si>
  <si>
    <t>Универсальный пульт DVB-T2+2018-2 для цифровых приставок World Vision, BBK, Golden Star, Cadena, Delta System, Триколор, Rexant, Hobbit и другие</t>
  </si>
  <si>
    <t>Достоинства: Пульт отличный
Недостатки: Нет</t>
  </si>
  <si>
    <t>юлия</t>
  </si>
  <si>
    <t>23.07.2021 09:18</t>
  </si>
  <si>
    <t>Клара, триколор? Сколько в месяц платите?</t>
  </si>
  <si>
    <t>23.07.2021 10:56</t>
  </si>
  <si>
    <t>БУНТ В АЭРОФЛОТЕ,ТАКСИ, РЖД, И ТД! ИЗ ЗА ПРИНУДИЛОВКИ! МЫ НА БАРРИКАДЫ ПОЙДЕМ!</t>
  </si>
  <si>
    <t>Триколор дарит месяц подписку пакета каналов за прививку. Странно как то.</t>
  </si>
  <si>
    <t>Александр Барс</t>
  </si>
  <si>
    <t>НЕ ПЕРВЫЙ КАНАЛ</t>
  </si>
  <si>
    <t>08:42</t>
  </si>
  <si>
    <t>Триколор
Зачем неработающее приложение с личным кабинетом, в котором  Сервис временно недоступен</t>
  </si>
  <si>
    <t>BorokFish</t>
  </si>
  <si>
    <t>08:26</t>
  </si>
  <si>
    <t>23.07.2021 18:04</t>
  </si>
  <si>
    <t>Перестал работать в первые сутки эксплуатации</t>
  </si>
  <si>
    <t>07:47</t>
  </si>
  <si>
    <t>23.07.2021 07:47</t>
  </si>
  <si>
    <t>Уважаемые жители! ⚡Срочное сообщение от ССК⚡ ⚡С целью перераспределения  энергии с ТЭЦ-1 ВРЕМЕННО отключена подстанция</t>
  </si>
  <si>
    <t>Катюшка, у меня приставка триколор померла. ССК возместят убытки?</t>
  </si>
  <si>
    <t>Надежда Ганькина</t>
  </si>
  <si>
    <t>Новокуйбышевск официальный</t>
  </si>
  <si>
    <t>Новокуйбышевск</t>
  </si>
  <si>
    <t>07:19</t>
  </si>
  <si>
    <t>Подключили к приставке GS8304 триколор, все работает, супер.</t>
  </si>
  <si>
    <t>23.07.2021 14:52</t>
  </si>
  <si>
    <t>куплю бу оборудование триколор, можно неисправное</t>
  </si>
  <si>
    <t>куплю бу оборудование триколор, можно неисправное, лучше партией побольше</t>
  </si>
  <si>
    <t>06:28</t>
  </si>
  <si>
    <t>23.07.2021 06:28</t>
  </si>
  <si>
    <t>Доброе утро. Подскажите пожалуйста только у нас тарелка МТС не работает в непогоду? Целый день сидим без телевизора.</t>
  </si>
  <si>
    <t>Триколор тоже не работает</t>
  </si>
  <si>
    <t>Елена Шарыгина</t>
  </si>
  <si>
    <t>Березово On-line - городское сообщество</t>
  </si>
  <si>
    <t>23.07.2021 10:08</t>
  </si>
  <si>
    <t>Приставка Триколор-ТВ GS B626L: спутниковая тарелка не нужна (16+)</t>
  </si>
  <si>
    <t>только из-за канала футбольный(ФНЛ показывают) а так бесполезная хрень, где ЮТУБ?</t>
  </si>
  <si>
    <t>Petrovich - Fingerstyle Guitar</t>
  </si>
  <si>
    <t>Content Review</t>
  </si>
  <si>
    <t>04:51</t>
  </si>
  <si>
    <t>27.07.2021 08:41</t>
  </si>
  <si>
    <t>о телевизоре Samsung UE32N5000AU от покупателей телевизоров магазина</t>
  </si>
  <si>
    <t>Заказывали через Интернет - магазин самовывозом. Получение заказа заняло 10 минут. Брали ТВ для беседки. Подключение через Триколор. Не бликует. Отличная картинка. Звук - по всему участку (8 соток). Рекомендую.</t>
  </si>
  <si>
    <t>eldorado.ru</t>
  </si>
  <si>
    <t>Эльдорадо - интернет-магазин электроники, цифровой и бытовой техники, выгодные цены, доставка по Москве и регионам</t>
  </si>
  <si>
    <t>03:44</t>
  </si>
  <si>
    <t>23.07.2021 03:57</t>
  </si>
  <si>
    <t>Триколор,Подорожает,2500р.</t>
  </si>
  <si>
    <t>Да мне по барабану, не смотрел и смотреть не собираюсь даже бесплатно. Мне хватает единый мульти лайт</t>
  </si>
  <si>
    <t>Вадим Жагульский</t>
  </si>
  <si>
    <t>03:01</t>
  </si>
  <si>
    <t>23.07.2021 03:16</t>
  </si>
  <si>
    <t>Седня у брата днюха, фончик, ахуительный ночной считаю, от одного дво двух ахахахххаааах...!
v2.5.0</t>
  </si>
  <si>
    <t>Антон Ничипорчук</t>
  </si>
  <si>
    <t>01:52</t>
  </si>
  <si>
    <t>23.07.2021 08:45</t>
  </si>
  <si>
    <t>Самсон Шоладеми Я был постоянным слушателем радио "Эхо Москвы" с примерно 1995 года до 2015, когда закрыли "Эхо Москвы в Туле" и на "правой поляризации" в спутнике "Триколор". И был зрителем "Дождя" с момента создания до прекращения трансляции на спутнике "Триколор"
Я свидетель, как по лекалам большого зомбоящика, промывающего мозги за Путина, на этих станциях зомбировали аудиторию за Навального.
В частности в 2013 году малый змбоящик полгода активно с июня по декабрь промывал аудитрии мозги и лепил из Алексея Навального образ лидера</t>
  </si>
  <si>
    <t>official,news</t>
  </si>
  <si>
    <t>https://scontent-ssn1-1.xx.fbcdn.net/v/t39.30808-6/fr/e15/q75/220855221_4189118201176819_7788733425252869370_n.jpg?_nc_cat=105&amp;ccb=1-3&amp;_nc_sid=dbeb18&amp;_nc_ohc=DF4mbYKoiaQAX-hfDjh&amp;_nc_ad=z-m&amp;_nc_cid=0&amp;_nc_ht=scontent-ssn1-1.xx&amp;oh=863a75995f0ec7704d36b20dfe26b08d&amp;oe=60FE4B67</t>
  </si>
  <si>
    <t>01:04</t>
  </si>
  <si>
    <t>23.07.2021 22:42</t>
  </si>
  <si>
    <t>Конвертер спутниковый круговой поляризации DVS - C104, 4 выхода (Триколор,НТВ)</t>
  </si>
  <si>
    <t>Достоинства: быстрая доставка
Недостатки: не найдены
отличный конвертер с таким показателем шума</t>
  </si>
  <si>
    <t>Сергей Б.</t>
  </si>
  <si>
    <t>01:02</t>
  </si>
  <si>
    <t>23.07.2021 05:58</t>
  </si>
  <si>
    <t>Ресивер Триколор GS B621 (Единый 1 500р./год)</t>
  </si>
  <si>
    <t>Достоинства: Быстрая доставка
Недостатки: не найдено
В комплекте батарейки для пульта ДУ, и выносной ИК порт, за что _большое спасибо, через 15 минут после регистрации все оформили.</t>
  </si>
  <si>
    <t>00:44</t>
  </si>
  <si>
    <t>23.07.2021 09:17</t>
  </si>
  <si>
    <t>Достоинства: посторонних звуков не издаёт
Недостатки: нет
с функцией справляется. Использую для подключения компьютерного вентилятора</t>
  </si>
  <si>
    <t>Анатолий Н.</t>
  </si>
  <si>
    <t>23.07.2021 13:26</t>
  </si>
  <si>
    <t>По кабелю для ТВ подскажите, пожалуйста.</t>
  </si>
  <si>
    <t>Под этой маркой какого только дерьма не лепят... Сосед очень радовался купив кабель на рынке по 15 рублей.
Через три зимы загрузил. Пропал сигнал любимого триколора... Не видать стало киселева...</t>
  </si>
  <si>
    <t>Kir* since 1998</t>
  </si>
  <si>
    <t>forum.auto.ru</t>
  </si>
  <si>
    <t>Форумы автолюбителей: отзывы о автомобилях, мнения экспертов, обсуждение различных тем и предложений на автофоруме — АВТО.РУ &gt; Дом и дача</t>
  </si>
  <si>
    <t>22.07.2021</t>
  </si>
  <si>
    <t>23:55</t>
  </si>
  <si>
    <t>22.07.2021 23:56</t>
  </si>
  <si>
    <t>Александр, ну это приставка которая подключается к инету проводному можно через модем, ты с нее помощью можешь смотреть фильмы онлайн лазить в инете смотреть Ютуб играть в игры и многое другое почитайте в инете) и она дешевле выходит чем триколор</t>
  </si>
  <si>
    <t>Павел Балабаев</t>
  </si>
  <si>
    <t>23:24</t>
  </si>
  <si>
    <t>22.07.2021 23:24</t>
  </si>
  <si>
    <t>Надо валить с этого триколора-ТВ,вооще припухли</t>
  </si>
  <si>
    <t>Альберт Асылбаев</t>
  </si>
  <si>
    <t>22.07.2021 23:13</t>
  </si>
  <si>
    <t>здравствуйте. подскажите пожалуйста кто нибудь телефон мастера настройки антены на 20 каналов
Алексей Киселев
https://vk.com/id4363178
Установка, настройка и ремонт ТВ АНТЕНН
Ремонт ресиверов Триколор
Ремонт цифровых приставок DVB-T2
Интернет
Ремонт насосных станций
Ремонт мультиварок
Ремонт бытовых хлебопечек
Ремонт индукционных плит
Ремонт микроволновок и др.
Ремонт откатных ворот
Пульты для ворот, шлагбаумов и тд.
Открывание ворот с телефона
89045114952
89052267246</t>
  </si>
  <si>
    <t>Новости Трубников  Бор</t>
  </si>
  <si>
    <t>23:01</t>
  </si>
  <si>
    <t>23.07.2021 00:25</t>
  </si>
  <si>
    <t>Чтобы писать о том, что "как у всех", нужно сначала знать про всех) Купите для начала вами рекламируемый Триколор, и посмотрите, нормальные ли грабли) и насколько дешевле обошлось</t>
  </si>
  <si>
    <t>aepihin70</t>
  </si>
  <si>
    <t>Достоинства: сразу стали поеазывать все каналы
Недостатки: нет</t>
  </si>
  <si>
    <t>22.07.2021 23:05</t>
  </si>
  <si>
    <t>Здравствуйте. Почему в приложении Триколор нет каналов Россия?</t>
  </si>
  <si>
    <t>Ну скоро назад вернуться</t>
  </si>
  <si>
    <t>По характеристикам лучшее из этих GS B626L, а посоветовал бы GS B523L</t>
  </si>
  <si>
    <t>22.07.2021 22:55</t>
  </si>
  <si>
    <t>❗ «Матч ТВ» будет эксклюзивно показывать АПЛ с 2022 года Телеканал «Матч ТВ» приобрел права на показ матчей АПЛ. Канал</t>
  </si>
  <si>
    <t>Ильнур, зачастую это Триколор или НТВ+.
У многих кто в квартирах есть кабельное.
Этот охват выше я считаю чем зона с хорошим интернетом в России</t>
  </si>
  <si>
    <t>Дмитрий Мирошниченко</t>
  </si>
  <si>
    <t>Sky Sports Football</t>
  </si>
  <si>
    <t>Мичуринск</t>
  </si>
  <si>
    <t>23.07.2021 03:41</t>
  </si>
  <si>
    <t>Спутниковое телевидение "Триколор ТВ" - Очень плохое</t>
  </si>
  <si>
    <t>Оплатили не на сайте Триколора, а потом утверждают, что Спутниковое телевидение "Триколор ТВ" - Очень плохое( но смотреть почему-то его шибко хочется, даже с одной звездой за собственное ротозейство. Будут деньги, будет и кино.
Люди, не платите на сторонних сайтах, а то с неделю, если вообще дойдут…</t>
  </si>
  <si>
    <t>22:39</t>
  </si>
  <si>
    <t>22.07.2021 22:39</t>
  </si>
  <si>
    <t>Поменяйте блок питания и все пройдёт у меня такая хрень уже два раза была</t>
  </si>
  <si>
    <t>Алекс Электрод</t>
  </si>
  <si>
    <t>22.07.2021 22:45</t>
  </si>
  <si>
    <t>Лучше 626L</t>
  </si>
  <si>
    <t>Раб Аллаха</t>
  </si>
  <si>
    <t>Берите 621 или 622, отличные модели, последующие - уже не то</t>
  </si>
  <si>
    <t>Ольга Кемпинская</t>
  </si>
  <si>
    <t>Юрьев-Польский</t>
  </si>
  <si>
    <t>22:26</t>
  </si>
  <si>
    <t>22.07.2021 23:07</t>
  </si>
  <si>
    <t>Что это за шляпа? Платишь деньги за просмотр тв, а навязывают рекламу особенно леомакс.... Почему су*ки я должен за неё е платить? А? Ушлепки
v2.3.0</t>
  </si>
  <si>
    <t>Den Aleksandovih</t>
  </si>
  <si>
    <t>22:21</t>
  </si>
  <si>
    <t>22.07.2021 22:27</t>
  </si>
  <si>
    <t>Михаил Шелыгин</t>
  </si>
  <si>
    <t>Здравствуйте. Оплатил вчера Матч Премьер. До сих пор не подключен. В чем может быть дело?</t>
  </si>
  <si>
    <t>Pelengas Sanctus</t>
  </si>
  <si>
    <t>Демидов</t>
  </si>
  <si>
    <t>Приложение хорошее
v2.5.0</t>
  </si>
  <si>
    <t>Andrey Kotov</t>
  </si>
  <si>
    <t>23.07.2021 02:17</t>
  </si>
  <si>
    <t>Триколор ТВ как оператор спутникового телевидения предоставляет доступ к просмотру телеканалов, за содержание и изменение сетки вещания каждого из теле- и радиоканалов отвечает правообладатель контента.</t>
  </si>
  <si>
    <t>21:35</t>
  </si>
  <si>
    <t>22.07.2021 21:35</t>
  </si>
  <si>
    <t>Добрый день, подскажите пожалуйста, куда можно поехать в воскресенье чтобы увидеть морской парад? Или все будет</t>
  </si>
  <si>
    <t>К телевизору, роспотребнадзор запретил всем приезжать!!! А мы на петроградке, я сегодня триколор у дома видела</t>
  </si>
  <si>
    <t>Леся Гаврик</t>
  </si>
  <si>
    <t>Транспортный КОЛЛАПС, Красное Село</t>
  </si>
  <si>
    <t>23.07.2021 08:15</t>
  </si>
  <si>
    <t>Горит синий экран на телевизоре. Как настроить Триколор.</t>
  </si>
  <si>
    <t>Не работает просто показывает экран похожий на экран телефона</t>
  </si>
  <si>
    <t>Даниил Агафонов</t>
  </si>
  <si>
    <t>Cat HouseTV</t>
  </si>
  <si>
    <t>21:27</t>
  </si>
  <si>
    <t>Со службой поддержки все эти 4 дня в контакте, результата пока 0 (((( все необходимые документы и реквизиты были отправлены, ( то сайт оплаты вы посчитали сторонним, то справка от сбера об оплате не та.( на этом "стороннем" сайте набрала указанный номер, почти час общалась с оператором, все выясняли(( потрачено столько времени сил и нервов…
Жду завтрашнего дня, как пообещали,может наконец-то перенесут оплату. 
Если вы официальное лицо, сделайте результативные действия.</t>
  </si>
  <si>
    <t>СВладимировна</t>
  </si>
  <si>
    <t>22.07.2021 21:07</t>
  </si>
  <si>
    <t>По умолчанию через инет. Как частоту на триколоре поменяли, так через спутник, тоже пррпал</t>
  </si>
  <si>
    <t>Алиса Щипакова</t>
  </si>
  <si>
    <t>Телеканал «Дорама»</t>
  </si>
  <si>
    <t>22.07.2021 21:27</t>
  </si>
  <si>
    <t>Триколор ТВ. рекламный банер (КОТОРЫЙ БЕСИТ)маленький лайфхак!!!</t>
  </si>
  <si>
    <t>Как минимум ещё есть возможность подключиться по вайфаю и смотреть онлайн, если погода плохая держится. 4к развивается, каналов все больше</t>
  </si>
  <si>
    <t>Prihodk0</t>
  </si>
  <si>
    <t>Soonk80</t>
  </si>
  <si>
    <t>22.07.2021 20:59</t>
  </si>
  <si>
    <t>Надо настроить тарелку на спутник. Перерывов в работе не будет. Сделаю это профессионально за 750 ₽. +7-921-742-2263</t>
  </si>
  <si>
    <t>Андрей Семенов</t>
  </si>
  <si>
    <t>22.07.2021 21:24</t>
  </si>
  <si>
    <t>Здравствуйте. Нам очень жаль, что вы столкнулись с такой ситуацией. Пожалуйста, свяжитесь с нашей Службой поддержки и уточните ваши старый и актуальный Триколор ID, а также способ, которым производилась оплата. Постараемся найти пути решения проблемы. Все доступные способы связи размещены на tricolor.tv в разделе «Помощь».</t>
  </si>
  <si>
    <t>20:57</t>
  </si>
  <si>
    <t>23.07.2021 10:35</t>
  </si>
  <si>
    <t>Дорого, но качественно.</t>
  </si>
  <si>
    <t>Павел</t>
  </si>
  <si>
    <t>22.07.2021 20:51</t>
  </si>
  <si>
    <t>В Совфеде предложили давать привившимся от коронавируса два выходных. Поскольку после вакцинации у людей в некоторых</t>
  </si>
  <si>
    <t>Дадут, бюджетникам, это ж не живых денег добавить к зарплате.
Кстати, раз зашла речь, у меня подписка на Триколор заканчивается, залез на сайт их посмотреть, что там сейчас с тарифами , а у них бесплатно месяц подписки дают вакцинированным. Отправил заявку, сертификат приложил, посмотрим, что будет ) Это Не реклама Триколора, по существу к ним достаточно претензий у меня, но тариф демпинговый и есть каналы HD, поэтому пользуюсь )</t>
  </si>
  <si>
    <t>Егор Новиков</t>
  </si>
  <si>
    <t>Бронницы 24 - Бронницкая всячина</t>
  </si>
  <si>
    <t>Бронницы</t>
  </si>
  <si>
    <t>20:46</t>
  </si>
  <si>
    <t>Блок питания для ресивера Триколор ТВ 12В 2А</t>
  </si>
  <si>
    <t>Все отлично работает.</t>
  </si>
  <si>
    <t>Инга Л.</t>
  </si>
  <si>
    <t>20:38</t>
  </si>
  <si>
    <t>24.07.2021 17:36</t>
  </si>
  <si>
    <t>Какое спутниковое ТВ лучше для частного дома</t>
  </si>
  <si>
    <t>У мтс мало кино каналов ха ха больше 30 тебе мало ? У триколор один мусор а не кино каналы</t>
  </si>
  <si>
    <t>Andre e</t>
  </si>
  <si>
    <t>Все о стиральных машинах и бытовой технике</t>
  </si>
  <si>
    <t>20:34</t>
  </si>
  <si>
    <t>22.07.2021 21:32</t>
  </si>
  <si>
    <t>Да вот уж. Скоро оптику заведут в дом. И будет нам и интернет. И телевизор. Спасибо</t>
  </si>
  <si>
    <t>22.07.2021 20:03</t>
  </si>
  <si>
    <t>Здравствуйте. Можете подсказать сколько стоит б/у ресивер 4К А230, который с жестким диском внутри. Использовался 2.5</t>
  </si>
  <si>
    <t>жесткий отдельно за 1500 р на авито, думаю, можно толкнуть, а сам рес - 2000 р))</t>
  </si>
  <si>
    <t>22.07.2021 19:30</t>
  </si>
  <si>
    <t>Анонимно, пожалуйста. Нужно ПРАВИЛЬНО повесить тарелку Триколор, она уже установлена, но видимо не правильно т. К сигнал</t>
  </si>
  <si>
    <t>Надо чтоб на юг смотрела</t>
  </si>
  <si>
    <t>Елена Постникова</t>
  </si>
  <si>
    <t>Халтура Архангельск • Услуги • Работа</t>
  </si>
  <si>
    <t>Новодвинск</t>
  </si>
  <si>
    <t>23.07.2021 09:46</t>
  </si>
  <si>
    <t>tihorechka11 писал(а):Shark72 писал(а):проблем практических не видишь, акромя двух каналов
Вижу, нужно ставить обратно модуль Триколора . Зачем? У тебя же без Триколора есть, откуда брать эти каналы? И, платить, минимум 1500 ради двух каналов</t>
  </si>
  <si>
    <t>Shark72</t>
  </si>
  <si>
    <t>19:13</t>
  </si>
  <si>
    <t>22.07.2021 22:37</t>
  </si>
  <si>
    <t>Blaupunkt Телевизор 50UN265T/50"/4K HDR/Smart TV/Bluetooth 5.0/WiFI 802.11 ac/USB</t>
  </si>
  <si>
    <t>Телик действительно огонь</t>
  </si>
  <si>
    <t>monitor,output device,display device,electronic device,screen,computer monitor,television,flat panel display,software,gadget,projection screen,signage</t>
  </si>
  <si>
    <t>presentation,lecture</t>
  </si>
  <si>
    <t>22.07.2021 20:34</t>
  </si>
  <si>
    <t>Что за СУЩЕСТВО ИЗ ЧАСОВ? Утерянный МУЛЬТФИЛЬМ</t>
  </si>
  <si>
    <t>Как то раз увидела по телевизору аниме, это был какой то из каналов, который входил в платную подписку на Триколоре. И уже 10 лет не могу найти его. Точно помню, что 3 главных героя. Парень с мечом, девушка с фиолетовыми волосами (волшебница вроде), и девочка блондинка с косой (или что то похожее на это). Сюжет серии такой, что блондинка подружилась с девушкой (вроде короткие коричневые волосы). А потом к этой девушке пришли странные мужчины, включили шкатулку??? И девушка превратилась в уродливого монстра. Блондинка не узнала свою подругу и начала её кромсать, и только когда монстр погиб она поняла кто это была. Если есть ветераны аниме тут. Молю помогите. Очень интересно, что там было дальше.</t>
  </si>
  <si>
    <t>Dariana</t>
  </si>
  <si>
    <t>Fantom</t>
  </si>
  <si>
    <t>22.07.2021 20:10</t>
  </si>
  <si>
    <t>Я даже триколор подключу со спорт пакетом, если они эту фишку реализуют</t>
  </si>
  <si>
    <t>Илья</t>
  </si>
  <si>
    <t>Чат Челси</t>
  </si>
  <si>
    <t>22.07.2021 18:51</t>
  </si>
  <si>
    <t>Триколор, на каналах history и history2 смотреть вообще ничего.</t>
  </si>
  <si>
    <t>Денис Фадеев</t>
  </si>
  <si>
    <t>Кодино</t>
  </si>
  <si>
    <t>Анонимно, пожалуйста. Нужно ПРАВИЛЬНО повесить тарелку Триколор, она уже установлена, но видимо не правильно т. К сигнал всегда очень плохой. 21 л/с маймакса. Цена?</t>
  </si>
  <si>
    <t>22.07.2021 19:01</t>
  </si>
  <si>
    <t>добавьте канал дискавери</t>
  </si>
  <si>
    <t>22.07.2021 18:25</t>
  </si>
  <si>
    <t>Есть ли смысл фанатам «Спартака» ехать в Казань? ✈️ Что известно о допуске болельщиков в первом туре РПЛ: http://amp</t>
  </si>
  <si>
    <t>Тарас,
При ней Матч-ТВ стал многоплатформеным. До этого спутниковые пакеты были автономными. НТВ+, Триколор, Телекарта, Континент. Теперь на любом спутнике есть Матч-ТВ! с матч-футболами.
А хороша или плоха для нас конкуренция операторов трудно понять. Особенно в глубинке где мутный интернет.</t>
  </si>
  <si>
    <t>Мишка Квакин</t>
  </si>
  <si>
    <t>Спорт-Экспресс</t>
  </si>
  <si>
    <t>Москва, 16/07/2021 Запись поздравления к 70- летию Олега Газманова #валерийлеонтьев #лучшийнавсегда</t>
  </si>
  <si>
    <t>По Триколору ТВ, что на 2 часа раньше сейчас идут "Вести", - реклама... пока (((...</t>
  </si>
  <si>
    <t>Natalya  Malinoshevskaya</t>
  </si>
  <si>
    <t>22.07.2021 20:30</t>
  </si>
  <si>
    <t>У меня вопрос, у кого-нибудь перестают показывать телевизионные каналы после 21 часов с 11 канала по 21. А с первого по</t>
  </si>
  <si>
    <t>На кухне 21 канал, в спальне 10 ,наверно антенна или настраивать надо ? Триколор в зале тоже реагирует на погоду ,короче ну....</t>
  </si>
  <si>
    <t>Наталья Лепешкина(Азисова)</t>
  </si>
  <si>
    <t>Канск Обсуждает ✔</t>
  </si>
  <si>
    <t>Канск</t>
  </si>
  <si>
    <t>23.07.2021 06:44</t>
  </si>
  <si>
    <t>Купил рессиаер на дачу и подключил ультра нд, все четко работает , есть возможность установки тарелки</t>
  </si>
  <si>
    <t>22.07.2021 22:12</t>
  </si>
  <si>
    <t>Достоинства: Даж удивлён качество улучшилось... Может из-за низкого уровня шума по сравнению со старым конвертором 
Недостатки: Нет</t>
  </si>
  <si>
    <t>Александр Ф.</t>
  </si>
  <si>
    <t>sky</t>
  </si>
  <si>
    <t>18:08</t>
  </si>
  <si>
    <t>22.07.2021 18:10</t>
  </si>
  <si>
    <t>Новости ТРИКОЛОР ТВ. ВНИМАНИЕ !!! Изменение стоимости услуги "Смотри Кино и ТВ" c 28.07.2021г. Стоимость услуги "Смотри</t>
  </si>
  <si>
    <t>Слава, они подняли просто цену или
это получается, каналы которые идут через Интернет они станут платными? такие как Большой спорт и Каналы Спорт 9каналов которые вещают через интернет?</t>
  </si>
  <si>
    <t>Николай Ращукин</t>
  </si>
  <si>
    <t>Shark72 писал(а):проблем практических не видишь, акромя двух каналов
Вижу, нужно ставить обратно модуль Триколора или подключать "Оружие" и "Звезда+" ...</t>
  </si>
  <si>
    <t>tihorechka11</t>
  </si>
  <si>
    <t>17:58</t>
  </si>
  <si>
    <t>22.07.2021 17:58</t>
  </si>
  <si>
    <t>Александр, это получается, каналы которые идут через Интернет они станут? такие как Большой спорт и каналы спорт которые вещают через интернет?</t>
  </si>
  <si>
    <t>Без телевизора жизнь не та...Увы...</t>
  </si>
  <si>
    <t>24.07.2021 08:24</t>
  </si>
  <si>
    <t>Яндекс.Эфир на смарт-тв и очень стремно на андроид тв. Лаги в браузере дикие, приложения нормального нет, а приложение Яндекс на андроид тв лично у меня жестко лагает. На компе в веб версии - все нормально.
Поэтому для тех, у кого андроид тв или смарт тв самсунг, можно поставить приложение Триколора ебаного (чтоб не подумали, что я тут рекламирую их). Есть и на андроиде, и на самсунге (тоже юзаю). Там в списке ТВ - &gt; Спортивные, и там уже 9 каналов Наш спорт. Смотреть на телеке — ништяк.
Ну и на сайте тоже:
https://kino.tricolor.tv/live</t>
  </si>
  <si>
    <t>17:47</t>
  </si>
  <si>
    <t>24.07.2021 09:45</t>
  </si>
  <si>
    <t>Грозозащита для коаксиального кабеля Green Line GL-862BL-1 диапазон 5-2150 мГц ( для DVB-T2, Цифрового ТВ, Спутникового ТВ: Триколор ТВ, НТВ +, МТС, Билайн, Телекарта)</t>
  </si>
  <si>
    <t>Достоинства: Миниатюрный размер, силу и качество сигнала Т2 не уменьшает.
Недостатки: Пока не выявил
Надеюсь, что по прямому назначению не потребуется. Но один раз грозовой разряд угодил в антенну, решил подстраховаться.</t>
  </si>
  <si>
    <t>text,label</t>
  </si>
  <si>
    <t>17:44</t>
  </si>
  <si>
    <t>Хорошая компания</t>
  </si>
  <si>
    <t>irina.sok@inbox.ru</t>
  </si>
  <si>
    <t>17:41</t>
  </si>
  <si>
    <t>23.07.2021 03:10</t>
  </si>
  <si>
    <t>ТРИКОЛОР В ГРОЗНОМ - ОФИЦИАЛЬНЫЙ ДИЛЕР ТРИКОЛОР ТВ</t>
  </si>
  <si>
    <t>Хорошо работают.</t>
  </si>
  <si>
    <t>Луиза Лузана</t>
  </si>
  <si>
    <t>Чеченская Республика</t>
  </si>
  <si>
    <t>Грозный</t>
  </si>
  <si>
    <t>22.07.2021 18:33</t>
  </si>
  <si>
    <t>Ну спутниковый интернет давно существует ......</t>
  </si>
  <si>
    <t>У нас по сути французский провайдер, на еврейской тарелке, а платим мы через российский триколор</t>
  </si>
  <si>
    <t>МИメΔNЛ ҜØßΔӅΞƁ (BÅ5ႸАŠQÜÅD)</t>
  </si>
  <si>
    <t>Дружелюбно, но ты лучше выпрями спину чат</t>
  </si>
  <si>
    <t>25.07.2021 06:12</t>
  </si>
  <si>
    <t>Для начала, хочу отметить,  что магазин находится в центре, для меня к примеру к шаговой доступности, приобретал комплект спутникового телевидения,  продавцы сразу предложили услугу установки, приехали все установили, работает как часы. Ребята оставили о себе только положительное впечатление, как сервисом так и качеством работы. Твёрдые 5 звёзд.</t>
  </si>
  <si>
    <t>Never Mind</t>
  </si>
  <si>
    <t>22.07.2021 18:38</t>
  </si>
  <si>
    <t>Всё-таки мудр Трудовой кодекс, установивший в статье 125, что одна из частей отпуска обязательно должна составлять не</t>
  </si>
  <si>
    <t>Какие наблюдательные  
В кадр не попал мой «любимый» столб, на котором висит чудесная антенна от Триколора, благодаря которой я с завтрашнего дня буду смотреть Олимпиаду в Японии (если ее снова не отменят )</t>
  </si>
  <si>
    <t>Alexey Smirnov</t>
  </si>
  <si>
    <t>16:52</t>
  </si>
  <si>
    <t>22.07.2021 16:52</t>
  </si>
  <si>
    <t>Канал Disney перешёл в формат 16:9 В Оренбурге Disney вещает в аналоге на 26 ТВК Также телеканал вещает у провайдеров и</t>
  </si>
  <si>
    <t>Женя, Согласен, надо ещё ОРТ вывести на спутник Триколор или МТС, так как аналоговую версию по всей области вырубили, а были поселки в которых есть ОРТ но при этом нет цифры.</t>
  </si>
  <si>
    <t>Дмитрий Ди</t>
  </si>
  <si>
    <t>Радио и телевидение в Оренбургской области</t>
  </si>
  <si>
    <t>Орск</t>
  </si>
  <si>
    <t>22.07.2021 16:46</t>
  </si>
  <si>
    <t>Месяц через один живу в общаге для сотрудников предприятия) Частенько в разных комнатах. И какое же говно смотрят люди. Взрослые мужики по 40 лет могут смотреть шоу Максима Галкина, или Малахова, любое ток-шоу, где обсуждают чью то личную жизнь, РЕН-ТВ (моё любимое) про пришельцев с нибиру, про то, как херово живут в америке и прочий бред. И все это при наличии подписки на триколор. То есть людям доступно более 10 каналов с фильмами, научно-познавательные каналы, музыкальные и прочее. Хорошо, что вожу с собой ноут и не вижу всего этого говна.</t>
  </si>
  <si>
    <t>Badex</t>
  </si>
  <si>
    <t>dtf.ru</t>
  </si>
  <si>
    <t>22.07.2021 17:15</t>
  </si>
  <si>
    <t>Молодцы с Вами приятно работать.
v2.5.0</t>
  </si>
  <si>
    <t>Андрей Горских</t>
  </si>
  <si>
    <t>16:01</t>
  </si>
  <si>
    <t>22.07.2021 16:01</t>
  </si>
  <si>
    <t>Вита, а как быть за городом?) Только спутник в селе выручает. Интернет это кабель проводить и тд..</t>
  </si>
  <si>
    <t>Евгений Мартыненко</t>
  </si>
  <si>
    <t>22.07.2021 21:51</t>
  </si>
  <si>
    <t>ТВ-тюнер, ТВ ресивер Триколор DVB-T2-562 , черный</t>
  </si>
  <si>
    <t>Достоинства: сигнал увеличивает, очень чуткий, выносной приемник должен находиться на растоянии от уселителя иначе не будет работать.</t>
  </si>
  <si>
    <t>Вадим П.</t>
  </si>
  <si>
    <t>30.07.2021 04:52</t>
  </si>
  <si>
    <t>Триколор Комплект спутникового телевидения Триколор ТВ Ultra HD GS B528 + Умный дом в Подарок</t>
  </si>
  <si>
    <t>Коробку доблестные перевозчики измочалили хорошенько) Признаюсь, открыл и удивился внутри все без нареканий аккуратно и даже коробочки не помяты, все подключил( на даче в Тульской области) 320 каналов + хз сколько радио! Пс. До этого стояла телекарта - редкостное .........!</t>
  </si>
  <si>
    <t>Вадим</t>
  </si>
  <si>
    <t>Добрый день! Спасибо за положительный отзыв и высокую оценку! Мы рады, что Вы остались довольны нашим товаром!</t>
  </si>
  <si>
    <t>22.07.2021 15:25</t>
  </si>
  <si>
    <t>@AVKuropatkin @GenichK Или гениальный ход с медиаправами на ЧЕ, я плачу деньги за триколор ТВ и Билайн тв, но если хотел смотреть ЧЕ с планшета или телефона, приходилось ставить приложение каждого канала на котором это транслировали, логика железная, хорошо хоть приложение бесплатное было</t>
  </si>
  <si>
    <t>Василий Юрченко</t>
  </si>
  <si>
    <t>23.07.2021 01:29</t>
  </si>
  <si>
    <t>Триколор выяснил, насколько ответственно россияне относятся к экологии</t>
  </si>
  <si>
    <t>Триколор и телеканал «Загородный» подвели итоги экологической акции «Ревизор в вашем доме». Организаторы ставили перед собой цель показать, что бережное отношение к природе начинается с малого и приносит пользу не только экологии, но и личному комфорту, здоровью и финансам.
С 24 мая на сайте eco.zagorodny.tv https://eco.zagorodny.tv/
любой желающий мог исследовать свое жилище и придомовую территорию и получить советы по выбору бытовой техники, мебели, моющих средств, а также информацию об их влиянии на здоровье, мировую экологию и семейный</t>
  </si>
  <si>
    <t>22.07.2021 14:21</t>
  </si>
  <si>
    <t>Я не писал пожелание по добавлению  канала UFC</t>
  </si>
  <si>
    <t>Сальвар Фахрутдинов</t>
  </si>
  <si>
    <t>14:09</t>
  </si>
  <si>
    <t>Смотрите сами такое кино. И даром не надо</t>
  </si>
  <si>
    <t>14:07</t>
  </si>
  <si>
    <t>22.07.2021 14:07</t>
  </si>
  <si>
    <t>Триколор, из каторых смотреть не чего</t>
  </si>
  <si>
    <t>14:06</t>
  </si>
  <si>
    <t>23.07.2021 07:17</t>
  </si>
  <si>
    <t>Шок!! Что творит приемник Триколор через интернет!!! Как настроить WiFi. Куча халявных фильмов</t>
  </si>
  <si>
    <t>А если нет денег на триколор? Всеравно будет показывать?</t>
  </si>
  <si>
    <t>Вадим Власов</t>
  </si>
  <si>
    <t>22.07.2021 14:02</t>
  </si>
  <si>
    <t>По поиску не находит HD каналы. И сигнал стал слабый. Это причина в конвертере или тарелку нужно крутить? Может еще у</t>
  </si>
  <si>
    <t>Всем спасибо! Сигнал пропал вечером. Было уже темно. А утром вышел и увидел что ветка вишни надломилась и как раз перед тарелкой оказалась!!!</t>
  </si>
  <si>
    <t>Алексей Стародубцев</t>
  </si>
  <si>
    <t>Советск</t>
  </si>
  <si>
    <t>22.07.2021 16:48</t>
  </si>
  <si>
    <t>Почему мы отключили телевизор</t>
  </si>
  <si>
    <t>Добрый день. Ездил на десять дней отдыхать в Абхазию с семьёй. Соскучился по вашим выпускам. Там хорошо интернета почти нет, телевидение тоже показывает несколько каналов и то абхазские. Никто тебе не звонит ни по работе, ни родственники - просто рай. Чистое море, горы, вкусный воздух, которым дышишь и не можешь надышаться. И с погодой повезло. Полностью с вами согласен по тв не чего сейчас смотреть. Новости - это сплошная пропаганда нашего "лучшего" в мире правительства. Музыкальные программы - извините за мой французский - одни и те же рожи</t>
  </si>
  <si>
    <t>Валерий Буртовой</t>
  </si>
  <si>
    <t>букинист орск</t>
  </si>
  <si>
    <t>22.07.2021 17:42</t>
  </si>
  <si>
    <t>Помощь в поиске программ для Android OS</t>
  </si>
  <si>
    <t>Здравствуйте, подскажите пульт который может работать с триколор тв</t>
  </si>
  <si>
    <t>zelemer</t>
  </si>
  <si>
    <t>4PDA &gt; Android - Первая помощь</t>
  </si>
  <si>
    <t>13:33</t>
  </si>
  <si>
    <t>22.07.2021 15:21</t>
  </si>
  <si>
    <t>Нет плюсов, оплату только быстро берут
Долго решают проблемные вопросы в обращениях
По ошибке бабуля-пенсионерка оплатила на свой старый номер ID годовую оплату за пользование тарелкой. Более 4х дней ждем решения от компании переноса средств на действующий номер ID ресивера. Ни деньги обратно не возвращают, и не переносят((( БЕЗОБРАЗИЕ, а не компания!! Никому никогда не посоветую(((</t>
  </si>
  <si>
    <t>13:09</t>
  </si>
  <si>
    <t>22.07.2021 13:09</t>
  </si>
  <si>
    <t>Всем привет. Подскажите кто в Можайске в частном секторе подключал интернет вл-телеком, как скорость интернета и ip тв,</t>
  </si>
  <si>
    <t>Мы на ямской подключили и тв и инет все хорошо ловит не пропадает при грозе и ветре не то что триколор.</t>
  </si>
  <si>
    <t>Наташа Наумова</t>
  </si>
  <si>
    <t>Подслушано Можайск</t>
  </si>
  <si>
    <t>22.07.2021 13:21</t>
  </si>
  <si>
    <t>Здравствуйте. Что может быть? Целый день вот так.</t>
  </si>
  <si>
    <t>БЛОК ПИТАНИЯ ПОМЕНЯЛА, СО ВТОРОГО ПОСТАВИЛА НА ПЕРВЫЙ,ВСЕ ЗАРАБОТАЛО.НО ПРИДЕТСЯ НОВЫЙ БЛОК ПОКУПАТЬ НА ВТОРОЙ ПРИЕМНИК</t>
  </si>
  <si>
    <t>Марина Соболева</t>
  </si>
  <si>
    <t>22.07.2021 16:44</t>
  </si>
  <si>
    <t>Паша ты направление скобки смайлика перепутал ,надо так)</t>
  </si>
  <si>
    <t>Сейчас позвонил Триколор,мы както беседовали про усилители связи Триколор,я уже и забыл,еще и спал. Только в конце понял про что мне Триколор втирает, итог таков,Триколор не предоставляет ни какой документации о том что их оборудование имеет сертификацию и тд,если приедут люди с проверкой из надзорных органов. Сказали мы это оборудование закупаем,обращайтесь к производителю. Короче я не удивлен,у меня их приставка есть,она барахлила,когда я попытался решить вопрос они меня тоже послали к производителю.</t>
  </si>
  <si>
    <t>Alexander NeVeR</t>
  </si>
  <si>
    <t>Модемы 4G/5G</t>
  </si>
  <si>
    <t>22.07.2021 12:56</t>
  </si>
  <si>
    <t>Конвектор триколор, бу 2 месяца, продаю по причине, поставил другой на два телевизора, торг уместен. Конвектор</t>
  </si>
  <si>
    <t>Такой новый конвертер стоит 690 рублей: https://market.yandex.ru/product--konverter-trikolor-slin-51e/663143077</t>
  </si>
  <si>
    <t>Илья Касаткин</t>
  </si>
  <si>
    <t>Барахолка (мкр. Заря, Балашиха)</t>
  </si>
  <si>
    <t>22.07.2021 13:01</t>
  </si>
  <si>
    <t>2500 за единый ультра это дорого очень.</t>
  </si>
  <si>
    <t>12:51</t>
  </si>
  <si>
    <t>Стс лав верните на интернет пожалуйста</t>
  </si>
  <si>
    <t>Юленька Классен</t>
  </si>
  <si>
    <t>Чаплыгин</t>
  </si>
  <si>
    <t>12:44</t>
  </si>
  <si>
    <t>22.07.2021 13:36</t>
  </si>
  <si>
    <t>Вова, ты серьёзно!? Путин разболтал правду о вакцинации и планах власти!</t>
  </si>
  <si>
    <t>Да даже пишут по телеку, сделаешь вакцинацию,месяц бесплатно, триколор ТВ</t>
  </si>
  <si>
    <t>Любовь Белашова</t>
  </si>
  <si>
    <t>Павел Иванов</t>
  </si>
  <si>
    <t>22.07.2021 12:43</t>
  </si>
  <si>
    <t>Добрый день. Подскажите, кто сталкивался, какое спутниковое тв+интернет выбрать. Первомайский район. Цены, примерно, у</t>
  </si>
  <si>
    <t>У меня в Алейском районе у родствеников в деревне, где даже сотовая связь не ловит, а тв и интернет отличные, тарелка Триколор</t>
  </si>
  <si>
    <t>Ирина Колокольникова</t>
  </si>
  <si>
    <t>Спрашивай Барнаул</t>
  </si>
  <si>
    <t>Алтайский край</t>
  </si>
  <si>
    <t>Барнаул</t>
  </si>
  <si>
    <t>22.07.2021 13:02</t>
  </si>
  <si>
    <t>Речь идет про помехи при приеме из-за погодных условий. Помехи выражаются в фризах, рассыпании картинки или вообще в черном экране.
Это редкое явление, зависит от погоды, но оно есть. В моем случае переход с триколоровского ресивера на нтв+ кам модуль (ресивер в телевизоре LG) - существенно улучшил ситуацию.
У трико помехи наблюдались несколько раз в год, у НТВ - один раз за несколько лет.</t>
  </si>
  <si>
    <t>5yoda5</t>
  </si>
  <si>
    <t>22.07.2021 12:10</t>
  </si>
  <si>
    <t>Кирилл, звали уже много раз деньги берет 1 день поработает и опять зависает и на смарт перешли дешевле выходит</t>
  </si>
  <si>
    <t>22.07.2021 13:05</t>
  </si>
  <si>
    <t>Всё хорошо и понятно
v2.5.0</t>
  </si>
  <si>
    <t>Oleg Kolchan</t>
  </si>
  <si>
    <t>22.07.2021 12:05</t>
  </si>
  <si>
    <t>Тимур, ну вообще удобная штука, футбол например посмотреть.</t>
  </si>
  <si>
    <t>Кирилл Шульман</t>
  </si>
  <si>
    <t>12:04</t>
  </si>
  <si>
    <t>Алексей, 2500 это uhd, я как платил полторы так и плачу</t>
  </si>
  <si>
    <t>11:58</t>
  </si>
  <si>
    <t>22.07.2021 20:35</t>
  </si>
  <si>
    <t>Достоинства: Маленький размер
Недостатки: Не обнаружено 
Никаких проблем с подключением, вставил и готово. Теперь спокойнее за телевизор во время грозы</t>
  </si>
  <si>
    <t>Анастасия Я.</t>
  </si>
  <si>
    <t>22.07.2021 12:02</t>
  </si>
  <si>
    <t>Подключил триколор и забыл. Раз в год плачу. Голову никто не делает)</t>
  </si>
  <si>
    <t>Zhahooovsky</t>
  </si>
  <si>
    <t>11:57</t>
  </si>
  <si>
    <t>Подключены два оператора. Ни один не делает голову. Если у кого-то ещё есть такая проблема с Триколором, рекомендую связаться с местными мастерами и проверить подключение к приставке. Потому что спутник дело такое. Пыль протирать станешь, кабель задел и могут быть сбои</t>
  </si>
  <si>
    <t>Не могу подтвердить сказанное, пользуюсь, жаловаться не на что)</t>
  </si>
  <si>
    <t>NickYarushev</t>
  </si>
  <si>
    <t>22.07.2021 23:19</t>
  </si>
  <si>
    <t>Достоинства: Проверено, всё работает!</t>
  </si>
  <si>
    <t>Сергей М.</t>
  </si>
  <si>
    <t>22.07.2021 11:00</t>
  </si>
  <si>
    <t>М-Лига стартует уже сегодня</t>
  </si>
  <si>
    <t>Мария, только зачем они играют днём да ещё и в рабочий день почему не вечером, а днем в выходные
Кстати Триколор ТВ показывает через интернет на каналах спорт М-лигу, только через интернет если у тебя подключен на ресивере  интернет и в приложение триколор тв кино
А так ютуб показывает ещë</t>
  </si>
  <si>
    <t>Тинькофф Российская Премьер-Лига</t>
  </si>
  <si>
    <t>22.07.2021 22:23</t>
  </si>
  <si>
    <t>Класс!! Подключился сразу! спасибо!</t>
  </si>
  <si>
    <t>Лилия</t>
  </si>
  <si>
    <t>22.07.2021 10:52</t>
  </si>
  <si>
    <t>****** Что находится наверху здания?заранее спасибо за ответ.</t>
  </si>
  <si>
    <t>через спутникового оператора "Триколор" было налажено.теперь конечно возможно ,кто и видит,из облако.</t>
  </si>
  <si>
    <t>Михаил Петров</t>
  </si>
  <si>
    <t>АНОНИМНОЕ БОЛОГОЕ</t>
  </si>
  <si>
    <t>Бологое</t>
  </si>
  <si>
    <t>23.07.2021 12:29</t>
  </si>
  <si>
    <t>HD Телевизор Asano 28LH1010T 27,5"</t>
  </si>
  <si>
    <t>Достоинства: Тонкий легкий, четкая картинка
Недостатки: Не обнаружено, ну разве что выход старт внизу тв и при необходимости его использования, надо вешать тв на стену или делать подставки под ножки. Для меня это не минус, подключил триколор через боковой hdmi
Менял старый аквариум Sony на даче, соотношение цена/качество устроило абсолютно</t>
  </si>
  <si>
    <t>Артем Р.</t>
  </si>
  <si>
    <t>building,electronic device,furniture,floor,table,wood,house,television,window,wall,real estate,bed,display device</t>
  </si>
  <si>
    <t>design,room,interior design,living room</t>
  </si>
  <si>
    <t>22.07.2021 10:43</t>
  </si>
  <si>
    <t>Отличное приложение. Удобно выбирать услуги и оплачивать. Плюс самостоятельно запускать коды активации.
v2.5.0</t>
  </si>
  <si>
    <t>Tasty Highscreen</t>
  </si>
  <si>
    <t>22.07.2021 10:20</t>
  </si>
  <si>
    <t>Моя жена из обеспеченной семьи, привыкла не экономить на своих желаниях. Когда мы поженились,то хотели всего добиться</t>
  </si>
  <si>
    <t>Через день машину заправлять штука уходит, телефон, вай Фай, платные каналы нтв + и триколор тв.. и ещё много расходов..</t>
  </si>
  <si>
    <t>Мага Если-Че</t>
  </si>
  <si>
    <t>Подслушано Дагестан | ПД</t>
  </si>
  <si>
    <t>22.07.2021 09:59</t>
  </si>
  <si>
    <t>Павел, ну тогда стабилизатора на 1000вт будет мало для кондера</t>
  </si>
  <si>
    <t>Электро Плюс</t>
  </si>
  <si>
    <t>Нет, спасибо. Вспоминаю этот триколор, как страшный сон</t>
  </si>
  <si>
    <t>Елена Пугачева</t>
  </si>
  <si>
    <t>09:11</t>
  </si>
  <si>
    <t>22.07.2021 10:13</t>
  </si>
  <si>
    <t>Спутниковый ресивер General Satellite GS HD-9305 - До сих пор работает, хотя лет десять прошло с момента покупки</t>
  </si>
  <si>
    <t>Простой в использовании
Незначительны
Всем привет.
Сегодня я пишу свой отзыв о втором ресивере, которым я пользуюсь в настоящее время у себя дома.
Это спутниковый ресивер General Satellite GS HD-9305 компании Триколор.
Куплен он давным-давно. Лет десять назад, уже и не вспомню точно.
Сейчас такой уже не продается, да и не выпускается уже.
Представлен он в пластиковом корпусе черного цвета. Есть слот для смарт-карты, оптимальный набор разъемом для подключения к аудио и видео аппаратуре, порт для USB. Есть телетекст, субтитры</t>
  </si>
  <si>
    <t>Prosto Katerina</t>
  </si>
  <si>
    <t>Спутниковый ресивер General Satellite GS HD-9305</t>
  </si>
  <si>
    <t>Пульт для ресиверов Триколор ТВ (DDL-1034)</t>
  </si>
  <si>
    <t>Достоинства: Выполняет все свои функции.
Недостатки: Немножко отличается фактурностью отливки корпуса от оригинала. (шероховатость)
Вполне нормальный пульт. Работает и хорошо.</t>
  </si>
  <si>
    <t>Владимир Р.</t>
  </si>
  <si>
    <t>Пульт для ресиверов Триколор ТВ  (DDL-1034)</t>
  </si>
  <si>
    <t>22.07.2021 09:46</t>
  </si>
  <si>
    <t>Очень удобное приложение, не меняйте его, я дилер очень плохое приложение
v2.5.0</t>
  </si>
  <si>
    <t>Лариса Красовская</t>
  </si>
  <si>
    <t>22.07.2021 08:42</t>
  </si>
  <si>
    <t>Я вообще перешла на интернет,задолбал триколор,г...!</t>
  </si>
  <si>
    <t>Вита Дудникова</t>
  </si>
  <si>
    <t>Лабытнанги</t>
  </si>
  <si>
    <t>08:22</t>
  </si>
  <si>
    <t>22.07.2021 11:16</t>
  </si>
  <si>
    <t>В городах Коми завоют сирены</t>
  </si>
  <si>
    <t>канал», «Россия-1», «Матч ТВ», «НТВ», «Пятый канал», «Россия-К», «Россия-24», «Карусель», «ОТР», «ТВ Центр»), если у вас спутниковое телевидение «Триколор» или «Телекарта» или IP-телевидение Ростелеком – включите телеканал «Юрган».   Информация дублируется по радиостанциям «Вести ФМ», «Маяк», «Радио России». Не переживайте, если Вы не услышали сообщение полностью – сообщения будут повторяться. На весь период ликвидации чрезвычайной ситуации все эти средства связи необходимо держать постоянно включёнными.</t>
  </si>
  <si>
    <t>БНК</t>
  </si>
  <si>
    <t>bnkomi.ru</t>
  </si>
  <si>
    <t>08:13</t>
  </si>
  <si>
    <t>САМ-модуль Триколор ТВ + карта доступа с подпиской ЕДИНЫЙ ULTRA HD</t>
  </si>
  <si>
    <t>Достоинства: После установки в телевизор красиво светится зеленый светодиод.
Недостатки: Продавец находится в Перми. Для регистрации договора нужно отправить ему свои персональные данные (включая фото паспорта) через мессенджеры или электронной почтой. Честно скажу это указано в описании, но я не придал значения. Не горю желанием отсылать фото своего паспорта не известному для меня продавцу. Решил активировать договор через Триколор поддержку. Танцы с бубном продолжаются третий день, пока безрезультатно. Теперь интересен сам процесс, чем все закончится.
Одним словом купил себе головняк.</t>
  </si>
  <si>
    <t>07:52</t>
  </si>
  <si>
    <t>22.07.2021 07:52</t>
  </si>
  <si>
    <t>Доброго вечера, хотелось бы узнать стоимость подключения оптоволоконного интернета от Ростелекома в Засосне, а, то эти</t>
  </si>
  <si>
    <t>Ростелеком, что проверять 1000 раз проверяли, у вас все правильно, читайте договор, а на словах никто не объяснил, если бы я знала в жизни не связалась, меня триколор устраивал, а сейчас счета каждый месяц все больше и больше, вроде знаешь что подключал, рассчитываешь, а счёт больше, дочь отключила программы, а отключение, только 1 августа, эт значит за месяц ещё платить, и аппаратуру напали не объяснили, как за неё платить, разово или  два года, в результате плата под 3000 , в этом месяце почти 3500 тыс это сумма для меня огромная я за газ меньше плачу. Если бы знала в жизни не связалась. Самая для меня непонятная и нечестная организация. Напали сиди адаптеров. Вай-фай никакой, ни везде есть. Короче, как, говорится намахали.</t>
  </si>
  <si>
    <t>Оксана Жданова</t>
  </si>
  <si>
    <t>Zабор | Елец</t>
  </si>
  <si>
    <t>22.07.2021 07:49</t>
  </si>
  <si>
    <t>Блок питания точно в норме уже отвозили проверили, тупо пишет нет сигнала кондер очень хорошо холодит напряжение в норме, мастер нужен кто приедет посмотрит своими глазами, есть такие?</t>
  </si>
  <si>
    <t>Женя Федорова</t>
  </si>
  <si>
    <t>22.07.2021 07:45</t>
  </si>
  <si>
    <t>У меня тоже такое бывало ресиаер полетел нановый менять надо .они лет 5 работают и патом вылетают со временем</t>
  </si>
  <si>
    <t>Лева Виванов</t>
  </si>
  <si>
    <t>07:23</t>
  </si>
  <si>
    <t>22.07.2021 07:38</t>
  </si>
  <si>
    <t>Группировка спутников - да. Но это на масштабы страны. А по факту, на конкретной местности, выбирается ОДИН спутник и на него прицеливаемся. 
Например, над уралом лучше всего принимает спутник Express AMU1 (Eutelsat 36C). Но это не значит, что этот спутник только Триколоровский. На одном и том же спутнике стоят транспондеры (передатчики) разных организаций. И на этом спутнике не только Триколор и НТВ+, но и транспондеры интернета на южную африку.</t>
  </si>
  <si>
    <t>07:18</t>
  </si>
  <si>
    <t>22.07.2021 17:45</t>
  </si>
  <si>
    <t>Смарт ТВ приставка, ТВ бокс X96q Андроид 10, 2/16 Гб 4К tv box андроид приставка смарт приставка</t>
  </si>
  <si>
    <t>Достоинства: работает все хорошо разок повисла но это я думаю из за инета доволен  триколор  отдыхает
Недостатки: пока нет</t>
  </si>
  <si>
    <t>Владимир С.</t>
  </si>
  <si>
    <t>07:03</t>
  </si>
  <si>
    <t>23.07.2021 01:04</t>
  </si>
  <si>
    <t>Сервисный центр Триколор ТВ Королёв</t>
  </si>
  <si>
    <t>Вeликoлeпнoe зaвeдeниe. С вocтopгoм постоянно пoceщaю и ocтaюcь удoвлeтвopeнным. Aдeквaтныe pacцeнки, oгpoмный accopтимeнт, пocтoяннo oтличнoe oбcлуживaниe нe мoгут нe пoднять нacтpoeниe. Внутpи дocтaтoчнo пpиличнo. Opиeнтиpуяcь пo личнoму oпыту coвeтую тoвapищaм и близким!</t>
  </si>
  <si>
    <t>Боталов Алексей</t>
  </si>
  <si>
    <t>Королёв</t>
  </si>
  <si>
    <t>07:00</t>
  </si>
  <si>
    <t>24.07.2021 05:17</t>
  </si>
  <si>
    <t>Обсуждение спортивных каналов и программ на Триколор ТВ</t>
  </si>
  <si>
    <t>Читаю презентацию спортивных каналов Триколора, и вижу ложь в 2 пунктах из 3.
Спорт, который еще никто не показывал, абсолютно новая картинка для абонента
Более 100 прямых эфиров в месяц, которых не найти в интернете
Эксклюзивный контент, который не показывают на эфирных каналах
Это ФНЛ-то никто не показывал? Или ВХЛ? А, извиняюсь, покойный ныне телеканал "Спорт" тоже их игнорировал, как и "Матч ТВ"?
Это ЮФЛ-то не найти в интернете? Ещё до старта спортивного проекта все соревнования, которые попали в пакет, можно было найти в интернете. Что</t>
  </si>
  <si>
    <t>plant,tennis equipment,grass,goal,ball,sports equipment,net,scoreboard</t>
  </si>
  <si>
    <t>sport venue,games,stadium,football,sports,ball game,competition</t>
  </si>
  <si>
    <t>22.07.2021 18:41</t>
  </si>
  <si>
    <t>Комплект спутникового ТВ DTS 54 (Триколор ТВ. Центр)</t>
  </si>
  <si>
    <t>Достоинства: Бюджетный приемник без излишеств
Недостатки: нет даже аналогового выхода для подключения к устаревшим телевизорам и дорогой пакет 2000 р.год , без возможности подключения доп. пакетов , через пару лет эксплуатации начинает "сыпать" часть  каналов , лечится заменой компонентов</t>
  </si>
  <si>
    <t>05:07</t>
  </si>
  <si>
    <t>22.07.2021 05:07</t>
  </si>
  <si>
    <t>Летом постоянно приезжаю в Котлас и с момента цифровизации невозможно стало смотреть телевизор. На каналах первого</t>
  </si>
  <si>
    <t>Антенну   Триколор  прекрасно  ловит  правда  там  Архангельск  отсутствует  на  кухне  у  нас  цифровой  бывает  пропадает  но  не  надолго  на  Володарского</t>
  </si>
  <si>
    <t>Надежда Шаньгина</t>
  </si>
  <si>
    <t>Подслушано в Котласе</t>
  </si>
  <si>
    <t>Котлас</t>
  </si>
  <si>
    <t>04:59</t>
  </si>
  <si>
    <t>22.07.2021 07:11</t>
  </si>
  <si>
    <t>Semuch @ 21.07.21, 22:15  /forum/index.php?act=findpost&amp;pid=108133294 Спутник и иптв прекрасно дополняют друг друга, у самого и иптв, и +++,и триколор, и ростелеком.
Некоторые переходят на Android приставку только потому, что гораздо удобнее пользоваться для разноплановых задач (IPTV фильмы YouTube и т.д.) одним устройством и одним пультом, чем мешаниной коробок, проводов и разных экранных интерфейсов. Это особенно актуально для малолетних детей и людей предпенсионного/пенсионного возраста.</t>
  </si>
  <si>
    <t>gun-fan</t>
  </si>
  <si>
    <t>02:44</t>
  </si>
  <si>
    <t>22.07.2021 21:08</t>
  </si>
  <si>
    <t>Достоинства: универсальный, подходит
Недостатки: нет</t>
  </si>
  <si>
    <t>Марат К.</t>
  </si>
  <si>
    <t>02:28</t>
  </si>
  <si>
    <t>22.07.2021 03:35</t>
  </si>
  <si>
    <t>Не все так просто, от типа модуляции зависит насколько низкий может быть уровень сигнала для стабильного приема. Сложнее схема модуляции, меньше FEC(бит коррекции ошибок) = больше каналов на одном транспондере/частоте (т.е меньше затрат для триколора на поддержание 1 канала в эфире), но могут значительно возрасти требования к качеству (carrier/ noise) сигнала на принимающей стороне.</t>
  </si>
  <si>
    <t>Stranger04</t>
  </si>
  <si>
    <t>01:05</t>
  </si>
  <si>
    <t>22.07.2021 01:34</t>
  </si>
  <si>
    <t>И верно и не совсем. Они под предлогом того что старый формат мп2 перестаёт поддерживать я вынуждают менять их на новые мп4 приставки, но большАя часть старых тоже поддерживают мп4, но триколор навязывает обмен и таких приставок, как-то так</t>
  </si>
  <si>
    <t>Ramadanta</t>
  </si>
  <si>
    <t>21.07.2021</t>
  </si>
  <si>
    <t>23:33</t>
  </si>
  <si>
    <t>21.07.2021 23:33</t>
  </si>
  <si>
    <t>Триколор стал тупить конкретно перейдите на смарт дешевле выйдет</t>
  </si>
  <si>
    <t>21.07.2021 23:39</t>
  </si>
  <si>
    <t>Блок питания сменить(12в 2 а) или конденсаторы вздутые поменять в этом блоке питания</t>
  </si>
  <si>
    <t>Олег Ябриков</t>
  </si>
  <si>
    <t>21.07.2021 22:55</t>
  </si>
  <si>
    <t>У меня такое было, оказалось сгорел блок питания из-за скачка напряжения, его поменяла и все заработало</t>
  </si>
  <si>
    <t>Татьяна Олегова</t>
  </si>
  <si>
    <t>21.07.2021 22:54</t>
  </si>
  <si>
    <t>Вы не одни такие, у нас тоже такая же беда.</t>
  </si>
  <si>
    <t>Федор-И-Валерия Бобенко</t>
  </si>
  <si>
    <t>21.07.2021 22:49</t>
  </si>
  <si>
    <t>Ремонт телевизионных приставок в СЦ #ВашМастер. Ждём Вас по адресу: г. Воткинск, ул. Мира 27 г. Воткинск, ул. Степана</t>
  </si>
  <si>
    <t>Здравствуйте. Приставка триколор тв, по моему сгорела плата. Сколько стоит поменять?</t>
  </si>
  <si>
    <t>Оля Васильева</t>
  </si>
  <si>
    <t>Ваш Мастер Ремонт Бытовой Техники Воткинске</t>
  </si>
  <si>
    <t>21.07.2021 22:58</t>
  </si>
  <si>
    <t>Но канал стал на много хуже и сериалы повторяются , раньше был лучше , как сейчас канал Золотая коллекция отличный канал , лишь бы не испортился</t>
  </si>
  <si>
    <t>22:32</t>
  </si>
  <si>
    <t>21.07.2021 22:36</t>
  </si>
  <si>
    <t>Раньше канал Дом кино был просто отличный! Показывали хорошие советские фильмы! А сейчас что? Уже который месяц мультики идут, что происходит??</t>
  </si>
  <si>
    <t>21.07.2021 22:32</t>
  </si>
  <si>
    <t>Здравствуйте подскажите пожалуйста триколор не работает, пишет нет сигнала (все оплачено) ,основные моменты проверили все в норме, что это может быть? Может есть номер мастера,кто сможет разобраться в проблеме? Спасибо</t>
  </si>
  <si>
    <t>Меняи на новый ресивер</t>
  </si>
  <si>
    <t>Дима Воробьев</t>
  </si>
  <si>
    <t>, доходило до 80-90мбит, а если включить на трех тв такой канал, будет или буферизация или рассыпание, а вот разницы в качестве с нтв+ евроспортом и через иптв я не увидел, и берут они исходный сигнал скорее всего оттуда же, как и большинство самых востребованных каналов, те же провайдеры иптв частенько пишут почему канал не работает, что проблема с сигналом со спутника. Опять же смотря кому какие каналы нужны, те же +++ покрывают большинство запросов обычных пользователей. Никогда не понимал людей, которые смотрят иптв на андроид приставках и</t>
  </si>
  <si>
    <t>21.07.2021 22:13</t>
  </si>
  <si>
    <t>Александр,
Хоть бы прочитали что хто за услуга,чего возбудились так?
Для абонентов Триколор ни чего не дорожает,смотрим и в сети и со спутника!
     "Услуга предоставляется только клиентам, которые пользуются онлайн-сервисами Триколора исключительно посредством приложения «Триколор Кино и ТВ» на мобильных устройствах или телевизорах с поддержкой функции Smart TV. Услуга недоступна для активации клиентам, которые авторизовались в приложении «Триколор Кино и ТВ» посредством Триколор ID, который был присвоен клиенту при заключении Абонентского договора для получения услуг Триколора посредством приемного оборудования."</t>
  </si>
  <si>
    <t>Дмитрий Ямашев</t>
  </si>
  <si>
    <t>22:11</t>
  </si>
  <si>
    <t>21.07.2021 22:11</t>
  </si>
  <si>
    <t>Хоть бы прочитали что хто за услуга,чего возбудились так?
Для абонентов Триколор ни чего не дорожает,смотрим и в сети и со спутника!
     "Услуга предоставляется только клиентам, которые пользуются онлайн-сервисами Триколора исключительно посредством приложения «Триколор Кино и ТВ» на мобильных устройствах или телевизорах с поддержкой функции Smart TV. Услуга недоступна для активации клиентам, которые авторизовались в приложении «Триколор Кино и ТВ» посредством Триколор ID, который был присвоен клиенту при заключении Абонентского договора для получения услуг Триколора посредством приемного оборудования."</t>
  </si>
  <si>
    <t>21.07.2021 22:17</t>
  </si>
  <si>
    <t>Возможно блок питания полетел!</t>
  </si>
  <si>
    <t>Захар Шибаев</t>
  </si>
  <si>
    <t>Тихвин</t>
  </si>
  <si>
    <t>22:07</t>
  </si>
  <si>
    <t>За мените блок питания</t>
  </si>
  <si>
    <t>Кирилл Федорин</t>
  </si>
  <si>
    <t>Сергей Уткин</t>
  </si>
  <si>
    <t>Можайск</t>
  </si>
  <si>
    <t>furniture,drawer</t>
  </si>
  <si>
    <t>22:01</t>
  </si>
  <si>
    <t>Битва экстрасенсов 
Гниющий антенный кабель, растущее дерево, умирающий блок питания, ржавчина на разъеме конвертора, сам конвертор, выпадающие анкера кронштейна - всё это может быть причиной. Вызовите мастера</t>
  </si>
  <si>
    <t>Андрей Пересыпкин</t>
  </si>
  <si>
    <t>Ефремов</t>
  </si>
  <si>
    <t>21:50</t>
  </si>
  <si>
    <t>21.07.2021 22:01</t>
  </si>
  <si>
    <t>Ваш пользователь более 10 лет, очень нравится.
v2.5.0</t>
  </si>
  <si>
    <t>Ангела Стогова</t>
  </si>
  <si>
    <t>21:37</t>
  </si>
  <si>
    <t>21.07.2021 21:37</t>
  </si>
  <si>
    <t>Александр, а за что там платить? За глючное и убогое приложение? Половины ОСНОВНЫХ каналов нет. 80% фильмов доступны по дополнительным подпискам. И да супер убогое и глючное приложение главная проблема этого сервиса. За такое 100 р в год много!</t>
  </si>
  <si>
    <t>Неизвестный Пользователь</t>
  </si>
  <si>
    <t>22.07.2021 02:13</t>
  </si>
  <si>
    <t>Модуль Триколор ТВ CI+ с картой доступа Центр (тариф 1500 год)</t>
  </si>
  <si>
    <t>Достоинства: Все работает хорошо</t>
  </si>
  <si>
    <t>Интересно, какой % людей сейчас по стране смотрит на регулярной основе телек?</t>
  </si>
  <si>
    <t>В области куда я часто ежу на домах почти у каждого окна спутниковая тарелка, думаю дальше пояснять не надо,это явно не инет от триколор..</t>
  </si>
  <si>
    <t>SeiferRus</t>
  </si>
  <si>
    <t>Кому не всё равно. Чат</t>
  </si>
  <si>
    <t>22.07.2021 03:17</t>
  </si>
  <si>
    <t>Херня а не триколор, снял тарелку и выкинул, не подключайтесь</t>
  </si>
  <si>
    <t>Сергей Костромин</t>
  </si>
  <si>
    <t>Сальск</t>
  </si>
  <si>
    <t>21:12</t>
  </si>
  <si>
    <t>Спасибо за такое качественное телевидение
v2.5.0</t>
  </si>
  <si>
    <t>Murad Gadjiev</t>
  </si>
  <si>
    <t>20:50</t>
  </si>
  <si>
    <t>21.07.2021 20:50</t>
  </si>
  <si>
    <t>Добрый день, ресивер триколор перестал ловить сигнал, может есть кто разбирается?</t>
  </si>
  <si>
    <t>Наталья, лучше на дом вызвать, чтобы выход на конвекторе посмотрели. Я предполагаю, что у вас антенна на два выхода и неисправность на выходе у того приемника, который не показывает</t>
  </si>
  <si>
    <t>Светлана Степченко</t>
  </si>
  <si>
    <t>Наше Янино</t>
  </si>
  <si>
    <t>21.07.2021 20:46</t>
  </si>
  <si>
    <t>Наталья, обычно эта неисправность, когда приёмник не может получить сигнал: 1- либо конвектор, либо кабель; 2 - обычно блок питания сдыхает</t>
  </si>
  <si>
    <t>21.07.2021 20:45</t>
  </si>
  <si>
    <t>Наталья, а тот, который не показывает, и с другим блоком питания не работает?</t>
  </si>
  <si>
    <t>20:43</t>
  </si>
  <si>
    <t>21.07.2021 20:44</t>
  </si>
  <si>
    <t>Наталья, то есть телевизор , который показывает , с обоими блоками работает?</t>
  </si>
  <si>
    <t>20:42</t>
  </si>
  <si>
    <t>21.07.2021 20:42</t>
  </si>
  <si>
    <t>Значит заменить блок питания</t>
  </si>
  <si>
    <t>22.07.2021 14:42</t>
  </si>
  <si>
    <t>Недостатки: Нет
Приставка тв работает, а это главное. Спасибо Озон!</t>
  </si>
  <si>
    <t>Александр М.</t>
  </si>
  <si>
    <t>21.07.2021 20:13</t>
  </si>
  <si>
    <t>Светлана, видимо ресивер, переставила на другой телевизор, не показывает сила 0, качество 0</t>
  </si>
  <si>
    <t>Наталья Веселая</t>
  </si>
  <si>
    <t>21.07.2021 20:11</t>
  </si>
  <si>
    <t>21.07.2021 20:01</t>
  </si>
  <si>
    <t>Наталья, и такой вопрос: у вас двойной комплект или каждый приёмник отдельно (со своей Аб. Платой)?</t>
  </si>
  <si>
    <t>21.07.2021 19:59</t>
  </si>
  <si>
    <t>Наталья, поменяйте блок питания от которого показывает на тот, который не показывает. Если заработает, значит менять блок питания</t>
  </si>
  <si>
    <t>19:49</t>
  </si>
  <si>
    <t>21.07.2021 19:50</t>
  </si>
  <si>
    <t>зачем платить если твоего фильма нету присылают который не кто не знает этого фильма</t>
  </si>
  <si>
    <t>21.07.2021 19:49</t>
  </si>
  <si>
    <t>Александр, вы не платите пока моих фильмов не появиться смотреть на нем не чего</t>
  </si>
  <si>
    <t>21.07.2021 19:46</t>
  </si>
  <si>
    <t>Конвектор давно меняли?</t>
  </si>
  <si>
    <t>21.07.2021 19:36</t>
  </si>
  <si>
    <t>Если приёмник современный, можно включить 1 канал, затем на пульте нажмёте красную кнопку, затем синюю, откроется две шкалы внизу: сила - должно быть 100, качество - не менее 50. Если так есть - с антенной значит норм. Если нет - может антенна сбилась от ветра, может конвектор полетел, может кабель... здесь уже надо мастера вызывать, пусть смотрят. Блок питания не жужжит?</t>
  </si>
  <si>
    <t>19:32</t>
  </si>
  <si>
    <t>21.07.2021 19:40</t>
  </si>
  <si>
    <t>Александр, да это хрень,кино и ТВ для новых приемников</t>
  </si>
  <si>
    <t>Тимур Тимуров</t>
  </si>
  <si>
    <t>Нур-Султан</t>
  </si>
  <si>
    <t>Дмитрий, да это не интересно,на единый там не особо что-то меняется</t>
  </si>
  <si>
    <t>21.07.2021 19:28</t>
  </si>
  <si>
    <t>Наталья, но может и блок питания тормознуть.</t>
  </si>
  <si>
    <t>19:19</t>
  </si>
  <si>
    <t>21.07.2021 19:19</t>
  </si>
  <si>
    <t>Наталья, похоже что-то с антенной. Модель приемника какая?</t>
  </si>
  <si>
    <t>22.07.2021 02:10</t>
  </si>
  <si>
    <t>Наши договорились о трансляции. Олимпиаду покажут Qazsport, Qazaqstan и Хабар.  Хорошая новость для 39% казахстанцев, которые собираются следить за играми в Токио.</t>
  </si>
  <si>
    <t>Ставьте триколор российский и смотрите в нормальном качестве</t>
  </si>
  <si>
    <t>Shakh</t>
  </si>
  <si>
    <t>ALIBEKOV FORUM</t>
  </si>
  <si>
    <t>21.07.2021 23:07</t>
  </si>
  <si>
    <t>Недостатки: пульт подошёл к телевизору</t>
  </si>
  <si>
    <t>21.07.2021 19:01</t>
  </si>
  <si>
    <t>Михаил, второй телевизор показывает</t>
  </si>
  <si>
    <t>21.07.2021 19:00</t>
  </si>
  <si>
    <t>Светлана, не показывает, бегут три красные точки по чёрному экрану</t>
  </si>
  <si>
    <t>Это что же получается,пакет Единый+Кино и ТВ на год 4000 рублей.А у Триколора не треснет. Ничего не получат.</t>
  </si>
  <si>
    <t>Александр Королёв</t>
  </si>
  <si>
    <t>21.07.2021 18:56</t>
  </si>
  <si>
    <t>Программный блок Comedy Central появится на телеканале Paramount Comedy: сериалы «Ки и Пил», «Трудоголики» и «Рино</t>
  </si>
  <si>
    <t>Как будет телеканал comedy Central в триколор ТВ</t>
  </si>
  <si>
    <t>Санал Наранов</t>
  </si>
  <si>
    <t>Калмыкия</t>
  </si>
  <si>
    <t>Элиста</t>
  </si>
  <si>
    <t>21.07.2021 18:53</t>
  </si>
  <si>
    <t>Разъясните,что значит "Стоимость услуги Кино и ТВ с 28.07.2021. Сейчас, если оплачен пакет Единый, услуга Кино и ТВ предоставляется бесплатно, а с 28.07.21 нужно будет заплатить и за пакет Единый 1500 и плюс за услугу Кино и ТВ 349 рублей, ежемесячно? Не жирно ли будет? Если приложение Кино и ТВ станет платным, при оплаченном пакете Единый, немедленно расторгаю договор.</t>
  </si>
  <si>
    <t>18:51</t>
  </si>
  <si>
    <t>21.07.2021 21:33</t>
  </si>
  <si>
    <t>Всё отлично работает, за 193 рубля просто даром.</t>
  </si>
  <si>
    <t>Марина</t>
  </si>
  <si>
    <t>21.07.2021 19:05</t>
  </si>
  <si>
    <t>Когда то эти нехорошие люди обещали навсегда 20 каналов. А потом голову в песок. Послал их, пользую iptv и доволен.</t>
  </si>
  <si>
    <t>Nikita50</t>
  </si>
  <si>
    <t>18:18</t>
  </si>
  <si>
    <t>22.07.2021 07:59</t>
  </si>
  <si>
    <t>Лет шесть пользуюсь триколором очень доволен , в ШИФЕ отдел триколор отличные приветливые ребята , всегда помогут , объяснят.</t>
  </si>
  <si>
    <t>Бугульма</t>
  </si>
  <si>
    <t>18:12</t>
  </si>
  <si>
    <t>21.07.2021 18:12</t>
  </si>
  <si>
    <t>Сцена Феникс, вновь восстаёт из пепла.</t>
  </si>
  <si>
    <t>Нет, я вообще приезжий. Просто продал триколор, потому что не смотрю телевизор. И сам телек хочу продать за ненадобностью.</t>
  </si>
  <si>
    <t>Вася Известный</t>
  </si>
  <si>
    <t>Короча Наизнанку</t>
  </si>
  <si>
    <t>Короча</t>
  </si>
  <si>
    <t>21.07.2021 17:48</t>
  </si>
  <si>
    <t>Была гроза. Возможно пушка на тарелке вышла из строя.</t>
  </si>
  <si>
    <t>Михаил Тарасов</t>
  </si>
  <si>
    <t>17:43</t>
  </si>
  <si>
    <t>21.07.2021 17:43</t>
  </si>
  <si>
    <t>Уважаемые жители ЗАТО Первомайский! С 30.06.2021 года АО МТУ «Кристалл» прекратил свою деятельность на территории ЗАТО</t>
  </si>
  <si>
    <t>В каком веке вы живёте??? Все уже давно на цифровом, когда мы ещё жили в зато, ушли с кристалла на триколор, и ни чего не платили</t>
  </si>
  <si>
    <t>Аленка Алена</t>
  </si>
  <si>
    <t>ЗАТО Первомайский - Юрья - Online</t>
  </si>
  <si>
    <t>Кировская область</t>
  </si>
  <si>
    <t>Юрья</t>
  </si>
  <si>
    <t>17:34</t>
  </si>
  <si>
    <t>23.07.2021 20:36</t>
  </si>
  <si>
    <t>Mikhail Kuznetsov</t>
  </si>
  <si>
    <t>21.07.2021 17:47</t>
  </si>
  <si>
    <t>Дмитрий, да пофиг,у меня единый мульти.</t>
  </si>
  <si>
    <t>17:28</t>
  </si>
  <si>
    <t>21.07.2021 17:28</t>
  </si>
  <si>
    <t>#Интересные_факты Часть каналов вышедших из Триколор ТВ с 2017 по 2020 год ● ТТС - 1 января 2017 (Замена</t>
  </si>
  <si>
    <t>Столько каналов ушло хороших, жаль</t>
  </si>
  <si>
    <t>Алексей Березин</t>
  </si>
  <si>
    <t>Ува</t>
  </si>
  <si>
    <t>21.07.2021 17:25</t>
  </si>
  <si>
    <t>Триколор ТВ VK,
Это услуга дорожает "Смотри Кино и ТВ" А не Единый</t>
  </si>
  <si>
    <t>21.07.2021 17:22</t>
  </si>
  <si>
    <t>Олег, Это услуга дорожает "Смотри Кино и ТВ" А не Единый</t>
  </si>
  <si>
    <t>21.07.2021 17:21</t>
  </si>
  <si>
    <t>Это услуга дорожает "Смотри Кино и ТВ" А не Единый</t>
  </si>
  <si>
    <t>21.07.2021 16:57</t>
  </si>
  <si>
    <t>Наталья, какую ошибку показывает?</t>
  </si>
  <si>
    <t>21.07.2021 16:56</t>
  </si>
  <si>
    <t>Какую ошибку показывает?</t>
  </si>
  <si>
    <t>Недостатки: Лампочка не горит, заработал блок не сразу, видимо контакты отходят
Думала уже возвращать, а он заработал</t>
  </si>
  <si>
    <t>21.07.2021 16:34</t>
  </si>
  <si>
    <t>А сигнал сколько процентов?</t>
  </si>
  <si>
    <t>Макс Потёмкин</t>
  </si>
  <si>
    <t>Галич</t>
  </si>
  <si>
    <t>Триколор Защитный чехол для пультов спутниковых приемников Триколор</t>
  </si>
  <si>
    <t>Отличный чехол. Рекомендую</t>
  </si>
  <si>
    <t>Анна</t>
  </si>
  <si>
    <t>21.07.2021 17:04</t>
  </si>
  <si>
    <t>Да такое же предложение и у плюсов и МТС. Только трико тянет за собой гниленькую репутацию. Как деньги кончаются, так обмен за счёт клиентов</t>
  </si>
  <si>
    <t>next001</t>
  </si>
  <si>
    <t>21.07.2021 16:20</t>
  </si>
  <si>
    <t>21.07.2021 18:28</t>
  </si>
  <si>
    <t>Продолжаю миграцию с Триколор на IPTV. Зарегался на iLookTV, купил премиум на TiViMate.. все это дело прописал. Пока правда не вкурил где настраивать CDN (т.к. словил раза 4 на разных SD каналах затуп, возврат секунд на 30 назад и опять проигрывание) И е</t>
  </si>
  <si>
    <t>у всех* пиратских IPTV, ну и от самой приставки зависит качество изображения</t>
  </si>
  <si>
    <t>Sergey Shibkov</t>
  </si>
  <si>
    <t>TECHNOZON_TELEGRAM</t>
  </si>
  <si>
    <t>Нормальный пульт, заказываю уже второй - пожилые люди жмут на кнопки так, что никакой пульт, даже дорогой, не выдержит.</t>
  </si>
  <si>
    <t>Анастасия</t>
  </si>
  <si>
    <t>21.07.2021 18:29</t>
  </si>
  <si>
    <t>Продолжаю миграцию с Триколор на IPTV.
Зарегался на iLookTV, купил премиум на TiViMate..
все это дело прописал.
Пока правда не вкурил где настраивать CDN  (т.к. словил раза 4 на разных SD каналах затуп, возврат секунд на 30 назад и опять проигрывание)
И еще не нашел где архив включить.. Ну думаю найду потом.
Так вот - изображение какое-то мыльное.. Особенно на SD каналах. Хуже по качеству, чем выдает Триколор.
Переключение каналов прямо очень быстрое, радует, а качество изображения на простых каналах - ну такое себе, на 3 с минусом.
И еще смотрел, даже когда на самом канале указано FullHD 50fps, то в верхней инфостроке Ugoos АМ6 указано что-то вроде "SD 420p".
У всех IPTV более мыльное, чем спутник? Это факт, с которым надо смириться?</t>
  </si>
  <si>
    <t>Don Miguel</t>
  </si>
  <si>
    <t>15:34</t>
  </si>
  <si>
    <t>21.07.2021 16:08</t>
  </si>
  <si>
    <t>Снял антенну Тироколора, на не место повесил обычную (цифровое ТВ). Качество отличное от встроенного тюнера, 30 каналов вполне достаточно, все остальное можно смотреть через интернет.</t>
  </si>
  <si>
    <t>Paraplon</t>
  </si>
  <si>
    <t>21.07.2021 22:45</t>
  </si>
  <si>
    <t>Адаптер не работает. Не советую брать.</t>
  </si>
  <si>
    <t>15:16</t>
  </si>
  <si>
    <t>22.07.2021 07:58</t>
  </si>
  <si>
    <t>Триколор ТВ - Лобня</t>
  </si>
  <si>
    <t>Очень понравилось обслуживание и отношение.  Заказывала установку триколор, сделали всё замечательно и быстро. Ребята молодцы, профессионалы своего дела.  Рекомендую.</t>
  </si>
  <si>
    <t>Татьяна Остапенко</t>
  </si>
  <si>
    <t>Лобня</t>
  </si>
  <si>
    <t>15:01</t>
  </si>
  <si>
    <t>21.07.2021 15:08</t>
  </si>
  <si>
    <t>Да, дебильный логотип бесит, сообщения валятся на ресивер постоянно. Мне тоже в поддержке сказали, что они это отключить не могут. Ресивер поменял в прошедшем сентябре на B531, так вот он уже тормозит нещадно после последнего обновления, один-два раза в день вообще перестаёт показывать и пишет, что необходима авторизация, лечится перезагрузкой. Это уже задолбало. Как только кончится очередной оплаченный мной год, нафиг этот ресивер и этот триколор, и вперед к другому провайдеру.</t>
  </si>
  <si>
    <t>Cripler</t>
  </si>
  <si>
    <t>14:57</t>
  </si>
  <si>
    <t>21.07.2021 15:13</t>
  </si>
  <si>
    <t>Настраивай блюдце. Если дом частный, скорее всего просела немного вниз</t>
  </si>
  <si>
    <t>Виталий Михайлов</t>
  </si>
  <si>
    <t>21.07.2021 14:55</t>
  </si>
  <si>
    <t>Самое тупое приложение.
v2.5.0</t>
  </si>
  <si>
    <t>Алексей Горбунов</t>
  </si>
  <si>
    <t>14:45</t>
  </si>
  <si>
    <t>21.07.2021 14:52</t>
  </si>
  <si>
    <t>Так и так уже 2500. Триколор любыми способами пытается сделать чтоб люди поменяли приемники. А обмен у нас что? Ведет к смене тарифного плана.</t>
  </si>
  <si>
    <t>Алексей Лисеенков</t>
  </si>
  <si>
    <t>14:42</t>
  </si>
  <si>
    <t>21.07.2021 15:05</t>
  </si>
  <si>
    <t>Да даже бабушка-дедушка могут позвонить и попросить отключить. Триколор выручает и будет выручать с тв там, где нет возможности по проводу подключиться. По цене пока что самое адекватное предложение среди всех операторов</t>
  </si>
  <si>
    <t>Ну так форматы вещания развиваются, старые приставки не поддерживают новые кодеки, поэтому неудивительно. Я подключалась 4 года назад, пользуюсь без проблем</t>
  </si>
  <si>
    <t>21.07.2021 15:07</t>
  </si>
  <si>
    <t>Реклама при переключении легко отключается, свяжитесь с их поддержкой и скажите что хотите отключить. Всё решаемо</t>
  </si>
  <si>
    <t>14:36</t>
  </si>
  <si>
    <t>Тимур, если хочется можно доп каналы приобрести а так хватает каналов. За ту цену что предлагают, очень даже норм.. Сбежали и флаг им в руки. Футбол вернули весь</t>
  </si>
  <si>
    <t>21.07.2021 21:07</t>
  </si>
  <si>
    <t>а нет ли версии (может Мод или просто старой) без Кино ? чтобы только ТВ ?</t>
  </si>
  <si>
    <t>cartmenezz</t>
  </si>
  <si>
    <t>22.07.2021 10:34</t>
  </si>
  <si>
    <t>Отличное качество работает хорошо</t>
  </si>
  <si>
    <t>Да. Только экспериментировать за свой счет у меня больше не было желания. А обмен "старое-на новое" - был нисколько не выигрышным.</t>
  </si>
  <si>
    <t>14:21</t>
  </si>
  <si>
    <t>21.07.2021 14:39</t>
  </si>
  <si>
    <t>как у всех
оборудование - отстой
сломалась приставка через месяц после окончания гарантийного срока. Приставки эти никто не ремонтирует. При этом подписка годовая оплачена была недешевая. И что теперь с ней делать? Покупать новый комплект, чтобы через год покупать новый комплект? Сам виноват, комплект мтс стоил дешевле, чем триколор. Соблазнился. В результате и переплатил (с учетом тарифа и неиспользованной подписки) и без телевидения остался.
Не берите мтс.</t>
  </si>
  <si>
    <t>21.07.2021 14:12</t>
  </si>
  <si>
    <t>Тимур, имхо, все фильмовые каналы крутят по кругу одни и те же фильмы</t>
  </si>
  <si>
    <t>21.07.2021 18:57</t>
  </si>
  <si>
    <t>/forum/index.php?act=findpost&amp;pid=108121455  KPP, очень легко и просто всё заменяет iptv. У меня 3 телека сидят на 1$-вом тарифе ilook. Два могу одновременно работать. Были нтв+, триколор, шаринг этих же провайдеров. Теперь всё спокойно заменяет ilook.</t>
  </si>
  <si>
    <t>nokiagam</t>
  </si>
  <si>
    <t>21.07.2021 14:05</t>
  </si>
  <si>
    <t>Возможно. Я не смотрю телик. Просто Трико мне имело мозг, а НТВ не имеет. Жена и дети не возгудают - я спокоен.</t>
  </si>
  <si>
    <t>21.07.2021 13:24</t>
  </si>
  <si>
    <t>А мог бы антену сделать.</t>
  </si>
  <si>
    <t>Подробнее там стоит спутниковая от триколор и эфирная и цифровая.. Блять не дача а центр спутниковой связи</t>
  </si>
  <si>
    <t>Konstantin Panteleev</t>
  </si>
  <si>
    <t>Borus chat</t>
  </si>
  <si>
    <t>21.07.2021 13:34</t>
  </si>
  <si>
    <t>Требуется юстировка антенны</t>
  </si>
  <si>
    <t>Вика Кукла</t>
  </si>
  <si>
    <t>21.07.2021 13:13</t>
  </si>
  <si>
    <t>По поиску не находит HD каналы. И сигнал стал слабый. Это причина в конвертере или тарелку нужно крутить? Может еще у кого так? (погодные условия и т.д. ...???). Может кто что знает?</t>
  </si>
  <si>
    <t>13:05</t>
  </si>
  <si>
    <t>Кто ждал Дисней в 16*9, мои поздравления!</t>
  </si>
  <si>
    <t>Сергей, а ты смотрел "Чип и Дейл спешат на помощь"? Этот мультик сделали формат 16:9 и высокую четкость.</t>
  </si>
  <si>
    <t>Nikolay Safonov</t>
  </si>
  <si>
    <t>12:56</t>
  </si>
  <si>
    <t>21.07.2021 13:00</t>
  </si>
  <si>
    <t>Ещё как нарушает)) По закону о рекламе они могут показывать рекламу только с твоего согласия. Причём, автоматом, без возможности исключения, это не может быть прописано в договлре, так както нарушит ЗоЗПП</t>
  </si>
  <si>
    <t>cesiumaurum</t>
  </si>
  <si>
    <t>21.07.2021 13:01</t>
  </si>
  <si>
    <t>Возможно слегка сбилась настройка на спутник (например разболталось крепление трубы), либо изначально установили немного неточно (и оно принимает, но больше подвержено влиянию помех).
Можно попробовать вызвать сателлитщиков, чтобы проверили точность настройки на спутник, может сигнал будет приниматься увереннее.</t>
  </si>
  <si>
    <t>У НТВ бывают такие проблемы но гораздо реже.
А вот это для меня необъяснимо. Спутник - один и тот же. Тарелка, кабель - те же.
Когда принимал Трико - при каждой более-менее серьёзной облачности (снег, дождь, шторм-гроза) - сразу фризило, сыпалось и отключалось.
С НТВ на моей памяти за несколько лет (лет пять наверное, не меньше) - только один раз были проблемы из-за облачности. Картинка просто пропала в сильную грозу (черный экран), минут через 5 появилось снова. Буквально один раз заметил.
То ли ресивер трикошный виноват, то ли с сигналами что-то не то (там всё таки есть настройки поляризации, частоты и прочая - хотя спутник один и тот же), то ли телик лучше спутник ловил (я поставил кам-модуль вместо внешнего ресивера).</t>
  </si>
  <si>
    <t>Нтв тоже в дождь не показывает как Триколор?</t>
  </si>
  <si>
    <t>Partizaika</t>
  </si>
  <si>
    <t>21.07.2021 15:32</t>
  </si>
  <si>
    <t>Это же зависит от тарифа. Можно взять тариф попроще - 100 каналов... будет стоить тысяча в год. Даже меньше. Но, там фильмовых каналов мало.</t>
  </si>
  <si>
    <t>Акция была у триколор поменяй приёмник на HD заплати 2500 и  смотри год, сейчас очень много стало каналов в киношками</t>
  </si>
  <si>
    <t>сега сега</t>
  </si>
  <si>
    <t>Ꮲᴇᴀᴧьнᴀя Жуᴩнᴀᴧиᴄᴛиᴋᴀ</t>
  </si>
  <si>
    <t>Дороговато, хотя триколор на один телевизор 1500 в год</t>
  </si>
  <si>
    <t>У меня... почти самый дорогой тариф подключён. Можно более дешёвые.</t>
  </si>
  <si>
    <t>Реальная Журналистика</t>
  </si>
  <si>
    <t>12:20</t>
  </si>
  <si>
    <t>У меня Телекарта... Оборудование 6 тыр... Плюс настроить - 2 тыщи. Ко мне прям в лес настройщик приезжал (там сам спутник поймать надо, углы грамотно расставить). Впрочем... можно и самому, у них на сайте есть видео урок, как пошаговое настроить. Но, я на</t>
  </si>
  <si>
    <t>22.07.2021 17:48</t>
  </si>
  <si>
    <t>ТВ-приставка Xiaomi Mi Box S (европейская версия)</t>
  </si>
  <si>
    <t>Достоинства: Легко установить.
Пульт просто асс, без лишних кнопок.
Скачали триколор, смотрим без проблем тв.
Браузер 
Ютуб 
Уже почти месяц пользуемся, семья давольна
Недостатки: Пока не замечали 
Все просто и удобно</t>
  </si>
  <si>
    <t>Ася Ч.</t>
  </si>
  <si>
    <t>monitor,screen,display device,television,electronic device,computer monitor,flat panel display,gadget,output device,desktop computer,personal computer,video game console,computer</t>
  </si>
  <si>
    <t>А сколько сейчас спутник поставить в дом?</t>
  </si>
  <si>
    <t>У нас триколор стоит, только уже года 3-4 не оплачиваем. Дорого. Купил домой в деревню приёмники для обычной антенны, 15 каналов ловят и хорошо.</t>
  </si>
  <si>
    <t>PREZIDENT</t>
  </si>
  <si>
    <t>29.07.2021 06:12</t>
  </si>
  <si>
    <t>Достоинства: Недорогой, компактный, бесшумный.
Недостатки: Есть индикатор, мне он не нужен. Лучше бы его убрали и удешевили адаптер.
Лучшее предложение на рынке под замену родного адаптера для спутниковой приставки. У меня МТС, подошло отлично, по идее и под Триколор тоже подойдёт.</t>
  </si>
  <si>
    <t>Олег С.</t>
  </si>
  <si>
    <t>electronic device,gadget,smartphone</t>
  </si>
  <si>
    <t>21.07.2021 12:04</t>
  </si>
  <si>
    <t>У Славы КПСС сгорела квартира</t>
  </si>
  <si>
    <t>Эх, если бы не спутниковый инет от триколора так же Славку поддержал</t>
  </si>
  <si>
    <t>Гован Лерозия</t>
  </si>
  <si>
    <t>the-flow.ru</t>
  </si>
  <si>
    <t>The Flow</t>
  </si>
  <si>
    <t>21.07.2021 15:59</t>
  </si>
  <si>
    <t>Сеть GPON от МГТС (часть 7) [129]</t>
  </si>
  <si>
    <t>цифровые копии. На то есть причина - качество проводки коллективных кабелей откровенно дерьмовое соответственно дерьмовое и изображение. Ну а на новых телевизорах с метровыми диагоналями аналоговую трансляцию смотреть просто невозможно. Чтобы его не погнали ссаными тряпками, РТ пришлось открыть цифру. 1) Wink до весны этого года отлично работал в "кастомных" вариантах без оплаты, сейчас нет, но всегда есть промокоды, чем и пользуются люди, и Wink продолжают смотреть без оплаты.
2) Есть вариант с Триколором. Почти у каждого есть знакомые у кого он установлен через спутник, так вот к нему можно привязать три устройства и смотреть без оплаты тот же пакет.',[])</t>
  </si>
  <si>
    <t>Degust</t>
  </si>
  <si>
    <t>Компьютерный рынок</t>
  </si>
  <si>
    <t>21.07.2021 11:41</t>
  </si>
  <si>
    <t>Посоветуйте проверенного мастера по установки тарелки триколор? А также возможность преобрести комплект у него. Либо</t>
  </si>
  <si>
    <t>Купите приставку iptv и по средствам интернет, можно более 1000каналов без абонентской платы  смотреть.</t>
  </si>
  <si>
    <t>Сергей-Николаевич Кругликов</t>
  </si>
  <si>
    <t>Кошелев Клуб. Кошелев Проект Крутые Ключи Самара</t>
  </si>
  <si>
    <t>21.07.2021 11:59</t>
  </si>
  <si>
    <t>Моя сдохла в первый месяц. Китаец просит её взад отправить. Хз какие там цены у нас на такую доставку</t>
  </si>
  <si>
    <t>PotAlOK</t>
  </si>
  <si>
    <t>21.07.2021 21:48</t>
  </si>
  <si>
    <t>Триколор Спутниковый ресивер Триколор GS B528 (двухтюнерный) + скретч-карта Единый Мульти Лайт на 7 дней</t>
  </si>
  <si>
    <t>Благодарим Вас за отзыв )))</t>
  </si>
  <si>
    <t>21.07.2021 23:40</t>
  </si>
  <si>
    <t>Хороший магазин вежливый персонал. Менял ревесивер. И не один. Так вселом доволен.</t>
  </si>
  <si>
    <t>Павел Р.</t>
  </si>
  <si>
    <t>Щёлково</t>
  </si>
  <si>
    <t>21.07.2021 11:16</t>
  </si>
  <si>
    <t>Я года три как избавился от "тарелки"  Только смарт ТВ ,когда хочу и что хочу гляжу , и ни ка какой оплаты ,только за интернет</t>
  </si>
  <si>
    <t>Александр Сергеев</t>
  </si>
  <si>
    <t>Чехол для пультов спутниковых приемников Триколор SS1-1034, черный</t>
  </si>
  <si>
    <t>Достоинства: класс.подошёл 
Недостатки: нет
Мягкий,удобный,приятно держать в руке.</t>
  </si>
  <si>
    <t>Эдуард И.</t>
  </si>
  <si>
    <t>21.07.2021 22:16</t>
  </si>
  <si>
    <t>Обычный пульт от Триколор ТВ. Работает на все 100%. Спасибо!</t>
  </si>
  <si>
    <t>21.07.2021 12:38</t>
  </si>
  <si>
    <t>Дрова поставил и все работает на вин7</t>
  </si>
  <si>
    <t>21.07.2021 10:56</t>
  </si>
  <si>
    <t>Тимур, Да почти никто там весной не сбежал. С какими соседями ты сравниваешь с нтв? Там ценник конский и есть пакеты vip и настрой кино где идёт таже муть что и на 3К да и тоже одни повторы.</t>
  </si>
  <si>
    <t>Николай Маршал</t>
  </si>
  <si>
    <t>21.07.2021 10:50</t>
  </si>
  <si>
    <t>Николай, тебе нравится наполнение?у соседей наполнение огого,а у трико,музыка ограничена,фильмы по кругу одни и те же,новые каналы это не про трико, абоненты большинство весной сбежали,когда трэш начался</t>
  </si>
  <si>
    <t>23.07.2021 00:24</t>
  </si>
  <si>
    <t>Ремонт ресивера Триколор 9305 9505 Своими руками</t>
  </si>
  <si>
    <t>Когда очередной блок такой придёт в ремонт, то нарисую схемку этой переделки.</t>
  </si>
  <si>
    <t>Было бы полезнее привести схемы оригинального и переделанного БП, чем показывать к каким дорожкам платы что припаивать. Платы подобных устройств могут сильно отличаться.</t>
  </si>
  <si>
    <t>Salim Sarvarov</t>
  </si>
  <si>
    <t>10:23</t>
  </si>
  <si>
    <t>22.07.2021 04:55</t>
  </si>
  <si>
    <t>Универсальный блок питания (сетевой адаптер) для ресиверов Триколор ТВ c двумя штекерами 12V/2A (DC 5.5x2.5)/(DC 4.0x1.7)</t>
  </si>
  <si>
    <t>Достоинства: Недорого
Недостатки: Пока нет
Соответствует описанию.</t>
  </si>
  <si>
    <t>21.07.2021 10:14</t>
  </si>
  <si>
    <t>Перестали работать центральные каналы на Триколор. Кино и сериалы раздел есть, всего ищет 114 каналов, Единый мульти,</t>
  </si>
  <si>
    <t>Александра, мастера лучше вызвать, чтобы остальные каналы не сбить. Если одну частоту настроиться то другие могут сбиться</t>
  </si>
  <si>
    <t>21.07.2021 22:15</t>
  </si>
  <si>
    <t>Цена качество , соответствует!</t>
  </si>
  <si>
    <t>Александра</t>
  </si>
  <si>
    <t>Андрей, ну если вернуть телеканалы Альянс медиа, то и подорожает.</t>
  </si>
  <si>
    <t>09:44</t>
  </si>
  <si>
    <t>21.07.2021 13:20</t>
  </si>
  <si>
    <t>Конвертор круговой (Триколор, НТВ) на 1 вых.</t>
  </si>
  <si>
    <t>Достоинства: Показывает телек - значит есть сигнал
Недостатки: Нет</t>
  </si>
  <si>
    <t>Кушнаренко Т.</t>
  </si>
  <si>
    <t>09:40</t>
  </si>
  <si>
    <t>21.07.2021 09:50</t>
  </si>
  <si>
    <t>Если перейдешь на единый ультра то подорожает</t>
  </si>
  <si>
    <t>Дмитрий, совершенно верно,сотни фильмов без конца и начала,так как надо подбирать время для просмотра и 90% программ с низким качеством контента.А 4к смотреть нечего.</t>
  </si>
  <si>
    <t>Александр Тверской</t>
  </si>
  <si>
    <t>09:29</t>
  </si>
  <si>
    <t>21.07.2021 10:51</t>
  </si>
  <si>
    <t>Сдался</t>
  </si>
  <si>
    <t>Мне оно тоже без надобности, но старшее поколение запросило телевидение, поэтому в деревне поставили Триколор.</t>
  </si>
  <si>
    <t>chink_</t>
  </si>
  <si>
    <t>09:07</t>
  </si>
  <si>
    <t>21.07.2021 09:24</t>
  </si>
  <si>
    <t>Тимур, Не свисти. Всего достаточно и абонентов у 3К полно.</t>
  </si>
  <si>
    <t>08:56</t>
  </si>
  <si>
    <t>Все подскажут и расскажут.</t>
  </si>
  <si>
    <t>Алексей Б.</t>
  </si>
  <si>
    <t>08:54</t>
  </si>
  <si>
    <t>21.07.2021 08:54</t>
  </si>
  <si>
    <t>Интернет и ТВ на даче</t>
  </si>
  <si>
    <t>Вот все думаю о триколор спутниковый интернет, вроде и скидка на оборудование, никто не сталкивался, вроде ТВ нормально, вчера например вечером дождь пошел перезагрузиться не было связи 30 секунд и снова появилось изображение.</t>
  </si>
  <si>
    <t>Наталья Рослякова</t>
  </si>
  <si>
    <t>СНТ Спутник-2</t>
  </si>
  <si>
    <t>08:53</t>
  </si>
  <si>
    <t>22.07.2021 06:31</t>
  </si>
  <si>
    <t>Комплект спутникового интернета Триколор DS-4G-5kit</t>
  </si>
  <si>
    <t>Достоинства: Отличный комплект для самостоятельной установки от поставщика "Московские микроволны" с 20-ти летним опытом работы в этой сфере, отличная альтернатива аналогичным наборным комплектам , со специально "заточенным" для работы ПО позволяющем контролировать все параметры на экране планшета или компьютера.  Это не спутниковый интернет а комплект "ВСЕ в  Одном" для приема , усиления и раздачи по  WiFi в пределах дома, дачного участка  интернета от GSM  провайдеров .
Недостатки: Недостатков можно сказать что нет.
Нужно докупить сим-карту GSM провайдера у которого наиболее сильный прием в формате 3G-4G в месте установки комплекта</t>
  </si>
  <si>
    <t>Смирнов С.</t>
  </si>
  <si>
    <t>Александров</t>
  </si>
  <si>
    <t>08:45</t>
  </si>
  <si>
    <t>21.07.2021 14:37</t>
  </si>
  <si>
    <t>подскажите</t>
  </si>
  <si>
    <t>Рецептор, у меня пакет халявный от оператора, хотя установлена куча приложух- но все же загадка, почему жена смотрит этого оператора- смотрит фильмы, как я ей говорю, про пристарелых проституток- типа любовь в большом городе. Вот магия какая-то. Не триколор, не КиноПоиск, не ещё с 2 десятка приложений- вот НТВ+ и все</t>
  </si>
  <si>
    <t>Телеспутник • Главная страница &gt; НТВ-ПЛЮС</t>
  </si>
  <si>
    <t>08:29</t>
  </si>
  <si>
    <t>21.07.2021 08:56</t>
  </si>
  <si>
    <t>Ага. Как вариант - просто уйти к другому оператору телика. На том же самом спутнике ещё висит НТВ и МТС. То есть тарелку не надо перенастраивать, просто другой ресивер либо кам-модуль, договор, карта доступа. Реально подключиться за день самостоятельно.</t>
  </si>
  <si>
    <t>Когда был абонентом Триколора, лет 5 назад, то после отключения такой рекламы висел черный экран 3-5 сек.</t>
  </si>
  <si>
    <t>Texhik84</t>
  </si>
  <si>
    <t>07:55</t>
  </si>
  <si>
    <t>21.07.2021 21:39</t>
  </si>
  <si>
    <t>HUAYU Пульт Триколор GS8306+TV универсальный для спутникового ресивера, приставки GENERAL SATELLITE</t>
  </si>
  <si>
    <t>Пульт подошел</t>
  </si>
  <si>
    <t>Нина</t>
  </si>
  <si>
    <t>07:41</t>
  </si>
  <si>
    <t>21.07.2021 07:55</t>
  </si>
  <si>
    <t>Трико ещё живо? Это самый эпичный провайдер саттв. Модули 12 серии до сих пор помню. Когда они их отключили из-за взлома, а менять бесплатно отказались. С тех пор в игнор у меня и всех знакомых, родственников. Модули от плюсов везде. А сейчас наземная цифра подоспела.
И раз рекламу там можно отключить по звонку, значит расчет на совсем темных бабушек/дедушек, кто не догадается. За это их на отдельной сковородке будут в аду жарить.</t>
  </si>
  <si>
    <t>07:11</t>
  </si>
  <si>
    <t>21.07.2021 08:40</t>
  </si>
  <si>
    <t>Здравствуйте. Модель GS E501, сила 95%, качество 27. Помех внешних нет, зимой из-за снежный шапки сигнал терялся. Сейчас</t>
  </si>
  <si>
    <t>у меня качество.тоже падало,я сменила конвертер толку не было.потом оказалось что яблоня наклонилась и закрыла сигнал.Спилили яблоню и стало  сила 100 качество 65-66</t>
  </si>
  <si>
    <t>Татьяна Соколова</t>
  </si>
  <si>
    <t>Весьегонск</t>
  </si>
  <si>
    <t>07:05</t>
  </si>
  <si>
    <t>А вот да, это тоже подбешивает. За год ты уже забыл, когда ты там платил (я даже время года не помню - то ли летом, то ли осенью). И внезапно херакс! И не кажет. А все в голосину "ааааа, не показывает ничего" (да похрену мне, я не смотрю его, это вы смотрите). Прохожу квест по входу в личный кабинет, и после этого я узнаю, оказывается сейчас надо заплатить. И заплатить столько-то.
Хоть бы за неделю до отключения СМС или сообщение на почту присылали бы. Здраствуйте Имярек Имярекович, через неделю на вашем счету должно быть ХХХХ рублей, иначе</t>
  </si>
  <si>
    <t>21.07.2021 06:54</t>
  </si>
  <si>
    <t>Я подключался не помню в каком году, раньше 2010 года. Там на момент подключения была возможность выбора, либо взять подешевле но приемник старый, либо подороже но приемник "точно не надо будет менять". 
Взял подороже, с MPEG3 приемником, "типокрутоивсётакое".... GS-8603. (хотя по качеству картинки меня и low definition вполне устраивает, даже 480Р вполне смотрибельно на немаленьком телике) 
"А после 12 часов твоя карета превратится в тыкву" - спустя какое-то время мой приемник попал в перечень старых, и нуждающихся в замене. Почитав форумы, я</t>
  </si>
  <si>
    <t>06:25</t>
  </si>
  <si>
    <t>21.07.2021 07:25</t>
  </si>
  <si>
    <t>Блок питания LP340 для Триколор ТВ 12В 2А</t>
  </si>
  <si>
    <t>Достоинства: работает
Недостатки: современная тенденция везде воткнуть светодиод посинее и по ярче</t>
  </si>
  <si>
    <t>Мешков А.</t>
  </si>
  <si>
    <t>06:20</t>
  </si>
  <si>
    <t>Я тоже телик не смотрю, его смотрит жена и дети. Я изредка "прилипну", когда кто-нибудь смотрит какую-нибудь хорошую киношку, новости вообще принципиально не смотрю. 
Просто жена любит щелкать по каналам "а там что интересного" - а меня это раздражает, хочется сказать "остановись уже где-нибудь". И что есть гид по программам - не канает. Я не скандалю, просто ухожу смотреть ютубчик на смарте.
Я рад, что в вашем случае использование кам-модуля дало положительный результат. Надеюсь, что в Триколоре, как в компании вы не разачаруетесь (как я разачаровался в этой организации).</t>
  </si>
  <si>
    <t>06:06</t>
  </si>
  <si>
    <t>21.07.2021 07:29</t>
  </si>
  <si>
    <t>Nvidia пополнила Arm своим DLSS, мобильный Wolfenstein на RTX 3060, близкая к MSRP RTX 3070 Ti</t>
  </si>
  <si>
    <t>2:47 это получается интернет по 7 тыс. рублей в месяц. Мне помниться, что тот же триколор интернет 1500 рублей в месяц стоит.</t>
  </si>
  <si>
    <t>дима ситкин</t>
  </si>
  <si>
    <t>Недомайнер</t>
  </si>
  <si>
    <t>04:18</t>
  </si>
  <si>
    <t>21.07.2021 05:06</t>
  </si>
  <si>
    <t>В принципе, я это могу понять, но у меня обычная андроид приставка и интернет, весьма рекомендую, если есть интернет хотя бы сотовый безлимит.</t>
  </si>
  <si>
    <t>BearInTheHole</t>
  </si>
  <si>
    <t>01:19</t>
  </si>
  <si>
    <t>21.07.2021 02:04</t>
  </si>
  <si>
    <t>Попробовал их иптв на смарт ТВ. Хорошо что они позволяют месячную подписку на это делать. Спасибо, но Пираты работают лучше и качество картинки у них гораздо лучше, смотреть в 21 году 480 сигнал на 4к телеке такое себе удовольствие, особенно за деньги.</t>
  </si>
  <si>
    <t>gennadygal</t>
  </si>
  <si>
    <t>01:07</t>
  </si>
  <si>
    <t>Долго ждали, но дождались! Чехол пришел целый. Хоть и заменяли. Но все устроило. Спасибо продавцу!</t>
  </si>
  <si>
    <t>Надежда</t>
  </si>
  <si>
    <t>Спасибо за отзыв!Приятного пользования!</t>
  </si>
  <si>
    <t>00:57</t>
  </si>
  <si>
    <t>21.07.2021 05:41</t>
  </si>
  <si>
    <t>Народ триколор исчерпал свои возможности. Пора вам искать другого лператора</t>
  </si>
  <si>
    <t>00:49</t>
  </si>
  <si>
    <t>21.07.2021 05:10</t>
  </si>
  <si>
    <t>Триколор, По имеющимся акциям оборудование меняйте сами. Если человек приобрел от от полугода до года вы Обязаны транслировать вещание. В противном случае можно подать на вас в суд.</t>
  </si>
  <si>
    <t>00:41</t>
  </si>
  <si>
    <t>21.07.2021 01:03</t>
  </si>
  <si>
    <t>Триколор 1500 в год, а сколько в год интернет?</t>
  </si>
  <si>
    <t>Jahimees1</t>
  </si>
  <si>
    <t>00:24</t>
  </si>
  <si>
    <t>21.07.2021 06:10</t>
  </si>
  <si>
    <t>Wink (у кого экаунт привязан к приставке) показывает Матч сейчас. А вот родственный ГПМ сервис Premier - ХРЕН</t>
  </si>
  <si>
    <t>Ну и для широты охвата - Триколор тоже не показывает через ОТТ сейчас Матч, причём как на экаунте со спутниковым пакетом, так и только с ОТТ пакетом.</t>
  </si>
  <si>
    <t>Oleg</t>
  </si>
  <si>
    <t>Телеспортивный флуд</t>
  </si>
  <si>
    <t>20.07.2021</t>
  </si>
  <si>
    <t>23:57</t>
  </si>
  <si>
    <t>21.07.2021 04:59</t>
  </si>
  <si>
    <t>Самое тормозное приложение. Самый тормозной Триколор. Не рекомендую.
v2.4.0</t>
  </si>
  <si>
    <t>Slime Time</t>
  </si>
  <si>
    <t>23:50</t>
  </si>
  <si>
    <t>20.07.2021 23:52</t>
  </si>
  <si>
    <t>Друзя вобшм непонимаю 8 лет ползоволся этом году начался оператору звоню GS B212 устарело купи новые модел. Оплочано 2 антена работал норме что должн муср бросат мне кажтся спецално блакиривают скачал трикалор вабше не роботает 0 оценка уних наверно началство ожирели это не уважений клиентам
v2.5.0</t>
  </si>
  <si>
    <t>Рома Беков</t>
  </si>
  <si>
    <t>23:35</t>
  </si>
  <si>
    <t>21.07.2021 00:02</t>
  </si>
  <si>
    <t>Не-не. У Триколора есть несколько каналов, которые вполне прикольно смотреть живьём на даче. Всякие японские NHK, новостные со всего мира, образовательно-развлекательные, типа History и куча экзотических региональных (весьма забавные - часто там такая дичь). И вот листать их с рекламой в паузах достаёт. 
А с торрентов ты получишь только готовое кино/сериал, которые искал.</t>
  </si>
  <si>
    <t>baibuga</t>
  </si>
  <si>
    <t>23:05</t>
  </si>
  <si>
    <t>21.07.2021 01:50</t>
  </si>
  <si>
    <t>В ночь с 18 на 19 июля Канал Disney Россия осуществит переход на формат 16:9 на всех часовых поясах: — ABS-2 75° Е,</t>
  </si>
  <si>
    <t>Александр, они уже перешли этот канал на 16:9.</t>
  </si>
  <si>
    <t>20.07.2021 22:53</t>
  </si>
  <si>
    <t>Это было больно  Видео от ЧП и ДТП Орёл</t>
  </si>
  <si>
    <t>Ого!!! Ничёси! Я бы после такого еще бы дня три-четыре бесплатно и без антенны все каналы Триколора и НТВ+ одновременно смотрел не шевелясь, а этот даже встал. Аттестацию точно проходил сам.</t>
  </si>
  <si>
    <t>Александр Моисеев</t>
  </si>
  <si>
    <t>ЧП и ДТП Орёл</t>
  </si>
  <si>
    <t>20.07.2021 22:45</t>
  </si>
  <si>
    <t>Выпуски малоизвестной юмористической программы «Банка комиксов», выходившей на «ОРТ» с 21 февраля по 5 августа 2000 г</t>
  </si>
  <si>
    <t>Алексей, я тоже помню. Но вот было два спутниковых ТВ. НТВ+ и Триколор, на первом ловил MusicBox TV и там была такая реклама. Ни на одном из них не показывали Юмор ТВ</t>
  </si>
  <si>
    <t>Роман Людвиг</t>
  </si>
  <si>
    <t>Старое телевидение (1991-2007)</t>
  </si>
  <si>
    <t>21.07.2021 01:11</t>
  </si>
  <si>
    <t>Илья, т.е не выпуcкают ?</t>
  </si>
  <si>
    <t>20.07.2021 22:34</t>
  </si>
  <si>
    <t>Вести Поморья (Официальная страница), Вот и получается, что канал Вести Поморье я могу посмотреть если у меня подключена (разумеется не бесплатно) ТВ приставка сотовых операторов или к кабельным сетям. Но в связи с тем, что у меня спутниковое ТВ НТВ+ и Триколор, то я не имею возможности смотреть канал Вести Поморье, и я такой не один. Нас больше, чем половина Архангельской области. Это ваш ПОЗОР.</t>
  </si>
  <si>
    <t>Владимир Родичев</t>
  </si>
  <si>
    <t>21.07.2021 00:12</t>
  </si>
  <si>
    <t>Каналов нет, абонентов нет</t>
  </si>
  <si>
    <t>21:51</t>
  </si>
  <si>
    <t>20.07.2021 23:44</t>
  </si>
  <si>
    <t>И что изменится? Почему постоянно отваливаются и теряют связь ваши рекомендованные адаптеры Wi-Fi Tenda U6 ? Приходится часто вводить ключ от роутера!</t>
  </si>
  <si>
    <t>Дмитрий Сорокин</t>
  </si>
  <si>
    <t>За него и 1500 дохххя</t>
  </si>
  <si>
    <t>Андрей Реминный</t>
  </si>
  <si>
    <t>Брестская область</t>
  </si>
  <si>
    <t>Пинск</t>
  </si>
  <si>
    <t>21:49</t>
  </si>
  <si>
    <t>21.07.2021 01:58</t>
  </si>
  <si>
    <t>Казахстанские зрители остались без трансляции Олимпиады: телеканалы не смогли договориться о цене с</t>
  </si>
  <si>
    <t>У значительной части спутниковые тарелки триколор, нтв+, телекарта, мтс. Так что увидят.</t>
  </si>
  <si>
    <t>Vласть. Интернет-журнал.</t>
  </si>
  <si>
    <t>2500 за единый доххххя</t>
  </si>
  <si>
    <t>Карим Юсупов</t>
  </si>
  <si>
    <t>Андрей, он видимо имел ввиду Единый обычный</t>
  </si>
  <si>
    <t>20.07.2021 22:04</t>
  </si>
  <si>
    <t>Если подключали относительно недавно (5-7 лет назад), то проблем таких и не должно быть, в комплектах уже шли ресиверы новых поколений b520, 521 и тд, а если старые по типу gs8300 и схожие, то такие триколор все больше и больше пытается отключить, зовут на обмен на новые, естессно с доплатой(не малой, в среднем 3-4к рублей), работал в мелком салоне триколор около полугода, их продукция это нечто, что уж говорить об их игровой приставке gamekit</t>
  </si>
  <si>
    <t>21:40</t>
  </si>
  <si>
    <t>20.07.2021 21:40</t>
  </si>
  <si>
    <t>хотелось бы услышать мнения о работе Ростелекома в городе ....-телевидение и интернет...куда звонить ,если операторы</t>
  </si>
  <si>
    <t>Интернет не подводит-оптоволокно!Все нормально!!!! А на счет телевидения-подключите Триколор ТВ. Да и все...В целом,Ростелеком-норм.</t>
  </si>
  <si>
    <t>Василий Лучников</t>
  </si>
  <si>
    <t>ПБ/ Подслушано Беломорск</t>
  </si>
  <si>
    <t>Единый ультра, уже давно 2500</t>
  </si>
  <si>
    <t>20.07.2021 21:37</t>
  </si>
  <si>
    <t>Здравствуйте. Ответьте пожалуйста, почему я уже несколько дней не могу войти в личный кабинет? Написано - произошла ошибка ,сервис временно не работает. У них же было какое-то обновление ЛК.</t>
  </si>
  <si>
    <t>Ирина Халед</t>
  </si>
  <si>
    <t>text,diagram,software</t>
  </si>
  <si>
    <t>21.07.2021 07:41</t>
  </si>
  <si>
    <t>HUAYU Пульт Триколор GS8306 +TV универсальный для спутникового ресивера, приставки GENERAL SATELLITE</t>
  </si>
  <si>
    <t>Пришёл абсолютно другой пульт. Нет тв. И так два раза. Очень разочарованы</t>
  </si>
  <si>
    <t>HUAYU  Пульт Триколор GS8306 +TV универсальный  для спутникового ресивера, приставки  GENERAL SATELLITE</t>
  </si>
  <si>
    <t>20.07.2021 22:03</t>
  </si>
  <si>
    <t>простите но я лучше 3-5 сек полупаюсь в темный экран давая мозгу "передых" нежели невольно читать всякую хуйню или пытаться отводит глаза.
зы нет ТВ в принципе но когда приезжал в гости и щелкал ради интереса то через пару мин пздц как заебала эта хуйня</t>
  </si>
  <si>
    <t>CucuRuku</t>
  </si>
  <si>
    <t>22.07.2021 12:54</t>
  </si>
  <si>
    <t>Достоинства: Легко присоединяется, и подключается
Недостатки: Нет
Пришла быстро , воткнула, подключила wi fi , драйвера не понадобились</t>
  </si>
  <si>
    <t>Алёна С.</t>
  </si>
  <si>
    <t>22.07.2021 04:57</t>
  </si>
  <si>
    <t>а если нет карты на ресивере</t>
  </si>
  <si>
    <t>максим спирин</t>
  </si>
  <si>
    <t>20.07.2021 20:59</t>
  </si>
  <si>
    <t>Да, подтверждаю. Меня тоже бесило, что за платное телевидение эти твари меня ещё заставляют смотреть рекламу по несколько секунд при переключении каналов. Но ещё сильно раздражало значек триколора в правом углу. Он появляется тогда, когда вам приходит сообщение. Судя по тому, что их входящие сообщения никакой полезной нагрузки не несут, я думаю, что это делается для того, чтобы их логотип висел по умолчанию в углу. Понятно, рассчитано не на частников, но во многих кафе, барах, фитнессах и т.д. админы не будут заморачиваться с удалением</t>
  </si>
  <si>
    <t>Zamaxa</t>
  </si>
  <si>
    <t>20.07.2021 20:44</t>
  </si>
  <si>
    <t>Триколор, Ну может спутниковые тв операторы и не предоставят , только вот приёмник подключённый к интернету уже конкурирует со смарт тв и подписочными сервисами . У вас есть подписка Добавь Кино за 299 р в месяц , что равноценно яндекс + . Только вот по яндексу я смогу посмотреть Майора Грома , Красного Призрака , Лигу Справедливости и ещё кучу киноновинок и сериалов , а по вашей нет .</t>
  </si>
  <si>
    <t>20.07.2021 20:35</t>
  </si>
  <si>
    <t>Дмитрий, П. Можно триколор на НТВ+ сменить. Там есть эти каналы. Антенну трогать не надо - только приёмник поменять, т.к. у них вещание через один и тот же спутник.</t>
  </si>
  <si>
    <t>Евгений Альперович</t>
  </si>
  <si>
    <t>20:26</t>
  </si>
  <si>
    <t>20.07.2021 21:22</t>
  </si>
  <si>
    <t>Федя,  а как ее настраивать, Очень сложно? Или только мастера вызывать</t>
  </si>
  <si>
    <t>20:24</t>
  </si>
  <si>
    <t>20.07.2021 20:24</t>
  </si>
  <si>
    <t>Триколор, Так и подключение к интернету погоды не делает . Половину фильмов из архива блочит правообладатель . Ассортимент фильмов у вас скудный , более менее нормальных фильмы либо надо покупать отдельно , либо по подписки ультра. P.S. Тем у кого есть интернет , для просмотра фильмов и сериалов есть более лучшие альтернативы триколору , как официальные так и не .</t>
  </si>
  <si>
    <t>20.07.2021 20:36</t>
  </si>
  <si>
    <t>Андрей,</t>
  </si>
  <si>
    <t>display device,electronic device,software,flat panel display,gadget,screen,television</t>
  </si>
  <si>
    <t>display device,flat panel display,electronic device,screen,television,gadget,projection screen</t>
  </si>
  <si>
    <t>20.07.2021 20:23</t>
  </si>
  <si>
    <t>Здравствуйте! Опубликуйте пожалуйста. У кого не работает триколор? У нас пишут что произошло замыкание. За комментариями</t>
  </si>
  <si>
    <t>написано же русским по белому: проверьте антенный кабель.</t>
  </si>
  <si>
    <t>Александр Орлов</t>
  </si>
  <si>
    <t>Цифровое сопротивление. Ахтубинск.</t>
  </si>
  <si>
    <t>animal,fictional character,mammal</t>
  </si>
  <si>
    <t>anime,fiction,art,animation</t>
  </si>
  <si>
    <t>monitor,output device,display device,flat panel display,electronic device,screen,gadget,software,television,computer monitor</t>
  </si>
  <si>
    <t>20:21</t>
  </si>
  <si>
    <t>Александр, все тут ясно, что он не 4:3, а в 16:9, не знаю как вам могли сообщить такие данные операторы</t>
  </si>
  <si>
    <t>monitor,output device,display device,flat panel display,electronic device,screen,television,gadget,computer monitor</t>
  </si>
  <si>
    <t>Позвонили и предложили обмен старого приёмника на новый. Подскажите это будет полноценный ресивер или приставочка?</t>
  </si>
  <si>
    <t>А потом платить за пакет уже 2500 в год придется, вместо 1500</t>
  </si>
  <si>
    <t>Виктор Иванов</t>
  </si>
  <si>
    <t>20:10</t>
  </si>
  <si>
    <t>20.07.2021 20:10</t>
  </si>
  <si>
    <t>Илья, Вы как-то определитесь,то вы пишите "Они точно перешли",то пишите "Рекламу они ещё не перевели" как это понять? Технические специалисты операторов: НТВ-Плюс, Триколора, Ростелекома, проверили трансляцию канала Дисней на своём оборудовании и заверили меня, что канал Дисней продолжает транслироваться в формате 4:3. Можете воспользоваться функциями Pan and scan или Fullscreen. А это, извините, не является переходом на 16:9.</t>
  </si>
  <si>
    <t>21.07.2021 07:57</t>
  </si>
  <si>
    <t>Всё отлично...работает</t>
  </si>
  <si>
    <t>Руслан</t>
  </si>
  <si>
    <t>20.07.2021 21:26</t>
  </si>
  <si>
    <t>Новый ресивер Триколор ТВ GS B523L - честный обзор</t>
  </si>
  <si>
    <t>Мастер пиздос, сначала подключил питание, потом hdmi, потом кабель антенны)))</t>
  </si>
  <si>
    <t>D&amp;eq D&amp;eq</t>
  </si>
  <si>
    <t>Крафандобриум Vlogs</t>
  </si>
  <si>
    <t>19:57</t>
  </si>
  <si>
    <t>20.07.2021 19:57</t>
  </si>
  <si>
    <t>Сегодня в 6 утра поменяли логотип и оформление на телеканале НСТ (Настоящее страшное телевидение). Смена логотипа и</t>
  </si>
  <si>
    <t>Илья, на собственный каналах триколор такого не замечал, видел только замазанную немецкую свастику в каком то фильме и все</t>
  </si>
  <si>
    <t>19:53</t>
  </si>
  <si>
    <t>20.07.2021 19:56</t>
  </si>
  <si>
    <t>Илья, я тоже могу скинуть фото, но точно могу сказать, что они перешли в 16:9</t>
  </si>
  <si>
    <t>19:52</t>
  </si>
  <si>
    <t>Александр, ну рекламу еще не перевели в 16:9, в течении недели переведут</t>
  </si>
  <si>
    <t>20.07.2021 19:35</t>
  </si>
  <si>
    <t>Не перешёл канал Дисней на 16:9. Если Вы воспользовались в настройках, функциями соотношения сторон Pan and scan или Fullscreen, радуетесь и утверждаете, что канал Дисней перешёл на 16:9 то Вы заблуждаетесь, это не переход на 16:9. А при показе рекламы,сверху и снизу чёрные полосы. Вы считаете, что это переход на 16:9? Не перешёл канал Дисней на 16:9 и не перейдёт никогда. Операторы Триколор и НТВ-Плюс.
канал Дисней (20.07.21).jpg
https://vk.com/doc521162897_607854677?hash=39ff5a78176239ee0d&amp;dl=GQ3TCMZZGA3TOOA:1626798919:6542a9e1c05ed43527&amp;api=1&amp;no_preview=1</t>
  </si>
  <si>
    <t>19:31</t>
  </si>
  <si>
    <t>20.07.2021 19:58</t>
  </si>
  <si>
    <t>Мне оптику год как протянули.Скорость 100 мбит макс. До того модем. Окраина Подмосковного городка.</t>
  </si>
  <si>
    <t>Chimgan</t>
  </si>
  <si>
    <t>19:29</t>
  </si>
  <si>
    <t>20.07.2021 19:29</t>
  </si>
  <si>
    <t>Добрый день,подскажите,пожалуйста,какой интернет можно провести в частный дом?</t>
  </si>
  <si>
    <t>Альфия,
Добрыц вечер с Вашим интеонетом ,я все эти годы мучаюсь ,плохо ловит,в частныц сектор вродесейчас заводят новая компания интернет,будем отказываться от Вас ,ваши мастера приходя к нам обьяняют у меня плохой интернет тем,что я кобы триколор тарелка перебивает интернет</t>
  </si>
  <si>
    <t>Альфия Аитова</t>
  </si>
  <si>
    <t>"Чудный" Маркс</t>
  </si>
  <si>
    <t>Маркс</t>
  </si>
  <si>
    <t>Ты не поверишь. Но с CAM модулем и на 3К все хорошо! Рекламы нет) "Плюсы" не пробовал - сам практически не смотрю а тёща первые 5-6 каналов пролистывает. Если там всякая хрень - то "По ТВ ничего нет")</t>
  </si>
  <si>
    <t>21.07.2021 06:31</t>
  </si>
  <si>
    <t>Устанавливали оборудование в этой организации. Мастер все сделал качественно и быстро. Пользуемся уже около 10 лет. Покупали тут же новый приёмник. Оформили по акции с рассрочкой. Все нормально.</t>
  </si>
  <si>
    <t>Галина Пискунова</t>
  </si>
  <si>
    <t>Энгельс</t>
  </si>
  <si>
    <t>20.07.2021 19:45</t>
  </si>
  <si>
    <t>Всё хорошо, к триколору подошёл</t>
  </si>
  <si>
    <t>20.07.2021 20:21</t>
  </si>
  <si>
    <t>Спутниковая Full HD приставка-клиент GS C592 (Триколор)</t>
  </si>
  <si>
    <t>Настроен заранее. Внутри инструкция. HDMI в комплекте. Все отлично.</t>
  </si>
  <si>
    <t>Вячеслав Ш.</t>
  </si>
  <si>
    <t>21.07.2021 13:36</t>
  </si>
  <si>
    <t>Ресивер Триколор ТВ GS B532M</t>
  </si>
  <si>
    <t>Достоинства: Отличный ресивер 
Все пришло. Ратотает. Внутри была инструкция. Все зарегистрировали сразу по прибытию.</t>
  </si>
  <si>
    <t>21.07.2021 13:19</t>
  </si>
  <si>
    <t>Конвертор спутниковый круговой 4 выхода Quad (для системы Триколор, НТВ)</t>
  </si>
  <si>
    <t>Достоинства: Работает. Подключили 4 ресивера</t>
  </si>
  <si>
    <t>20.07.2021 18:55</t>
  </si>
  <si>
    <t>Триколор, И еще у меня телевизор 4к,но не показывает каналы в uhd качестве. Что делать?</t>
  </si>
  <si>
    <t>Дмитрий Шестериков</t>
  </si>
  <si>
    <t>20.07.2021 18:54</t>
  </si>
  <si>
    <t>Триколор, Но у меня приемник full HD. Я не буду ничего покупать</t>
  </si>
  <si>
    <t>20.07.2021 18:51</t>
  </si>
  <si>
    <t>Проблема с триколор? В Аликово есть специалисты? Пишите в личку.</t>
  </si>
  <si>
    <t>На триколоре: сила 97,качество 27.Сигнала нет даже в хорошую погоду. Даже перезагрузка не помогает.</t>
  </si>
  <si>
    <t>Олег Петров</t>
  </si>
  <si>
    <t>Подслушано Аликово</t>
  </si>
  <si>
    <t>20.07.2021 18:49</t>
  </si>
  <si>
    <t>Верните на триколор тв national geographic chanel и Nat geo wild.Уже смотреть нечего. Лучше в интернете посидеть, чем смотреть триколор. Поставили на их место какое-то патриотическое г,которое только пенсионеры смотрят.</t>
  </si>
  <si>
    <t>20.07.2021 18:46</t>
  </si>
  <si>
    <t>Смотрите кабель,либо наконечники F коннектор у приемника или у антенны</t>
  </si>
  <si>
    <t>Александр Исаев</t>
  </si>
  <si>
    <t>Ахтубинск</t>
  </si>
  <si>
    <t>Достоинства: все работает. помогли в регистрации
отличная приставка. продавец быстро ответил на все вопросы и все зарегистрировал.
 спасибо</t>
  </si>
  <si>
    <t>Дмитрий У.</t>
  </si>
  <si>
    <t>18:13</t>
  </si>
  <si>
    <t>20.07.2021 18:59</t>
  </si>
  <si>
    <t>Здесь есть подводный камень. При апдейте прошивки ресивера межканальная реклама возвращается вновь.</t>
  </si>
  <si>
    <t>AndyMafer</t>
  </si>
  <si>
    <t>20.07.2021 18:01</t>
  </si>
  <si>
    <t>Я застал сериал на канале «Веселое ТВ» в повторах, был такой на спутниковом «Триколор ТВ» (уже давно как нет, на его месте Охотник и рыболов)</t>
  </si>
  <si>
    <t>20.07.2021 18:44</t>
  </si>
  <si>
    <t>Достоинства: Работает
Недостатки: Пришлось возиться со скачиванием для РС. Но об этом есть предупреждение</t>
  </si>
  <si>
    <t>Лилия Д.</t>
  </si>
  <si>
    <t>20.07.2021 17:59</t>
  </si>
  <si>
    <t>Александр, Перешёл Телеканал Дисней.</t>
  </si>
  <si>
    <t>17:39</t>
  </si>
  <si>
    <t>20.07.2021 17:58</t>
  </si>
  <si>
    <t>Блен, да что за проблемы у всех такие оО Наверное, вам просто не повезло, потому что у родителей дома и на даче стоят по тарелке и пашут. Один раз позвонили с акцией за всё время, они вежливо сказали что не интересует, и на этом всё закончилось</t>
  </si>
  <si>
    <t>20.07.2021 17:57</t>
  </si>
  <si>
    <t>Может с таким отношением проще сразу триколор отключать а не рекламу?</t>
  </si>
  <si>
    <t>drugoe.mnenie</t>
  </si>
  <si>
    <t>21.07.2021 08:35</t>
  </si>
  <si>
    <t>Отличное место и очень приветливый персонал! Консультант Татьяна выполнила свою работу на отлично! Все разъяснила и посоветовала. Очень приятно,что есть такие хорошие люди! Спасибо большое!!!</t>
  </si>
  <si>
    <t>Татьяна М.</t>
  </si>
  <si>
    <t>21.07.2021 21:52</t>
  </si>
  <si>
    <t>Всё нравится. Удобно и много контента</t>
  </si>
  <si>
    <t>vladbezzz</t>
  </si>
  <si>
    <t>20.07.2021 19:24</t>
  </si>
  <si>
    <t>Все отлично, пульт подошёл, работает исправно.</t>
  </si>
  <si>
    <t>Алёна</t>
  </si>
  <si>
    <t>20.07.2021 16:59</t>
  </si>
  <si>
    <t>Всё хорошо</t>
  </si>
  <si>
    <t>Василий Козловский</t>
  </si>
  <si>
    <t>Калуга</t>
  </si>
  <si>
    <t>16:55</t>
  </si>
  <si>
    <t>Перешёл канал Дисней.</t>
  </si>
  <si>
    <t>16:20</t>
  </si>
  <si>
    <t>20.07.2021 16:38</t>
  </si>
  <si>
    <t>Триколор, Свежо предание , а вертится с трудом. Эти обещания были год назад. Вот поэтому от вас многие уходят. И в основном переходят на "красного" оператора. У нас в деревне 4 человека перешли.</t>
  </si>
  <si>
    <t>20.07.2021 16:16</t>
  </si>
  <si>
    <t>Может и есть. Только при разговоре с вашим оператором мне сказали что приставку надо менять. Вы серьезно? Еще года непошло, вы меняете форматы вещания,а я должен каждый год приставки менять ,за мои не малые деньги? На фига мне такой сервис обдиралово.</t>
  </si>
  <si>
    <t>Дмитрий Дмитриев</t>
  </si>
  <si>
    <t>5 Гц  нет работает только от 2,4 Гц</t>
  </si>
  <si>
    <t>СЕРГЕЙ</t>
  </si>
  <si>
    <t>20.07.2021 23:27</t>
  </si>
  <si>
    <t>Samsung SM-G970 Galaxy S10e / SM-G973 Galaxy S10 / SM-G975 Galaxy S10+ (F/N, Exynos) - Обсуждение</t>
  </si>
  <si>
    <t>/forum/index.php?act=findpost&amp;pid=108104466  R2SAAF, другую видит. Но рисковать второй флехой не хочу, не знаю что приставка триколор ТВ делает с флешками  :D</t>
  </si>
  <si>
    <t>Michel Cher</t>
  </si>
  <si>
    <t>4PDA &gt; Samsung</t>
  </si>
  <si>
    <t>20.07.2021 16:07</t>
  </si>
  <si>
    <t>Пропадает капуста? 
Не досчитались ягод на кусте? 
Где грабли? 
Триколор Видеонаблюдение найдёт и покажет! Все важные записи и данные о передвижениях сохраняются в архиве Подробности по ссылке https://look.tricolor.tv/sub/look/handler.php</t>
  </si>
  <si>
    <t>15:59</t>
  </si>
  <si>
    <t>20.07.2021 16:45</t>
  </si>
  <si>
    <t>Пропадает капуста?  Не досчитались ягод на кусте?  Где грабли?  Триколор Видеонаблюдение найдёт и покажет! Все</t>
  </si>
  <si>
    <t>Пропадает капуста? 
Не досчитались ягод на кусте? 
Где грабли? 
Триколор Видеонаблюдение найдёт и покажет! Все важные записи и данные о передвижениях сохраняются в архиве.
 Подробности по ссылке https://look.tricolor.tv/sub/look/handler.php</t>
  </si>
  <si>
    <t>20.07.2021 16:58</t>
  </si>
  <si>
    <t>Затрахали сил больше нет
v2.5.0</t>
  </si>
  <si>
    <t>Александр Лавримов</t>
  </si>
  <si>
    <t>20.07.2021 20:39</t>
  </si>
  <si>
    <t>https://scontent.fybz1-1.fna.fbcdn.net/v/t1.6435-9/e15/q75/p960x960/219514760_4101150936605812_933856610789963127_n.jpg?_nc_cat=109&amp;ccb=1-3&amp;_nc_sid=730e14&amp;_nc_ohc=rmoPjcRrsoQAX9Wp6Ij&amp;_nc_ad=z-m&amp;_nc_cid=0&amp;_nc_ht=scontent.fybz1-1.fna&amp;oh=182cac9a457f6abe340f367dd610b786&amp;oe=60FC6938</t>
  </si>
  <si>
    <t>20.07.2021 15:59</t>
  </si>
  <si>
    <t>Триколор, да имеются. Все каналы дискавери хистори анимал. Включить в общий пакет ..а все свои темагазины засуть куда нибудь. Как вам мое предложение?.</t>
  </si>
  <si>
    <t>20.07.2021 15:53</t>
  </si>
  <si>
    <t>Триколор, вы тогда сразу говорите что без интернета смотреть не чего.сетка каналов убо6ая.</t>
  </si>
  <si>
    <t>20.07.2021 15:51</t>
  </si>
  <si>
    <t>Триколор, нет не удобно.я живу в области тут нет проводного интернета. А за мобильный платить ,вы не достойны этого. За такие деньги я хочу включить телек и смотреть нормальные каналы.и не надо рекламировать мне интернет.я ставил тарелку и не кто мне про инет не чего не говорил.</t>
  </si>
  <si>
    <t>15:37</t>
  </si>
  <si>
    <t>20.07.2021 15:37</t>
  </si>
  <si>
    <t>Триколор, на данный момент у вас не одного канала, который можно смотреть с интересом.Все повторяется зачем мне 12 кинотеатров с одними и тем же? Это вам для количества каналов. Многое каналы дыруются</t>
  </si>
  <si>
    <t>Отличный магазин, всегда дают верные советы, помогают и грамотно консультируют.</t>
  </si>
  <si>
    <t>Дмитрий Б.</t>
  </si>
  <si>
    <t>20.07.2021 21:49</t>
  </si>
  <si>
    <t>Спасибо,все доходчиво обьяснили.А то я хотел уже купить умный дом ,а он он не подходит к моему приемнику.</t>
  </si>
  <si>
    <t>Талгат Сакалов</t>
  </si>
  <si>
    <t>Александр, они всегда так делают. Им не нравится правда.что пакет тв у них полное фигня. Каналы только те которые бесплатно не нужны. А интересное посмотреть плати еще. Зажрались</t>
  </si>
  <si>
    <t>21.07.2021 21:19</t>
  </si>
  <si>
    <t>Здравствуйте, интересует смарт карта на триколор, а то купил б у оборудование по дешману, как оказалось на смарт карте долг 5500р.</t>
  </si>
  <si>
    <t>☞_☢</t>
  </si>
  <si>
    <t>Все пришло упаковано работает</t>
  </si>
  <si>
    <t>20.07.2021 15:14</t>
  </si>
  <si>
    <t>Всем доброго дня! Нам предстоит переезд в Супсех, ранее мы никогда не жили в частном домовладении, поэтому есть ряд</t>
  </si>
  <si>
    <t>Анна, у триколора пока что самый оптимальный тариф по цене-качеству</t>
  </si>
  <si>
    <t>Нина Павлова</t>
  </si>
  <si>
    <t>МАМОЧКИ И ПАПОЧКИ АНАПЫ|МАМА|ПАПА|АНАПА</t>
  </si>
  <si>
    <t>20.07.2021 23:28</t>
  </si>
  <si>
    <t>Нахожусь в деревне, скачиваю через телефон сериальчики, копирую на флешку через otg переходник и втыкаю в приставку триколор ТВ и смотрю. Дак вот, телефон перестал видеть флешку, хотя другой телефон, тоже самсунг, видит прекрасно, форматировал несколько раз, не помогает. Чистил кэш приложения Файлы, не помогает, другие проводники не видят тоже, через Настройки-память тоже не видит. Флешка исправна, другой телефон её видит, так же через otg, а мой ни в какую. Перезагрузка естественно не помогает. Есть идеи?</t>
  </si>
  <si>
    <t>20.07.2021 15:10</t>
  </si>
  <si>
    <t>Всем добрый день! Может у кого есть контакты мастера Триколора ? Живем в приветнинском сломалась антенна(( Благодарю</t>
  </si>
  <si>
    <t>Александр, спасибо за комментарии. Буду смотреть провод к антенне.</t>
  </si>
  <si>
    <t>Александра Атрашкова</t>
  </si>
  <si>
    <t>ЗЕЛЕНОГОРСКИЕ СПЛЕТНИ</t>
  </si>
  <si>
    <t>20.07.2021 15:30</t>
  </si>
  <si>
    <t>Скачанное здесь приложение Триколор не запускается на телефоне,
тупо появляется лого на синем фоне и бесконечно вращается окружность</t>
  </si>
  <si>
    <t>zllodey</t>
  </si>
  <si>
    <t>20.07.2021 14:53</t>
  </si>
  <si>
    <t>Александра, он практически вечный. Это приёмная головка. Там для проверки системы, нужно канал телемастер поставить. Если его нет то надо смотреть технические вопросы. Если покажет, то оплата просмотра закончилась.</t>
  </si>
  <si>
    <t>Александр Митчел</t>
  </si>
  <si>
    <t>20.07.2021 14:47</t>
  </si>
  <si>
    <t>Александр, да я тоже так думаю
Ещё может на самой антенне накрылся усилитель или как его))</t>
  </si>
  <si>
    <t>20.07.2021 14:46</t>
  </si>
  <si>
    <t>Александра, если антенну не трогали то это кабель надо смотреть от телевизора к антенне.</t>
  </si>
  <si>
    <t>20.07.2021 14:45</t>
  </si>
  <si>
    <t>Вначале ресивер включался и выключался. Потом я заменила вилку от ресивера. Все восстановилось. Потом сделала сброс до заводских установок и ничего теперь не показывает. Шкалы обе пустые. Тарелку не трогали, провод целый</t>
  </si>
  <si>
    <t>20.07.2021 14:44</t>
  </si>
  <si>
    <t>Александра, там две шкалы, у вас не силы не качества нет?</t>
  </si>
  <si>
    <t>20.07.2021 14:39</t>
  </si>
  <si>
    <t>Перешёл в 16:9, лично проверял. Может быть ваш оператор не поменял формат.</t>
  </si>
  <si>
    <t>Андрей Вершинин</t>
  </si>
  <si>
    <t>Киров</t>
  </si>
  <si>
    <t>Да хрен с ним с логотипом) а вот когда вырезают куски из фильма..это ппц.</t>
  </si>
  <si>
    <t>Илья Бессонов</t>
  </si>
  <si>
    <t>21.07.2021 00:25</t>
  </si>
  <si>
    <t>Разве ее не дают бесплатно при оплате годового Абонемента?</t>
  </si>
  <si>
    <t>У папы выходной</t>
  </si>
  <si>
    <t>20.07.2021 14:55</t>
  </si>
  <si>
    <t>А зачем реклама триколора в триколоре? Что за масло масляное?</t>
  </si>
  <si>
    <t>redrepublics</t>
  </si>
  <si>
    <t>14:19</t>
  </si>
  <si>
    <t>Пульт универсальный DVB-T2+2! 2019-2 для ТВ приставок (ресиверов) BBK, Golden Star, Триколор, Rexant, Эфир и т.д.</t>
  </si>
  <si>
    <t>Недостатки: Слишком чувствительные кнопки. 
Не переключает каналы: нажимаешь 1 канал - попадаешь на 9 и т.д. Используем на включение и выключение приставки и переключения с радио на ТВ. Разочарована.</t>
  </si>
  <si>
    <t>Пульт универсальный DVB-T2+2! 2019-2 для ТВ приставок (ресиверов)  BBK, Golden Star, Триколор, Rexant, Эфир и т.д.</t>
  </si>
  <si>
    <t>21.07.2021 11:28</t>
  </si>
  <si>
    <t>Друзья, дачники, одногруппники! Есть ли у кого-нибудь русскоговорящий мастер по настройке тв-антенны/тарелка? После</t>
  </si>
  <si>
    <t>Leonid Kalimov так и есть, при переходе с триколор на НТВ меняется только коробка, антенну трогать не надо.</t>
  </si>
  <si>
    <t>Alexey Laktionov</t>
  </si>
  <si>
    <t>Открытый Клуб Финских Дачников</t>
  </si>
  <si>
    <t>Спутниковая антенна Триколор СТВ-0.55 (без конвертера)</t>
  </si>
  <si>
    <t>Достоинства: Очень внимательные сотрудники подобрали то что было нужно</t>
  </si>
  <si>
    <t>20.07.2021 16:50</t>
  </si>
  <si>
    <t>Да мы наверное откажемся. Вот интернет уже ведут к нам оптику в дом заташать. Спасибо вам. Доброго вам всего. Мы уже в другом маназине.</t>
  </si>
  <si>
    <t>14:03</t>
  </si>
  <si>
    <t>Я не юрист, и как мне кажется их реклама не закона, вот поэтому они ее отключают сразу без разговоров.
Их реклама ничего не нарушает, у тебя это в договоре прописано и она не вмешивается в эфирное вещание, это просто заглушка показываемая 2-3 секунды, пока приставка декодирует другую частоту, ровным счётом для тебя ничего не изменилось.</t>
  </si>
  <si>
    <t>20.07.2021 13:55</t>
  </si>
  <si>
    <t>Нет шкалы приема вообще</t>
  </si>
  <si>
    <t>Александр, сигнал не идет</t>
  </si>
  <si>
    <t>20.07.2021 13:54</t>
  </si>
  <si>
    <t>На центральных слабый сигнал тарелку надо точно настроить</t>
  </si>
  <si>
    <t>20.07.2021 13:53</t>
  </si>
  <si>
    <t>Записывает каналы у которых сильный сигнал ,слабые не вписываются</t>
  </si>
  <si>
    <t>20.07.2021 13:52</t>
  </si>
  <si>
    <t>Каналы На разных частотах.сигнал надо по Максимуму сделать</t>
  </si>
  <si>
    <t>20.07.2021 13:34</t>
  </si>
  <si>
    <t>А что именно сломалось в антенне?</t>
  </si>
  <si>
    <t>13:29</t>
  </si>
  <si>
    <t>20.07.2021 13:38</t>
  </si>
  <si>
    <t>Перестали работать центральные каналы на Триколор. Кино и сериалы раздел есть, всего ищет 114 каналов, Единый мульти, оплачен. Сброс к заводским делали, тоже самое 114 каналов. ПО обновлено и версии текущие. Что делать, подскажите пожалуйста?))</t>
  </si>
  <si>
    <t>13:23</t>
  </si>
  <si>
    <t>31.07.2021 02:47</t>
  </si>
  <si>
    <t>Хороший магазин.</t>
  </si>
  <si>
    <t>Екатерина Прайс</t>
  </si>
  <si>
    <t>Орехово-Зуево</t>
  </si>
  <si>
    <t>Александр, покажите мне скрины, что он не перешёл в 16:9?</t>
  </si>
  <si>
    <t>У меня до сих пор есть знакомые, котрые зарабатывают на установке этого триколора по МО. Я одного не понимаю, кто это берет? Покрытие стабильным интернетом непрерывное.</t>
  </si>
  <si>
    <t>HitryGus</t>
  </si>
  <si>
    <t>21.07.2021 05:34</t>
  </si>
  <si>
    <t>Пульт для Триколор ТВ (DDL-1034), батарейки в комплекте</t>
  </si>
  <si>
    <t>Достоинства: Удобный
Недостатки: Нет</t>
  </si>
  <si>
    <t>Александра К.</t>
  </si>
  <si>
    <t>Сочи</t>
  </si>
  <si>
    <t>22.07.2021 06:41</t>
  </si>
  <si>
    <t>Повторюсь. Приставку Dvbt2 какую лучше брать?</t>
  </si>
  <si>
    <t>Триколор имеется, но в эту комнату очень
нескладно кабель от тарелки тащить.</t>
  </si>
  <si>
    <t>Avatint</t>
  </si>
  <si>
    <t>20.07.2021 13:17</t>
  </si>
  <si>
    <t>Илья, Канал ни у кого не перешёл, просто растянули 4:3 соотношение сторон Fullscreen и всё.Это не является переходом на 16:9.</t>
  </si>
  <si>
    <t>21.07.2021 07:50</t>
  </si>
  <si>
    <t>Грамотные консультация, продавци в магазине  очень вежливые и всегда помогают во всем</t>
  </si>
  <si>
    <t>egor.kopylov000</t>
  </si>
  <si>
    <t>20.07.2021 12:59</t>
  </si>
  <si>
    <t>Александр, ну у нас он перешёл</t>
  </si>
  <si>
    <t>12:50</t>
  </si>
  <si>
    <t>28.07.2021 23:35</t>
  </si>
  <si>
    <t>Достоинства: Комплект пришел вовремя 
Недостатки: Не комплект!  Нет в комплекте скретч (смарт) карты! 
Без скретч карты подключить оборудование невозможно.  Продавец не отвечает! Озон предложил вернуть товар- Спасибо. Триколор помог установить оборудование- Спасибо! Не покупайте у этого Продавца! Продавец из Перми-Даже не извинились.</t>
  </si>
  <si>
    <t>Ольга М.</t>
  </si>
  <si>
    <t>21.07.2021 16:01</t>
  </si>
  <si>
    <t>Пульт ДУ REXANT 38-0035 для Триколор DRS-8305 / General Satellite GS B211/E501/U210CI/U501/U510/GS-8305</t>
  </si>
  <si>
    <t>Достоинства: Цена, удобство и быстрота доставки
Недостатки: Отсутствует разметка полярности батареек.
При нажатии цифровых кнопок номинал может выстрелить сразу 2-3 раза, например, включая 2-й канал, вы получаете 22-й или 222-й. А уж если требуется набрать, например, 101 - с этим вообще беда. Приходится изощряться, пытаясь тыкнуть пальцем по кнопке за долю секунды. Помогает не всегда, но по-другому только по порядку каналы туда-сюда перебирать.
Брал сразу два и описанная история повторяется на обоих пультах. Может, это мне так не повезло, но если глючит один, ещё можно на случайный брак списать, а когда сразу оба - тема для размышления.</t>
  </si>
  <si>
    <t>12:32</t>
  </si>
  <si>
    <t>20.07.2021 12:32</t>
  </si>
  <si>
    <t>Вчера обсуждали, сколько денег лежит дома в виде ненужных вещей - https://vk.com/wall-112407477_30581. Спасибо всем, кто</t>
  </si>
  <si>
    <t>Мы тоже на мусорку положим,тут же уходит,а продать сейчас сложно,часы положили,тут же исчезли
Продала как то бусы янтарные за 300( мне: продешевила) я: хоть избавилась,сколько лет лежали!!!!
Одежду и цену снижаю , то размер не подойдёт.вообшем сколько времени пытаюсь продать,надежда уже совсем уходит.но...еще раз рискну!
Прибор есть,вчера была в СПб и забыла,надо там спросить было,но есть телефон,узнаю...хотя...разве обратно возьмут,нет. Может кому через них...подешевле
Антенну триколор сколько спрашивала...тоже пока никак,в магазине: зачем продавать?я: я не пользуюсь!!!!!!
Подруге пришлось контейнера подарить,маме не зашли.</t>
  </si>
  <si>
    <t>Светлана Соколова</t>
  </si>
  <si>
    <t>Евгения Изотова | Оптимизация жизни</t>
  </si>
  <si>
    <t>20.07.2021 12:41</t>
  </si>
  <si>
    <t>Какие поздравления? По поводу чего поздравления? С 19.07.2021 канал так и не перешёл на 16:9. Это была очередная ложь. Сверху и снизу чёрные полосы, изображение и логотип сплющенные.Когда переключаешь соотношение сторон на Letterbox, изображение, как и было 4:3. Какая теперь следующая,лживая дата перехода канала Дисней на 16:9? Никогда канал Дисней не перейдёт на 16:9.</t>
  </si>
  <si>
    <t>12:12</t>
  </si>
  <si>
    <t>21.07.2021 07:51</t>
  </si>
  <si>
    <t>Смотрим Триколор много лет. Скидки, акции. Мне нравится.</t>
  </si>
  <si>
    <t>Александр Князев</t>
  </si>
  <si>
    <t>Щёкино</t>
  </si>
  <si>
    <t>20.07.2021 12:07</t>
  </si>
  <si>
    <t>Подскажите кто в Моршанске занимается установкой ТРИКОЛОРА и цену скажите!!!</t>
  </si>
  <si>
    <t>А зачем сейчас спутниковое ТВ? Если есть интернет ТВ, гораздо качественнее и дешевле</t>
  </si>
  <si>
    <t>Тыну Оя</t>
  </si>
  <si>
    <t>Подслушано в Типичном Моршанске / Барахолка</t>
  </si>
  <si>
    <t>20.07.2021 12:23</t>
  </si>
  <si>
    <t>Еще бы кто их заставил прекратить присылать сообщения с этим дебильным конвертом на экране</t>
  </si>
  <si>
    <t>908090</t>
  </si>
  <si>
    <t>20.07.2021 12:00</t>
  </si>
  <si>
    <t>если нужен встроенный wi-fi и блютуз то берите GS B626L</t>
  </si>
  <si>
    <t>берите GS B523L</t>
  </si>
  <si>
    <t>20.07.2021 11:49</t>
  </si>
  <si>
    <t>Новый цифровой UHD-приёмник модели GS B623L / GS B523L, который можно подключить через спутник или интернет.
Возможность просматривать контент в формате Ultra HD.
Множество сериалов и тысячи фильмов в онлайн-сервисе.
Новым приёмником можно пользоваться сразу после получения. Спутниковую антенну менять не нужно!
Перенос услуг и денежных средств со старого Триколор ID на новый в полном объеме.</t>
  </si>
  <si>
    <t>11:46</t>
  </si>
  <si>
    <t>20.07.2021 11:50</t>
  </si>
  <si>
    <t>что вы имеете под полноценным ресивером и под приставочкой?</t>
  </si>
  <si>
    <t>20.07.2021 19:46</t>
  </si>
  <si>
    <t>Адаптер работает. Подключил роутер</t>
  </si>
  <si>
    <t>Игорь</t>
  </si>
  <si>
    <t>motor vehicle,land vehicle,vehicle,auto part</t>
  </si>
  <si>
    <t>20.07.2021 11:56</t>
  </si>
  <si>
    <t>Константин Зеленцов</t>
  </si>
  <si>
    <t>11:19</t>
  </si>
  <si>
    <t>20.07.2021 11:28</t>
  </si>
  <si>
    <t>Сергей Азаров</t>
  </si>
  <si>
    <t>Плавск</t>
  </si>
  <si>
    <t>furniture,table</t>
  </si>
  <si>
    <t>art</t>
  </si>
  <si>
    <t>20.07.2021 10:21</t>
  </si>
  <si>
    <t>Если кратко, то Триколор - кал. Если полновесно - 
Помню, как меня заеб... достал этот ТрикАлор. Подключился, купил хороший ресивер, год всё было нормально. Правда через полгода после подключения мне стали намекать - ваше оборудование устарело (чОООО?). Осенью следующего за подключением года - обновление, после которого стал жутко тормозить ресивер. И постоянно перезагружаться. Нашел в инете, как можно вернуть старую прошивку. Прошло полгода - опять обнова, на этот раз старую прошивку не вернуть никак. Упоролся, выпаял микросхему, прошил</t>
  </si>
  <si>
    <t>20.07.2021 20:00</t>
  </si>
  <si>
    <t>Интернет на даче.</t>
  </si>
  <si>
    <t>Тарелка от триколора вообще не причём, хотя можешь модем вместо головки пришпандорить.</t>
  </si>
  <si>
    <t>СТАМАК</t>
  </si>
  <si>
    <t>Ответы@Mail.Ru: Все категории &gt; Мобильная связь</t>
  </si>
  <si>
    <t>20.07.2021 19:31</t>
  </si>
  <si>
    <t>Пришло всё быстро, хорошо упаковано, работает. Рекомендую.</t>
  </si>
  <si>
    <t>20.07.2021 22:48</t>
  </si>
  <si>
    <t>Подвесная полка РЭМО WL-001 Wall Shelf-S</t>
  </si>
  <si>
    <t>Достоинства: металл не хлипкий
купила для ресивера триколор</t>
  </si>
  <si>
    <t>Юлия А.</t>
  </si>
  <si>
    <t>07:53</t>
  </si>
  <si>
    <t>20.07.2021 08:17</t>
  </si>
  <si>
    <t>Попыталась ввести ID а сервис вводит его как номер телефона! Так и не получилось войти в личный кабинет</t>
  </si>
  <si>
    <t>Asia Begeldyeva</t>
  </si>
  <si>
    <t>06:57</t>
  </si>
  <si>
    <t>20.07.2021 07:17</t>
  </si>
  <si>
    <t>Добрый день кто может установить тарелку ТРИКОЛОР ТВ И УСТАНОВИТЬ КАНАЛЫ,по цене договоримся,пишите в комментариях</t>
  </si>
  <si>
    <t>Проще Подключить через интернет, больше каналов и качество лучше плюс не влияют погодные условия. Это в том случае если есть домашний игтернет</t>
  </si>
  <si>
    <t>Александр Георгиевский</t>
  </si>
  <si>
    <t>Подрезково | Молжаниново Online</t>
  </si>
  <si>
    <t>20.07.2021 06:35</t>
  </si>
  <si>
    <t>Настраивать антенну нужно. Качество  мало  у мкня сила 100% качество 68 , и все равно Мосфильм глючит , бесит уже</t>
  </si>
  <si>
    <t>05:35</t>
  </si>
  <si>
    <t>20.07.2021 05:54</t>
  </si>
  <si>
    <t>Как превратить оставшиеся дни текущей подписки в подписку на «Единый Ultra»? Просто зайдите в раздел «Акции и</t>
  </si>
  <si>
    <t>Владислав, это глюк последней прошивки</t>
  </si>
  <si>
    <t>Александр Яшманов</t>
  </si>
  <si>
    <t>05:21</t>
  </si>
  <si>
    <t>20.07.2021 08:02</t>
  </si>
  <si>
    <t>Меня поражает количество людей, всерьез рассуждающих о "выборах", словно их дурачат в первый раз!</t>
  </si>
  <si>
    <t>Эдуард Молчанов</t>
  </si>
  <si>
    <t>05:18</t>
  </si>
  <si>
    <t>20.07.2021 06:00</t>
  </si>
  <si>
    <t>Да уж, не могли договориться, времени ведь было навалом соТВорили: казахстанцы могут остаться без трансляций с Олимпиады</t>
  </si>
  <si>
    <t>Про ТРИКОЛОРУ смотреть будем, тоже мне проблемы. Уже лет 15 на спутниковое перешли.</t>
  </si>
  <si>
    <t>Rada Den</t>
  </si>
  <si>
    <t>Интересная жизнь НЕ ТОЛЬКО Астаны</t>
  </si>
  <si>
    <t>05:14</t>
  </si>
  <si>
    <t>20.07.2021 05:14</t>
  </si>
  <si>
    <t>Кокда последний раз Триколор за ключал договор  ред медия уже было понятно што они дальнейшим будут поднимать тарифы на свои услуги атак они скоро ростелеком догонят по ценам.</t>
  </si>
  <si>
    <t>Александр Токтеев</t>
  </si>
  <si>
    <t>04:15</t>
  </si>
  <si>
    <t>антенна направленая не нужна.
хотбёрд отлично раздаёт.
в его случае-триколор-он залочен на частоты.
у него свой, согласись, тёзка</t>
  </si>
  <si>
    <t>Шмулик Розенцвейг</t>
  </si>
  <si>
    <t>04:11</t>
  </si>
  <si>
    <t>триколор раздаёт интернет. дорого</t>
  </si>
  <si>
    <t>04:09</t>
  </si>
  <si>
    <t>триколор на срутники)
можно в комп поставить плату и принимать сигнал.
но в инрернете копаться слишком дорого.
вроде 1.2 евро за мбайт</t>
  </si>
  <si>
    <t>А от этого самого Триколор возможно же проводной интернет сделать? Там разъём есть под кабель. За отдельную плату</t>
  </si>
  <si>
    <t>Василий Кузьмин</t>
  </si>
  <si>
    <t>03:59</t>
  </si>
  <si>
    <t>Здравствуйте. Такой вопрос. На даче стоит спутниковая антенна Триколор Тв. И есть Wi-Fi модем. Но ловит он плохо, так как далеко от города. Можно ли как-то усилить сигнал данного модема от ресивера с помощью USB?</t>
  </si>
  <si>
    <t>03:00</t>
  </si>
  <si>
    <t>20.07.2021 23:07</t>
  </si>
  <si>
    <t>Муравьев Сергей : любовь, разлука, офшоры и неограниченный ресурс.</t>
  </si>
  <si>
    <t>закипела работа: им предстояло найти грандиозный финансовый проект, владельцем которого должен был стать их босс. Шамалову на почту одно за другим начали приходить письма с фантастическими предложениями на миллиарды долларов — и зять Владимира Путина выбирал их так, как мы выбираем молоко в магазине.
16 мая 2013 года помощник Шамалова Денис Никиенко прислал ему идею приобретения долей сразу в трех компаниях — «Ростелекоме», Tele2 и «Триколор ТВ», — чтобы впоследствии объединить их в «национального телекоммуникационного лидера», как говорилось</t>
  </si>
  <si>
    <t>0552ua.com</t>
  </si>
  <si>
    <t>clothing,suit,formal wear</t>
  </si>
  <si>
    <t>official,business,management</t>
  </si>
  <si>
    <t>20.07.2021 02:56</t>
  </si>
  <si>
    <t>Вызвать специалиста, источников проблемы может быть много, сбитая антенна, китайский кабель, умирающий конвертор или блок питания, выросло дерево или кусты и мешают приёму.</t>
  </si>
  <si>
    <t>01:31</t>
  </si>
  <si>
    <t>20.07.2021 01:39</t>
  </si>
  <si>
    <t>И приемники сваи можете засунуть себе</t>
  </si>
  <si>
    <t>Алексей Гагаринов</t>
  </si>
  <si>
    <t>01:30</t>
  </si>
  <si>
    <t>20.07.2021 01:30</t>
  </si>
  <si>
    <t>Ура заканчивается подписка триколор на всегда пока и многие так делают</t>
  </si>
  <si>
    <t>00:16</t>
  </si>
  <si>
    <t>20.07.2021 00:17</t>
  </si>
  <si>
    <t>Замена конвертера</t>
  </si>
  <si>
    <t>Кристина Грязнова</t>
  </si>
  <si>
    <t>20.07.2021 00:16</t>
  </si>
  <si>
    <t>Анонимно. Здравствуйте, переехали из городка в Юрью , всегда пользовались Ростелекомом ,позвонили им сразу же , они</t>
  </si>
  <si>
    <t>Татьяна, тоже инет от мтс. Модем. Пока не жалуемся. А вот тв от Триколор</t>
  </si>
  <si>
    <t>Анастасия Полянская</t>
  </si>
  <si>
    <t>Подслушано Юрья</t>
  </si>
  <si>
    <t>00:05</t>
  </si>
  <si>
    <t>20.07.2021 05:52</t>
  </si>
  <si>
    <t>Работает, как родной пульт. Посмотрим дальше по эксплуатации. Сам пульт упакован в целофановую плёнку в коробке обернутой. Без дефектов.</t>
  </si>
  <si>
    <t>алеся</t>
  </si>
  <si>
    <t>19.07.2021</t>
  </si>
  <si>
    <t>19.07.2021 23:15</t>
  </si>
  <si>
    <t>Всем привет. Приёмник GS 528 триколор. Не обновился модуль. Теперь не находит список регионов. И соответственно каналы.</t>
  </si>
  <si>
    <t>Агиль, номер id тоже не видит? Если нет, то в ремонт на перепрошивку программатором или на помойку. Мне два таких попадались)</t>
  </si>
  <si>
    <t>19.07.2021 23:38</t>
  </si>
  <si>
    <t>Отключил лет 10 назад и до сих пор не появились , хорошечно !</t>
  </si>
  <si>
    <t>Deribas31</t>
  </si>
  <si>
    <t>19.07.2021 22:56</t>
  </si>
  <si>
    <t>А что, так можно было? 
Спасибо тебе огромное! Выручил, реально. 
Причём можно даже не звонить, 10 минут ленивого общения в чате на сайте поддержки и вуаля:Ваше обращение № ХХХХХХХ зарегистрировано. Межпрограммные баннеры будут отключены в течение 3 рабочих дней. В течение этого времени приемник должен быть включен. Телевизор можно выключить. Если Вы осуществите сброс настроек приёмника на заводские установки , то появившиеся межпрограммные баннеры будут отображаться в течение 3-х часов после такого сброса должны исчезнуть. Если это не поможет, рекомендовать перезагрузить приёмник.Ещё бы в передачах рекламу научиться отключать )</t>
  </si>
  <si>
    <t>20.07.2021 04:19</t>
  </si>
  <si>
    <t>БСТ-Башкирия(Башкирское Спутниковое Телевидение)
Кроме ВГТРКшных телеканалов и телеканала Спас в региональных телеканалах нет Кубань 24(в iptv Триколор ТВ)-если подключать по тарелке в 36 градусе(где есть НТВ+ ещё)-то данные телеканалы будут работать
От Триколора в почту на телевизор приходит не только информация об окончаниях оплаченных пакетов(также есть информация об профилактике на спутнике-1 раз в квартал приходит информация и также приходит акционная информация(из последних-пакет "Детский" на 3 месяца за 499 рублей летом и KINOSALE за 29 рублей/1 фильм-то,что было в видео на инфобаннере))</t>
  </si>
  <si>
    <t>serge16061992</t>
  </si>
  <si>
    <t>20.07.2021 02:16</t>
  </si>
  <si>
    <t>Спасибо. Да есть у меня друг. Поеду в город отвезу. Уже договорились. Но все равно будем откащываться от триколора. Вот к осени интернет нам сделают там будет все. А то сейчас такой интернет вообще все тянет проподает караул</t>
  </si>
  <si>
    <t>19.07.2021 22:35</t>
  </si>
  <si>
    <t>За качество работа приемника отвечает , в нем проблему ищите, может ПО  обновить надо.Прошивка не качественная.   И Т.Д Качество 40-60 должны быть, сила у вас в порядке</t>
  </si>
  <si>
    <t>Арина Марина</t>
  </si>
  <si>
    <t>19.07.2021 22:14</t>
  </si>
  <si>
    <t>Сама суть при переключение каналов постоянно появляется реклама лично от триколора и она висит примерно 2-5 секунд (что бы ты успел ее прочитать) и только после этого появляется следующий телевизионный канал 
Может здесь  и мало людей кто смотрит Триколор ТВ , но я уверен у многих есть родители кто смотрит. 
Так вот все очень просто, что бы его убрать надо всего-то им ПОЗВОНИТЬ!!! И сказать что бы они убрали рекламный банер при переключение каналов.
А весь прикол в том что не какой ругани и тд. Просто фраза, да сейчас отключим( в течение 3 дней ) 
Я не юрист, и как мне кажется их реклама не закона, вот поэтому они ее отключают сразу без разговоров.
Пост может кому пригодится, так как моя мама очень довольна что я убрал эту левую ренкаму.
[моё] Реклама Триколор Текст</t>
  </si>
  <si>
    <t>Как не крутил Антенну качество больше 40 не подымаеться сила 100</t>
  </si>
  <si>
    <t>Сергей Фомин</t>
  </si>
  <si>
    <t>Ясный</t>
  </si>
  <si>
    <t>Конвертор под замену кажись</t>
  </si>
  <si>
    <t>Возможно надо подстроить, либо конвертор заменить. Попробуй на края антенны подавить, посмотри как будет меняться уровень</t>
  </si>
  <si>
    <t>Андрей Филиппов</t>
  </si>
  <si>
    <t>Здравствуйте. Модель GS E501, сила 95%, качество 27. Помех внешних нет, зимой из-за снежный шапки сигнал терялся. Сейчас вообще не могу нормально смотреть, качество сигнала играет. В чем проблема?</t>
  </si>
  <si>
    <t>19.07.2021 21:56</t>
  </si>
  <si>
    <t>Офигеть сразу в 2 раза повышение, аж на 200р</t>
  </si>
  <si>
    <t>Сергей Муканси</t>
  </si>
  <si>
    <t>20.07.2021 09:52</t>
  </si>
  <si>
    <t>VPN Club</t>
  </si>
  <si>
    <t>Rufus-Cat @ 19.07.21, 21:36  /forum/index.php?act=findpost&amp;pid=108090865 Не проще взять мобильный вай-фай роутер с симкой, у операторов специальные симки, тарифы были раньше для такого  
Валяются несколько таких дома.
Во первых.
Тарифы сейчас неоправданно дорогие.
Во вторых.
Скорость искусственно занижают.
Даже рассматривал вариант спутникового интернета от триколор.
Но как-то не срослось.
Сейчас обхожусь старым смартфоном в качестве точки доступа для тв бокса.
Компом практически не пользуюсь. Если только прошить чего нибудь.
Всё остальное делаю смартфоном.</t>
  </si>
  <si>
    <t>KKK-103</t>
  </si>
  <si>
    <t>4PDA &gt; Клубы по интересам</t>
  </si>
  <si>
    <t>21:22</t>
  </si>
  <si>
    <t>19.07.2021 21:22</t>
  </si>
  <si>
    <t>Там сигнала нет вот и необновляеться</t>
  </si>
  <si>
    <t>21.07.2021 15:55</t>
  </si>
  <si>
    <t>Достоинства: Взяла за 4 500 с пакетом «Единый Ультра HD», что по сравнению с конкурентами реально очень достойно. Приставка матовая и очень органичная по дизайну. Нет вырвиглазных элементов или непонятных шкал на экране. При подключении настроил внутренне меню так, как мне удобно. С категориями вообще топ, значки большие и понятные. Есть вайфай!!! Это реально крутая фича, поддерживает 2,4 и 5 ГГц диапазоны. Короче, даже со старым роутером сигнал будет ок и можно потреблять контент высокого качества.
Недостатки: Пульт как в предыдущих моделях, ни капельки не изменился. По качеству сигнала вс хорошо.
4К не лагает, смотрится шикарно)</t>
  </si>
  <si>
    <t>София Скрепова</t>
  </si>
  <si>
    <t>building,floor,furniture,table</t>
  </si>
  <si>
    <t>room</t>
  </si>
  <si>
    <t>22.07.2021 22:57</t>
  </si>
  <si>
    <t>Комплект усилитель сотовой связи 2100, Триколор, TR-2100-50-kit</t>
  </si>
  <si>
    <t>Достоинства: Реально работает.  Всем рекомендую.</t>
  </si>
  <si>
    <t>20:36</t>
  </si>
  <si>
    <t>21.07.2021 13:35</t>
  </si>
  <si>
    <t>Достоинства: Работает отлично 
Недостатки: Нет</t>
  </si>
  <si>
    <t>Полина К.</t>
  </si>
  <si>
    <t>20.07.2021 00:36</t>
  </si>
  <si>
    <t>А как Вы раньше и что смотрели до ИПТВ??я повторю к многие тарелки стоят давно и вот тут отказываться в пользу 1 доллар сервисов да ещё на таких больших диагоналях и смотреть мазню вместо футбола хоккея например зашквар)не все ж игроманы) эфир тоже смотря</t>
  </si>
  <si>
    <t>У родителей был Триколор.
Потом до недавнего времени Megogo, Wink, НТВ+ для каналов (через приложения для андройд приставки). И после ЧЕ 2021когда нормально ничего не посмотпел из-за запрета правообладателей перешел на iptv чисто для спорт трансляций.
Хотя баскет на MEGOGO это обязательно</t>
  </si>
  <si>
    <t>ТЕМА по услуге доставки ТВ  из Финляндии в РФ / БЕЛАРУСЬ / КАЗАХСТАН</t>
  </si>
  <si>
    <t>19.07.2021 20:51</t>
  </si>
  <si>
    <t>Вы уже достали со своими обновлениями! Не зайдешь пока не обновить, а обновишь все настройки слетят! Отвратительно!
v2.4.0</t>
  </si>
  <si>
    <t>1 2</t>
  </si>
  <si>
    <t>19.07.2021 19:57</t>
  </si>
  <si>
    <t>Всем привет) может кто знает, нужен мастер по триколору, антенна что то перестала показывать, чтобы пришёл наладил.</t>
  </si>
  <si>
    <t>Ирина Проскурякова</t>
  </si>
  <si>
    <t>Подслушано Сосновский район</t>
  </si>
  <si>
    <t>20.07.2021 06:31</t>
  </si>
  <si>
    <t>Понятная настройка, для дачи 2 мультиплекса по 10 каналов. В комплекте колокольчики и батарейки</t>
  </si>
  <si>
    <t>19:03</t>
  </si>
  <si>
    <t>19.07.2021 19:04</t>
  </si>
  <si>
    <t>Что в нем смотреть моих фильмов нету</t>
  </si>
  <si>
    <t>19.07.2021 18:39</t>
  </si>
  <si>
    <t>Добрый день. Никто не знает, почему не показывает тв?</t>
  </si>
  <si>
    <t>Смотря какое, триколор- показывает!</t>
  </si>
  <si>
    <t>Светлана Макаренко</t>
  </si>
  <si>
    <t>Подслушано Плесецкий район и город Мирный</t>
  </si>
  <si>
    <t>Мирный</t>
  </si>
  <si>
    <t>18:17</t>
  </si>
  <si>
    <t>19.07.2021 18:17</t>
  </si>
  <si>
    <t>Илья, Возможно на следующей недели, в программе передач Триколор тв до конца недели Гидеона нет.</t>
  </si>
  <si>
    <t>19.07.2021 18:19</t>
  </si>
  <si>
    <t>Явный перебор цены и (не) качества, триколор для меня лично это просто самое дно....если требуется ТВ, то на данный момент не вижу альтернативы Ilook(эдем), цена вопроса ОДИН буржуйский рупь, и вы забудете о понятии "пакеты", поскольку вы сами себе создад</t>
  </si>
  <si>
    <t>Меня еще раздражает очень сильно реклама самого Триколора при переключении каналов.
и отсутствие каналов Discovery. Я когда переходил к ним лет 10 назад с НТВ Плюс, то все каналы были.
А теперь все меньше и меньше нормальных с каждым годом.. Но из-за ресивера привязан..
Думаю пришло время "отвязаться".</t>
  </si>
  <si>
    <t>19.07.2021 18:03</t>
  </si>
  <si>
    <t>Триколор, за то толкать фильмы по 300р которые крутятся по каналам по 100 раз это вы можете</t>
  </si>
  <si>
    <t>Юрий Ковалев</t>
  </si>
  <si>
    <t>Кисловодск</t>
  </si>
  <si>
    <t>19.07.2021 17:41</t>
  </si>
  <si>
    <t>Триколор, клиенты могут его посмотреть в интернете БЕСПЛАТНО И В КАЧЕСТВЕ</t>
  </si>
  <si>
    <t>Я вот не вижу альтернативы где нет интернета а есть только спутниковые тарелки.</t>
  </si>
  <si>
    <t>Ну это печаль конечно, только таких мест очень мало, тогда придётся платить, за это недоразумение под названием триколор</t>
  </si>
  <si>
    <t>Maksim</t>
  </si>
  <si>
    <t>Roger Sherman</t>
  </si>
  <si>
    <t>Пришло уведомление, что заканчивается подписка на Триколоре. Продлять... Минимум Детский 1200р+ Общий 1500р = 2700р (36$) А по идее надо бы брать Детский 1200р+ Общий UHD 2500р = 3700р (50$) И что-то я задумался, а есть ли смысл? Может лучше вместо спутника</t>
  </si>
  <si>
    <t>Понимаю Вас очень хорошо. Уже 3-4 отказался от него. Дорого и мало каналов</t>
  </si>
  <si>
    <t>Михаил Сергеевич</t>
  </si>
  <si>
    <t>Явный перебор цены и (не) качества, триколор для меня лично это просто самое дно....если требуется ТВ, то на данный момент не вижу альтернативы Ilook(эдем), цена вопроса ОДИН буржуйский рупь, и вы забудете о понятии "пакеты", поскольку вы сами себе создадите свой, с огромным количеством каналов(тех самых, за которые триколор с вас три шкуры сдерёт)</t>
  </si>
  <si>
    <t>22.07.2021 15:48</t>
  </si>
  <si>
    <t>Комплект усилитель сотовой связи 2100, "Триколор ТВ", DS-2100-kit</t>
  </si>
  <si>
    <t>Достоинства: Нет
Недостатки: Не ловит
В деревне (Псковская обл.)240км от СПБ совсем не ловит</t>
  </si>
  <si>
    <t>Евгений</t>
  </si>
  <si>
    <t>20.07.2021 05:16</t>
  </si>
  <si>
    <t>Сериалы видеосервиса PREMIER стали доступны клиентам Триколора</t>
  </si>
  <si>
    <t>видеосервиса качественным контентом. Безусловно, в фокусе внимания — рейтинговые проекты, в том числе от отечественных студий. Сотрудничество с PREMIER —  дополнительная возможность привлечь молодую аудиторию», — заявил заместитель генерального директора по контентной политике Триколора Николай Орлов.
Смотреть контент от PREMIER можно будет с помощью одного Триколор ID на пяти устройствах как в приложении «Триколор Кино и ТВ» для мобильных устройств и телевизоров с функцией Smart TV, так и на сайте  kino.tricolor.tv https://kino.tricolor.tv/.
По итогам 2020 года доля Триколора на рынке платного ТВ составила 27 %, общая база оператора достигла 12,257 млн домохозяйств, в том числе 10,3 млн подписчиков HDTV. В первом квартале 2021 года база UHD-клиентов превысила отметку в 300 тыс.</t>
  </si>
  <si>
    <t>19.07.2021 19:46</t>
  </si>
  <si>
    <t>» и другие, а также развлекательный контент от телеканалов ТНТ, «Пятница!», «Матч ТВ», ТВ-3 и «Суббота!».
Клиентам Триколора с подпиской на пакет «Единый Ultra» или услугу «Ultra», куда в том числе входят каналы сверхвысокой четкости, предложение будет доступно без дополнительной платы. Подписчики других услуг Триколора смогут оформить отдельную подписку на PREMIER на онлайн-платформе оператора.
«Мы продолжаем нашу стратегию развития и сегодня объединяем усилия с крупнейшим оператором телевизионного спутникового вещания. В ближайшее время фильмы</t>
  </si>
  <si>
    <t>furniture,signage,flag,podium</t>
  </si>
  <si>
    <t>17:02</t>
  </si>
  <si>
    <t>19.07.2021 17:03</t>
  </si>
  <si>
    <t>Этот дом был построен во Франции в 1509 году по официальной версии истории</t>
  </si>
  <si>
    <t>Татьяна, это не камень... Триколор ТВ...тарелка((((</t>
  </si>
  <si>
    <t>Эдуард Семизаров</t>
  </si>
  <si>
    <t>ТАЙНОЕ НЕПОЗНАННОЕ ۞ СКРЫТЫЕ ФАКТЫ</t>
  </si>
  <si>
    <t>Ряжск</t>
  </si>
  <si>
    <t>17:00</t>
  </si>
  <si>
    <t>23.07.2021 21:16</t>
  </si>
  <si>
    <t>Как в Болгарии обстоят дела с русскоязычным ТВ? Какие есть варианты?</t>
  </si>
  <si>
    <t>Иван Эртель умножьте на 12 месяцев и посчитайте сколько это будет в рублях, а триколор всего 2 тыс в год и если вдруг захотите вернуться в Россию, ресивер можно взять с собой</t>
  </si>
  <si>
    <t>Наталья Шумская</t>
  </si>
  <si>
    <t>Русскоговорящие в Варне</t>
  </si>
  <si>
    <t>16:53</t>
  </si>
  <si>
    <t>19.07.2021 16:53</t>
  </si>
  <si>
    <t>Я вообще собираюсь расторгать договор,по причине их незаконных условий оказания услуг, по причине отсутствия возможности права выбора самим абонентом, срока оплаты - помесячно. Почему в Триколоре нет помесячной оплаты за пакеты Единый, Единый Ultra. Вот когда введут помесячную оплату за пакеты Единый и Единый UIltra,тогда подумаю.</t>
  </si>
  <si>
    <t>Модуль Триколор ТВ CI+ с картой доступа Центр (тариф Единый 1500р/год)</t>
  </si>
  <si>
    <t>Посылка пришла вовремя, качество на отлично. Спасибо за оперативность при регистрации оборудования, все быстро и на высшем уровне. Рекомендую продавца, спасибо</t>
  </si>
  <si>
    <t>19.07.2021 19:19</t>
  </si>
  <si>
    <t>Кино и ТВ» для мобильных устройств и телевизоров с функцией Smart TV, так и сайте kino.tricolor.tv.
По итогам 2020 года доля Триколора на рынке платного ТВ составила 27 %, общая база оператора достигла 12,257 млн домохозяйств, в том числе 10,3 млн подписчиков HDTV. В I квартале 2021 года база UHD-клиентов превысила отметку в 300 тыс.
Получить ссылку на этот материал к себе на сайт https://releases.ict-online.ru/#getLink</t>
  </si>
  <si>
    <t>19.07.2021 17:26</t>
  </si>
  <si>
    <t>Все работает отлично</t>
  </si>
  <si>
    <t>Диана</t>
  </si>
  <si>
    <t>19.07.2021 16:12</t>
  </si>
  <si>
    <t>Ищу работу / подработку</t>
  </si>
  <si>
    <t>Повторно. Срочно нужен специалист настройка Триколор . После двух обращений в Спутник опять "нет сигнала" по телефону хамят . ( в  ДК)</t>
  </si>
  <si>
    <t>Елена Сухорукова</t>
  </si>
  <si>
    <t>Подслушано ДК</t>
  </si>
  <si>
    <t>19.07.2021 16:02</t>
  </si>
  <si>
    <t>Любыми способами...</t>
  </si>
  <si>
    <t>Ая последнии оод сматрю и все отказываюсь от него 100 працентов.я тв уже практически не сматрю нафиг ненужен даром</t>
  </si>
  <si>
    <t>19.07.2021 15:43</t>
  </si>
  <si>
    <t>Добрый день Кто из Беларуси? Может знаете причину, почему уже пару дней не идут каналы по онлайн тв ресивер GS В621L</t>
  </si>
  <si>
    <t>Александр, нет связи с сервером из Беларуси, (код 20). Есть что добавить по существу?</t>
  </si>
  <si>
    <t>Андрей Силивончик</t>
  </si>
  <si>
    <t>Светлогорск</t>
  </si>
  <si>
    <t>19.07.2021 15:38</t>
  </si>
  <si>
    <t>Продам комплект спутникового ТВ Триколор , (Приставка, тарелка, пульт) Пол года оплаты в подарок, тариф Единый 1500 год</t>
  </si>
  <si>
    <t>Александр, ну если бы я этим не занимался более 15 лет то наверное и не говорил бы) каждый день как минимум 1 человек переходит с триколора на мтс! Триколор у все то виснет, то ресиверы менять принуждают!</t>
  </si>
  <si>
    <t>Антоха Куликов</t>
  </si>
  <si>
    <t>Топки Онлайн</t>
  </si>
  <si>
    <t>Топки</t>
  </si>
  <si>
    <t>Андрей, тут на скрине явно имеет место быть сбой. А про отключения приемников я только в интернетах пару раз читал. Всё работает без нареканий. Может что то криво обновилось?</t>
  </si>
  <si>
    <t>Александр Антропов</t>
  </si>
  <si>
    <t>19.07.2021 15:36</t>
  </si>
  <si>
    <t>Антоха, бред) сколько знаю народу почти все триколором пользуются</t>
  </si>
  <si>
    <t>19.07.2021 23:47</t>
  </si>
  <si>
    <t>Стоит ли подключать триколор ТВ</t>
  </si>
  <si>
    <t>ставьте побольше диаметр антенны</t>
  </si>
  <si>
    <t>Оксана Захаренко</t>
  </si>
  <si>
    <t>Услышано Вичуга</t>
  </si>
  <si>
    <t>Так это спутник. Если не добивает в непогоду, нужна большая тарелка</t>
  </si>
  <si>
    <t>А почему 3000 в год? Там абонплата 1500, если без ultra HD каналов. Недавно у тещи сгорел ресивер, заменили на новый (последней модели) бесплатно. Для пенсионеров и тех, у кого нет Смарт ТВ  и нет интернета триколор лучший вариант. Или есть что дешевле предложить?</t>
  </si>
  <si>
    <t>Алексей Канашский</t>
  </si>
  <si>
    <t>19.07.2021 15:34</t>
  </si>
  <si>
    <t>Здравствуйте. Кто-нибудь знает, кто может настроить триколор ТВ. Подскажите пожалуйста контакты. Спасибо.</t>
  </si>
  <si>
    <t>Галина, у нас программ столько, что задолбаешься щёлкать пультом. Что-то с прошивкой наверное</t>
  </si>
  <si>
    <t>Бокситогорск - Наш любимый город</t>
  </si>
  <si>
    <t>Бокситогорск</t>
  </si>
  <si>
    <t>Лева, плюсую автору выше) лучше триколор</t>
  </si>
  <si>
    <t>19.07.2021 15:32</t>
  </si>
  <si>
    <t>Стоит ли покупать комплект спутникового ТВ и интернет от МТС? Кто пользуется или пользовался, поделитесь впечатлениями.</t>
  </si>
  <si>
    <t>Сашенька, у всех свои потребности, мне и 50 маловато будет :) А цена у триколора у нас в регионе одна из лучших.</t>
  </si>
  <si>
    <t>Подслушано Аксубаево</t>
  </si>
  <si>
    <t>Прочитал тут сообщение о триколоре, что выходит больше 3к рублей в год, интересно стало, сколько они могут примерно зарабатывать, в 19ом году было примерно 12млн абонентов и средний ценник под 2к, чуть поднял средний ценник до 2500 и умножил на 12млн, получается 30млрд в год) И это не считая того, сколько они втюхивают своих говноресиверов втридорого, условно можно на два умножать ещё, 60млрд в год, понятно что расходы и всё такое ещё, но цифры удивляют)</t>
  </si>
  <si>
    <t>Вячеслав</t>
  </si>
  <si>
    <t>19.07.2021 17:14</t>
  </si>
  <si>
    <t>Сериалы видеосервиса Premier стали доступны клиентам Триколора</t>
  </si>
  <si>
    <t>Kion, а также телеканал ТВ-3 займутся совместным кинопроизводством https://www.cableman.ru/content/videoservisy-premier-i-kion-zaimutsya-sovmestnym-kinoproizvodstvom . Напомним, в рамках CSTB в двенадцатый раз прошло награждение победителей конкурса в области многоканального цифрового телевидения "Большая цифра". И Premier, и Kion стали лауреатами премии.  https://www.cableman.ru/content/obyavleny-pobediteli-premii-bolshaya-tsifra</t>
  </si>
  <si>
    <t>26.07.2021 17:43</t>
  </si>
  <si>
    <t>Триколор ТВ, офис продаж</t>
  </si>
  <si>
    <t>Отличное обслуживание</t>
  </si>
  <si>
    <t>Татьяна Крылова</t>
  </si>
  <si>
    <t>19.07.2021 14:54</t>
  </si>
  <si>
    <t>Добрый день кто может настроить тарелку триколор?</t>
  </si>
  <si>
    <t>грёбаный Триколор,даже если подключен интернет,больше половины каналов не показывает.Триколор полное дерьмо стало.</t>
  </si>
  <si>
    <t>Владимир Охвайс</t>
  </si>
  <si>
    <t>Вуктыл Live</t>
  </si>
  <si>
    <t>19.07.2021 14:50</t>
  </si>
  <si>
    <t>Триколор,  скоро Олимпиада. Мы посмотрим её в 4K UHD? Я знаю, что ваши конкуренты готовят такое для своих абонентов. К сожалению  ссылку дать не могу, потому, что размещение ссылок  не имеющих отношение  к данному сообществу приведёт к удалению комментария автоматической системой удаления комментариев...☝ Согласно вашим правилам.</t>
  </si>
  <si>
    <t>Анатолий Иванов</t>
  </si>
  <si>
    <t>19.07.2021 14:49</t>
  </si>
  <si>
    <t>Телевидение и радио в Волгоградской области ждет профилактика 19-25 июля возможны кратковременные перерывы трансляции</t>
  </si>
  <si>
    <t>Триколору по фиг</t>
  </si>
  <si>
    <t>Виктор Попов</t>
  </si>
  <si>
    <t>Урюпинск и окрестности v2.0</t>
  </si>
  <si>
    <t>Урюпинск</t>
  </si>
  <si>
    <t>19.07.2021 15:04</t>
  </si>
  <si>
    <t>НАШЕ СООБЩЕСТВО СОЗДАНО ДЛЯ ПРОСТЫХ АБОНЕНТОВ ТРИКОЛОР, ГДЕ ОНИ МЕЖДУ СОБОЙ ОБСУЖДАЮТ ИХ ПОЛИТИКУ И ПРОЧЕЕ. НИКАКОГО</t>
  </si>
  <si>
    <t>Привет, я использую модуль условного доступа СИ + для просмотра триколора. Мой вопрос : с какой версией программного обеспечения является CI + CAM Dragu ? Заранее спасибо за помощь.</t>
  </si>
  <si>
    <t>Павел Стоянов</t>
  </si>
  <si>
    <t>Болгария</t>
  </si>
  <si>
    <t>Русе</t>
  </si>
  <si>
    <t>string instrument,electronic device,musical instrument,guitar,electronic instrument,computer hardware</t>
  </si>
  <si>
    <t>14:33</t>
  </si>
  <si>
    <t>20.07.2021 19:12</t>
  </si>
  <si>
    <t>Комплект спутникового телевидения Триколор ТВ Ultra HD GS B621 (Тариф Ultra 2500 в год)</t>
  </si>
  <si>
    <t>порядка 1500руб), ведь возвраты заказа по частям Озон не практикует, а снимать всё настроенное оборудование, чтобы обратно собрать комплект в коробочку уже нет никакой возможности. 
При попытке регистрации приемника выяснилось, что он уже зарегистрирован и нужно отправлять свои регистрационные данные для их изменения в Триколор, заявление сотрудники Триколор рассматривали два с половиной дня (в выходные, конечно, они не напрягались, соответственно в выходные я остался без телевидения, хотя отослал данные в пятницу). В случае нового комплекта обычно</t>
  </si>
  <si>
    <t>Владислав Ф.</t>
  </si>
  <si>
    <t>19.07.2021 17:04</t>
  </si>
  <si>
    <t>Интернет и высокие цены в России</t>
  </si>
  <si>
    <t>Но есть ,,спутниковый интернет  триколор ТВ хотя бы,,</t>
  </si>
  <si>
    <t>ДМИТРИЙ СМИРНОВ</t>
  </si>
  <si>
    <t>TD TV</t>
  </si>
  <si>
    <t>14:20</t>
  </si>
  <si>
    <t>Достоинства: хорошая тарелка, хороший продавец, хорошее изоображение и хорошая цена, в магазины не хожу, дотсавка быстрее
Недостатки: нет</t>
  </si>
  <si>
    <t>петр л.</t>
  </si>
  <si>
    <t>19.07.2021 14:19</t>
  </si>
  <si>
    <t>У нас анекс интернет, 1390 в месяц, интернет хороший, вайфай ловит по всему дому, роутер от Ростелекома в квартире ловил только в той комнате, где стоял роутер. Зато у Ростелекома было гораздо лучше телевидение. Триколор меня бесит.
Все договоры нужно перезаключать лично. Мы пока только свет сделали. Предстоит еще газ, мусор и вода.
Все хорошо, но со светом здесь беда беда. Напряжение скачет, обязательно нужен стабилизатор.</t>
  </si>
  <si>
    <t>Анна Савчук</t>
  </si>
  <si>
    <t>Люди, кто устанавливал спут.тарелку МТС? Интересует стоимость...</t>
  </si>
  <si>
    <t>Триколор лучше. Каналов больше. И сигнал лучше</t>
  </si>
  <si>
    <t>Светлана Савичева(Анищенкова)</t>
  </si>
  <si>
    <t>Каменск-Шахтинский</t>
  </si>
  <si>
    <t>Волченский</t>
  </si>
  <si>
    <t>19.07.2021 14:05</t>
  </si>
  <si>
    <t>Снова ложь и обман.С 19.07.2021 никакого перехода канала на 16:9 не было. Сверху и снизу чёрные полосы, изображение квадратное 4:3. Теперь какую следующую лживую дату напишут перехода канала на 16:9? Никогда канал Дисней не перейдёт на 16:9.</t>
  </si>
  <si>
    <t>HUAYU Пульт дистанционного управления для ресиверов (приставок) Триколор ТВ GS8306 / General Satellite</t>
  </si>
  <si>
    <t>Пришёл, хорошо упакован,все работает.</t>
  </si>
  <si>
    <t>19.07.2021 13:49</t>
  </si>
  <si>
    <t>Отличное приложение!!!!
v2.5.0</t>
  </si>
  <si>
    <t>Alexsashka Buda</t>
  </si>
  <si>
    <t>19.07.2021 14:20</t>
  </si>
  <si>
    <t>У меня телевизор LG на WebOS . Смотрю через Ott Player и SIPTV На всех каналах Зал (1-10) начинается воспроизведение всегда с одного и того же места и через пару минут останавливается и дальше постоянный буфер...</t>
  </si>
  <si>
    <t>Да эти залы уже давно накрылись и на самом триколор сдохли</t>
  </si>
  <si>
    <t>Станислав Пузырев</t>
  </si>
  <si>
    <t>look.tv Chat</t>
  </si>
  <si>
    <t>19.07.2021 19:16</t>
  </si>
  <si>
    <t>Дай бог чтоб все отремонтировали, без телевизора как то скучно</t>
  </si>
  <si>
    <t>Валентина Рогачёва</t>
  </si>
  <si>
    <t>26.07.2021 06:43</t>
  </si>
  <si>
    <t>Достоинства: работает
Недостатки: плохо тянет
Покупала для массажёра, очень плохо работает, можно сказать вообще не тянет.</t>
  </si>
  <si>
    <t>Валентина С.</t>
  </si>
  <si>
    <t>19.07.2021 18:20</t>
  </si>
  <si>
    <t>Пришло уведомление, что заканчивается подписка на Триколоре.
Продлять... Минимум Детский 1200р+ Общий 1500р = 2700р (36$)
А по идее надо бы брать Детский 1200р+ Общий UHD 2500р = 3700р (50$)
И что-то я задумался, а есть ли смысл? 
Может лучше вместо спутника завести IPTV через недавно приобретенную Ugoos AM6 Plus?
1) Качество картинки у настоящего спутника сейчас выше чем у IPTV или такое же?
2) Какой сервис выбрать, чтобы были каналы Discovery ну и куча детских на русском?
И чтобы рекламы не было встроенной всякой (бесит на триколоре).
Сайты ещё у этих сервисов дурацкие.
Зашел на Глянц ТВ - даже список каналов не могу нигде добыть.
И еще... что-то не хочется отдавать больше 3$/месяц.</t>
  </si>
  <si>
    <t>20.07.2021 20:16</t>
  </si>
  <si>
    <t>Комплект усилитель сотовой связи 900/2100, Триколор, TR-900/2100-50-kit</t>
  </si>
  <si>
    <t>Достоинства: Работает. Сигнал увеличивает в радиусе 3м от усилителя. Стены не «простреливает»</t>
  </si>
  <si>
    <t>Сергей Ч.</t>
  </si>
  <si>
    <t>19.07.2021 12:05</t>
  </si>
  <si>
    <t>Здравствуйте. Сегодня в 6 утра поменяли логотип и оформление на телеканале НСТ (Настоящее страшное телевидение). Смена</t>
  </si>
  <si>
    <t>Любимый канал!</t>
  </si>
  <si>
    <t>Светлана Сидорова</t>
  </si>
  <si>
    <t>11:22</t>
  </si>
  <si>
    <t>19.07.2021 11:27</t>
  </si>
  <si>
    <t>Сколько стоит пакет Единый на год, и Ночной на год, спасибо</t>
  </si>
  <si>
    <t>Алексей Агапов</t>
  </si>
  <si>
    <t>19.07.2021 11:16</t>
  </si>
  <si>
    <t>ЗА ТРИКОЛОР ТВ</t>
  </si>
  <si>
    <t>Триколор — это такая huйня.</t>
  </si>
  <si>
    <t>Камчатка плохая кошка! Не кушает отходы собак!!</t>
  </si>
  <si>
    <t>19.07.2021 19:22</t>
  </si>
  <si>
    <t>MECOOL K5 [Android]</t>
  </si>
  <si>
    <t>Hikvision @ 19.07.21, 12:25  /forum/index.php?act=findpost&amp;pid=108078140 видно сказывается жара )
каналы показывают на тех частотах что должны, правильно, а вы что от них хотите Как раз таки нет, как раньше и писал что не на тех частотах, вот например есть там такой канал тнв он бесплатный, а я его не нашёл на той частоте и его кстати вообще не нашёл. Если искать ручным поиском то находит всего лиш 50% а то и меньше каналов. Просто хотел узнать было ли у кого такая фигня. Я думаю щас найти когонит у кого есть триколор и подключить свою приставку и проверить тем самым головку тарелки. Ну и в на крайняк тут где-то выкладывали архив с отсканировпнным нтв+ залью его и буду осваивать шару.</t>
  </si>
  <si>
    <t>Angell2</t>
  </si>
  <si>
    <t>Hikvision @ 19.07.21, 12:07  /forum/index.php?act=findpost&amp;pid=108077829  Angell2,
всё правильно, а головка точно под круговую поляризацию ?
включение без дайсека ?У кого я брал тарелку говорит что раньше смотрел триколор как iptv пришло к нему, то ушёл от спутникового тв.</t>
  </si>
  <si>
    <t>10:16</t>
  </si>
  <si>
    <t>Hikvision @ 19.07.21, 12:07  /forum/index.php?act=findpost&amp;pid=108077829 так это и есть два пакета нтв + триколор
среди них есть открытые каналы, проверяйте на нихОткрытые отдельно искал и тоже нашёл, но тоже походу не все.</t>
  </si>
  <si>
    <t>19.07.2021 10:08</t>
  </si>
  <si>
    <t>Откуда взялась «антенна»? Жители ЖК «Государев Дом» спрашивают, на каком основании в их платёжках от МосОблЕИРЦ</t>
  </si>
  <si>
    <t>Алексей, дам совет, если хотите смотреть 200 каналов в отличном спутниковом качестве то поставьте себе Триколор, обслуживание 2 тыщ в год</t>
  </si>
  <si>
    <t>Алексей Романов</t>
  </si>
  <si>
    <t>ЖК Государев дом Гранель</t>
  </si>
  <si>
    <t>/forum/index.php?act=findpost&amp;pid=108077478  Angell2,
всё правильно, а головка точно под круговую поляризацию ?
включение без дайсека ?
Angell2 @ 18.07.21, 20:37  /forum/index.php?act=findpost&amp;pid=108070598 Всё же нашёл более 500 каналов.
так это и есть два пакета нтв + триколор
среди них есть открытые каналы, проверяйте на них
ProStoNiC @ 19.07.21, 10:06  /forum/index.php?act=findpost&amp;pid=108077814 прошьюсь или стоком или модом :), правильнее наверное последнее.
вот это правильно, мод он всяко лучше и вопросы тогда задавайте напрямую мододелу
Сообщение отредактировал Hikvision //4pda.to/forum/index.php?showuser=7447457  - Сегодня, 10:15</t>
  </si>
  <si>
    <t>Hikvision</t>
  </si>
  <si>
    <t>РАБОООТАЕЕЕТ!!!! РЕКОМЕНДУЮ!!!</t>
  </si>
  <si>
    <t>Людмила</t>
  </si>
  <si>
    <t>09:31</t>
  </si>
  <si>
    <t>21.07.2021 13:21</t>
  </si>
  <si>
    <t>Эфирный приемник BarTon ТН-562 DVB T2 Триколор</t>
  </si>
  <si>
    <t>Достоинства: хороший вариант
до этого был bbk,передача картинки с комнатной антенны постоянно зависала.этот аппарат тянет на 10 из 10 возможных</t>
  </si>
  <si>
    <t>Валерий П.</t>
  </si>
  <si>
    <t>20.07.2021 10:18</t>
  </si>
  <si>
    <t>AV-ресивер Denon AVR-X540BT</t>
  </si>
  <si>
    <t>Достоинства: Хороший звук
Недостатки: Проблемы с подключением триколор. При переключении программ на триколоре слетают настройки звука, начинается шипение. необходимо переключать режим звука. С чем связано не знаю, может приемник триколор так себя ведет.</t>
  </si>
  <si>
    <t>Иван В.</t>
  </si>
  <si>
    <t>09:14</t>
  </si>
  <si>
    <t>19.07.2021 09:15</t>
  </si>
  <si>
    <t>Всем привет, из-за плохой связи задумал купить антенный усилитель сигнала. Кто подскажет, какие ближайшие вышки с</t>
  </si>
  <si>
    <t>Легче триколор тв купить. Или другую тарелку.</t>
  </si>
  <si>
    <t>Вячеслав Селянин</t>
  </si>
  <si>
    <t>Седова Заимка</t>
  </si>
  <si>
    <t>19.07.2021 16:41</t>
  </si>
  <si>
    <t>Брак вещания каналов Триколора</t>
  </si>
  <si>
    <t>Пожалуйста, исправьте в потоке атрибут соотношения сторон кадра на каналах Зоо ТВ, Телепутешествия, Тонус, Феникс плюс Кино.
Должно быть 16:9.</t>
  </si>
  <si>
    <t>3_0_64</t>
  </si>
  <si>
    <t>09:10</t>
  </si>
  <si>
    <t>19.07.2021 22:45</t>
  </si>
  <si>
    <t>Отличный персонал, квалифицированная помощь</t>
  </si>
  <si>
    <t>Александр Н.</t>
  </si>
  <si>
    <t>08:58</t>
  </si>
  <si>
    <t>19.07.2021 09:13</t>
  </si>
  <si>
    <t>До заводских сбрасывал, через интернет обновил. Всё равно в пункте по модуля пустая строка.</t>
  </si>
  <si>
    <t>Агиль Байрамов</t>
  </si>
  <si>
    <t>08:07</t>
  </si>
  <si>
    <t>20.07.2021 13:59</t>
  </si>
  <si>
    <t>Детский
Отлично</t>
  </si>
  <si>
    <t>еленчер</t>
  </si>
  <si>
    <t>Работает на отлично !</t>
  </si>
  <si>
    <t>19.07.2021 06:57</t>
  </si>
  <si>
    <t>Владислав, а фильм Тихое Место 2 стоит 899 р. Трикал  отжигает!!!!</t>
  </si>
  <si>
    <t>06:49</t>
  </si>
  <si>
    <t>19.07.2021 07:13</t>
  </si>
  <si>
    <t>Первый тест STARLINK: интернет Илона Маска за $99!</t>
  </si>
  <si>
    <t>и в чем отличие от россиских триколора и прочей хуеты где месяц стоит 1000 р а оборудование 7-10 к а скорость одинаковая</t>
  </si>
  <si>
    <t>SMOKY player</t>
  </si>
  <si>
    <t>808</t>
  </si>
  <si>
    <t>06:12</t>
  </si>
  <si>
    <t>19.07.2021 12:47</t>
  </si>
  <si>
    <t>Новые ресиверы триколор B533m, B520 - 3300р.</t>
  </si>
  <si>
    <t>Юрга писал(а):520 точно новые?
Новые, пишите в вайбер, вацап, фото скину.</t>
  </si>
  <si>
    <t>alex63</t>
  </si>
  <si>
    <t>20.07.2021 00:19</t>
  </si>
  <si>
    <t>01 Properties и Кирилл Шамалов купили 3,8% "Сибура" за $100</t>
  </si>
  <si>
    <t>молоко в магазине.
16 мая 2013 года помощник Шамалова Денис Никиенко прислал ему идею приобретения долей сразу в трех компаниях — «Ростелекоме», Tele2 и «Триколор ТВ», — чтобы впоследствии объединить их в «национального телекоммуникационного лидера», как говорилось в записке. Общая стоимость реализации этой идеи составляла около 9 миллиардов долларов. Откуда Шамалов мог взять такие деньги? Никиенко объяснял в записке:
«Финансовой основой для приобретения предлагается рассмотреть кредитные ресурсы ВТБ, Сбербанка и Газпромбанка. При этом в целях</t>
  </si>
  <si>
    <t>044ua.com</t>
  </si>
  <si>
    <t>02:17</t>
  </si>
  <si>
    <t>19.07.2021 05:57</t>
  </si>
  <si>
    <t>Ресиверы часто "летят' , увы.....</t>
  </si>
  <si>
    <t>Городская дачница</t>
  </si>
  <si>
    <t>01:41</t>
  </si>
  <si>
    <t>19.07.2021 01:41</t>
  </si>
  <si>
    <t>Триколор, а в чём ещё ценность увеличилась,помимо новых каналов ?</t>
  </si>
  <si>
    <t>19.07.2021 07:28</t>
  </si>
  <si>
    <t>Смотрю "Прямой эфир - "Славянский базар-2021" Нравится! Сумишевский зажигал, Панайотов хорош. Наш Кадыров супер, Димаш в</t>
  </si>
  <si>
    <t>Лена Гуринова, а я по Триколор ТВ смотрю, ваш канал БелРос, по ТВ интереснее, большой экран, так красиво всё, мне нравится. А какой сейчас номер был необычный, как сказал ведущий - номер восхитительный, хотя не песня  ...</t>
  </si>
  <si>
    <t>19.07.2021 01:36</t>
  </si>
  <si>
    <t>Уважаемые москвичи! В первую очередь жители районов Гагаринский, Академический, Ломоносовский и Проспект Вернадского</t>
  </si>
  <si>
    <t>Я против нового срока мэра Собянина.</t>
  </si>
  <si>
    <t>00:55</t>
  </si>
  <si>
    <t>19.07.2021 10:13</t>
  </si>
  <si>
    <t>Приставка Триколор-ТВ GS B626L: спутниковая тарелка не нужна</t>
  </si>
  <si>
    <t>Мекул к5 купил на андрюшке за такую цену.Там есть и спутник и эфирная цифра и приложений накидал типа тор серва и кинотренда.Смори не хочу.И зачем этот хлам в который не поставишь сторонние приложения.Даже в LG  и самсунг телики можно стороние приложения ставить через тот же форк плеер.</t>
  </si>
  <si>
    <t>Вован Иванов</t>
  </si>
  <si>
    <t>20.07.2021 10:48</t>
  </si>
  <si>
    <t>Под каждым обзором тв-приставок нас спрашивали — а будет ли на ней работать Триколор? Настало время разобрать по косточкам новую приставку Триколор-ТВ GS B626L, которой не нужна ни спутниковая тарелка, ни, похоже, покупатели. Все от покупки и регистрации этого устройства до тестирования интерфейса фирменного Stingray TV в нашем обзоре. И да, мы потратили деньги для того, чтобы их не тратили вы.
https://www.youtube.com/embed/1SBIbJI3czM
Содержание:
00:00 - Кратко о главном
00:37 - Что такое Триколор?
01:29 - Что в коробке?
02:26 - Как мы</t>
  </si>
  <si>
    <t>content-review.com</t>
  </si>
  <si>
    <t>19.07.2021 17:17</t>
  </si>
  <si>
    <t>Баянный вопрос. Антенна для дачи.</t>
  </si>
  <si>
    <t>Сейчас в глуши на каждом сарае антена триколор Так что это не признак достатка давно. Не 2001 год точно...</t>
  </si>
  <si>
    <t>18.07.2021</t>
  </si>
  <si>
    <t>А у меня телевизор работает через интернет</t>
  </si>
  <si>
    <t>Марина Сушнова</t>
  </si>
  <si>
    <t>18.07.2021 23:44</t>
  </si>
  <si>
    <t>Золотая коллекция Мосфильма , опять с каналом проблемы , не работает он один из всех , триколор Сибирь !</t>
  </si>
  <si>
    <t>Если не поможет то Позвоните в техническую поддержку Триколор ТВ</t>
  </si>
  <si>
    <t>Радик Ситдиков</t>
  </si>
  <si>
    <t>Марий Эл</t>
  </si>
  <si>
    <t>Волжск</t>
  </si>
  <si>
    <t>18.07.2021 23:43</t>
  </si>
  <si>
    <t>В такой ситуации можно проверить сила качество сигнала в настройках</t>
  </si>
  <si>
    <t>18.07.2021 23:53</t>
  </si>
  <si>
    <t>Радик, ну да , канал вообще исчезнет , при сканировании пишет проблема с транспондером  ..</t>
  </si>
  <si>
    <t>18.07.2021 23:40</t>
  </si>
  <si>
    <t>@JAVAROB2 @darinka_k92 Я у дядьки включил в настройках, правда у него старый телевизор филипс и довольно новый приёмник триколора. При включении приёмника, телевизор включается автоматически. А вот выключаться не хочет зараза.</t>
  </si>
  <si>
    <t>Александр</t>
  </si>
  <si>
    <t>Готовы платить деньги и потом сидеть перезагружать устройство? Я - нет.</t>
  </si>
  <si>
    <t>23:00</t>
  </si>
  <si>
    <t>Очевидно, что это было бы отражено в документации. Скорее всего это сервисный разьем</t>
  </si>
  <si>
    <t>Смарт приставкой я бы это чудо называть не стал. А спутниковые тюнеры можно взять сильно дешевле.</t>
  </si>
  <si>
    <t>19.07.2021 01:32</t>
  </si>
  <si>
    <t>БОЛЬШАЯ СОВМЕСТНАЯ ПОКУПКА</t>
  </si>
  <si>
    <t>Теперь к нему надо антенну ,, триколор,,.</t>
  </si>
  <si>
    <t>Mysterious</t>
  </si>
  <si>
    <t>ЮЛЬКИНЫ МЕЧТЫ</t>
  </si>
  <si>
    <t>20.07.2021 18:45</t>
  </si>
  <si>
    <t>Адаптер USB беспроводной 802.11 WI-FI для ресиверов Триколор 150 Mbps</t>
  </si>
  <si>
    <t>Рабочий аппарат.</t>
  </si>
  <si>
    <t>Андрей Р.</t>
  </si>
  <si>
    <t>18.07.2021 22:07</t>
  </si>
  <si>
    <t>Или обновите через интернет</t>
  </si>
  <si>
    <t>Александр Зубков</t>
  </si>
  <si>
    <t>Пески</t>
  </si>
  <si>
    <t>18.07.2021 21:59</t>
  </si>
  <si>
    <t>Триколор, с чего в Триколор решили, что Клиенты будут отказываться от своих денег в пользу компании? Это не благотворительность. Или вы благотворительная организация? Но так покажите всем, куда идут эти деньги. Нет же этой информации?
Вот вы тут в комментариях пишите, что мол "технологии не стоят на месте". А получается Триколор стоит на месте? Да?
Около половины телеканалов из всего, что вещается через Триколор - ваши. Телеканалы Триколор. Например, "Футбольный". А есть ещё сомнительные "кинозалы" и "магазины на диване". Это так Триколор</t>
  </si>
  <si>
    <t>18.07.2021 21:56</t>
  </si>
  <si>
    <t>Добрый день! Уважаемые соседи,кто нибудь устанавливал Телевизионную тарелку Триколор?! Можно ли...установить тарелку на</t>
  </si>
  <si>
    <t>В квартиру заведен кабель обший онтены</t>
  </si>
  <si>
    <t>Таня Чистякова</t>
  </si>
  <si>
    <t>ЖК Цветной Город</t>
  </si>
  <si>
    <t>18.07.2021 21:52</t>
  </si>
  <si>
    <t>Сбрось настройки до заводских.</t>
  </si>
  <si>
    <t>Дмитрий Иванов</t>
  </si>
  <si>
    <t>19.07.2021 04:43</t>
  </si>
  <si>
    <t>Китайский но хороший</t>
  </si>
  <si>
    <t>Всем привет. Приёмник GS 528 триколор. Не обновился модуль. Теперь не находит список регионов. И соответственно каналы. Подскажите пожалуйста что делать?</t>
  </si>
  <si>
    <t>18.07.2021 22:47</t>
  </si>
  <si>
    <t>У нас тоже так было, новую покупали.</t>
  </si>
  <si>
    <t>Хозяйство для души</t>
  </si>
  <si>
    <t>19.07.2021 10:49</t>
  </si>
  <si>
    <t>Достоинства: Нету. Разве что вы пенсионер и живете в селе без интернета (либо не умеете им пользоваться).
Недостатки: Постоянно слетают каналы и приходится их устанавливать. Качество картинки отвратительное.
Эта вещь уже давно неактуальна.</t>
  </si>
  <si>
    <t>Анатолий Логинов</t>
  </si>
  <si>
    <t>20.07.2021 04:38</t>
  </si>
  <si>
    <t>Проблемы с просмотром Триколор ТВ</t>
  </si>
  <si>
    <t>Здравствуйте!
После переноса антенны и перенастройки ресивера, при включении любого канала появляется ошибка 13. Что делать?</t>
  </si>
  <si>
    <t>Машинариум</t>
  </si>
  <si>
    <t>Поздно опомнились, господа триколоровцы.
Многие ушли к пиратским сервисам, которые по удобству просто 
Триколор застрял со всей приставкой в нулевых.</t>
  </si>
  <si>
    <t>Александр Геннадьевич</t>
  </si>
  <si>
    <t>18.07.2021 21:01</t>
  </si>
  <si>
    <t>Здравствуйте вы не подскажите кто занимается ремонтом Триколор ТВ?</t>
  </si>
  <si>
    <t>Случилось купить ТРИКОЛОР ТВ . Переходите на Спутниковое от МТС.</t>
  </si>
  <si>
    <t>Artem Galuev</t>
  </si>
  <si>
    <t>Услышано | Вичуга</t>
  </si>
  <si>
    <t>18.07.2021 21:13</t>
  </si>
  <si>
    <t>Сергей, они ещё должны мне. В течении трёх лет долбали обнови оборудование. А потом на три дня почти каждый месяц вещание блокировались.</t>
  </si>
  <si>
    <t>Вот почему я должен отказываться от МОИХ денег. Неважно какая сумма. Хоть 3 копейки.</t>
  </si>
  <si>
    <t>20:52</t>
  </si>
  <si>
    <t>Але триколор ,комментарии будут? Или как всегда отмалчиваться будете.</t>
  </si>
  <si>
    <t>Нормально. Просто там каналы которых нет на цифровом. Обойдусь  до хорошего интернета. А  там поставят и все будет. Спасибо вам</t>
  </si>
  <si>
    <t>Да сильно то и не беда. Скоро будет интернет нормальный все подключим. А от триколор надо отказываться</t>
  </si>
  <si>
    <t>18.07.2021 20:59</t>
  </si>
  <si>
    <t>Приложение ужастное,иногда отерываеться иногда нет,половино функции не доступно
v2.5.0</t>
  </si>
  <si>
    <t>Виталий Лопатин</t>
  </si>
  <si>
    <t>Да Наталья. Наверное тоже откажемся. Вот интернет проведут нормальный. К осени обешали</t>
  </si>
  <si>
    <t>20:37</t>
  </si>
  <si>
    <t>18.07.2021 20:52</t>
  </si>
  <si>
    <t>Добрый день Подскажите пожалуйста какие частоты на каналы +2 приёмник gs b5210</t>
  </si>
  <si>
    <t>Здравствуйте, Настройка каналов +2
1,Меню 2 Приложение 3 Поиск каналов 4 Ручной поиск
5.Спутник Экспресс АМУ1
6.Частота 11996 / Скорость 27500
7 Поляризация Авто
Сетевой поиск Отключён
Пропуск кодированных Отключён
Потом нажать начать поиск после чего их нужно искать в разделе Ручной поиск после нажатия кнопки ОК (общий список). Также ненужные каналы можно удалить через приложение редактор каналов.</t>
  </si>
  <si>
    <t>19.07.2021 05:31</t>
  </si>
  <si>
    <t>Всем привет. Решил заменить старую приставку(не вытягивает современные реалии, хотя т2 работает идеально) на м5. Нужна была приставка с iptv зимой для города и Т2 для дачи летом. С iptv  Т2 проблем нет все хорошо, но человек это такая.........., ему все время чего-то не хватает, и захотелось мне спутника (ни когда не имел с ним дела), а когда увидел что на авито антенна с конвектором стоит от500 до 1000р, и шара вообще копейки, то решил что точно надо. Позвонил по товарищам и нашол у одного тарелку в гараже лет 5 которая уже валяется. Короче</t>
  </si>
  <si>
    <t>18.07.2021 20:32</t>
  </si>
  <si>
    <t>Я хочу чтоб люди не ошибались выбирая себе провайдера. Если вы хотите чтоб люди не уходили от вас или вас выбирали, то надо предоставить им интересные передачи и не навязывать обмен оборудования если ещё старое работает. Да и ещё посмотрите ваш договор о расторжении услуг. Это смешно, но там есть пункт 3) Отказываюсь от денежных средств в пользу НАО "Национальная Спутниковая Компания".</t>
  </si>
  <si>
    <t>Достоинства: рабочий адаптер, установил драйвера, свое дело делает</t>
  </si>
  <si>
    <t>А что комментарии удаляете. Или не правду написал?</t>
  </si>
  <si>
    <t>Да беда у нас мужик за ремонт такой аппаратуры около семи тысяч отдал</t>
  </si>
  <si>
    <t>Екатерина Фетисова</t>
  </si>
  <si>
    <t>19.07.2021 05:15</t>
  </si>
  <si>
    <t>Орегинал брал за 600 и не надолго хватило.</t>
  </si>
  <si>
    <t>19.07.2021 05:11</t>
  </si>
  <si>
    <t>За эти деньги стоит.</t>
  </si>
  <si>
    <t>19:40</t>
  </si>
  <si>
    <t>19.07.2021 02:16</t>
  </si>
  <si>
    <t>На телевизоре какие то ошибки пишет, тут смысл проверить антенну и наличие сигнала ну и банально нет блокировки за оплату.  Больше своими силами ничего не сделаешь. Все должно быть в описании на приставку.</t>
  </si>
  <si>
    <t>Владимир Сергеев</t>
  </si>
  <si>
    <t>19.07.2021 01:05</t>
  </si>
  <si>
    <t>Обзор Платформы Яндекс ТВ с Алисой для Телевизоров на Android Smart TV</t>
  </si>
  <si>
    <t>Можно ли на этот телевизор скачать приложение Триколор кино и ТВ?...</t>
  </si>
  <si>
    <t>WiFiKA RU</t>
  </si>
  <si>
    <t>GS SLIN-52E спутниковый конвертор (для Триколор и НТВ+)</t>
  </si>
  <si>
    <t>Недостатки: Нет их
Получили в коробке, все запечатано было</t>
  </si>
  <si>
    <t>Дарья Б.</t>
  </si>
  <si>
    <t>Достоинства: Нажатия кнопок
Недостатки: Их нет
Хорошо нажимаются кнопки</t>
  </si>
  <si>
    <t>Раньше "Триколор" лучше был, а потом пошли то обновления ПО, то замена ресиверов, мы тоже отказались, уже год назад. А вам желаю удачи!</t>
  </si>
  <si>
    <t>Наталья Савельева</t>
  </si>
  <si>
    <t>20.07.2021 01:32</t>
  </si>
  <si>
    <t>Триколор
Отлично все</t>
  </si>
  <si>
    <t>Cvet-65</t>
  </si>
  <si>
    <t>18.07.2021 18:51</t>
  </si>
  <si>
    <t>Олег, не уверен что в модеме от Белтелекома есть такое счастье. В этом случае советуют прописывать российский ай пи. Но эти танцы с бубном не для меня. Основные каналы остались для меня по тарелке. Есть онлайн? Хорошо... Нету? Ну и мать его ё...</t>
  </si>
  <si>
    <t>У нас пропал сигнал</t>
  </si>
  <si>
    <t>Сидоровы Дарья и Владимир</t>
  </si>
  <si>
    <t>Старая Вичуга</t>
  </si>
  <si>
    <t>20.07.2021 23:50</t>
  </si>
  <si>
    <t>HD Телевизор Ganzer TV24-HS2G 24"</t>
  </si>
  <si>
    <t>Достоинства: Лёгкий, простоневесомый. Все функции работают отлично. Лёгок в управлении. На телевизоре подключён сервис Google play и все приложения IVI, Megogo, Ютуб, Okko, Wink, Триколор устанавливаются с лёгкостью.  Также можно скачивать игры, какие Вам нравятся и на нем  играть. Яркая картинка и очень большая чёткость. Сочетание цены и качества превосходное!!!</t>
  </si>
  <si>
    <t>Родина О.</t>
  </si>
  <si>
    <t>20.07.2021 01:50</t>
  </si>
  <si>
    <t>3_0_64 писал(а):Пожалуйста, исправьте в потоке атрибут соотношения сторон кадра на каналах Зоо ТВ, Телепутешествия, Тонус, Феникс плюс Кино.
Теперь на каналах Зоо ТВ, Телепутешествия, Тонус правильное соотношение сторон.
Остался один неправильный канал - "Феникс плюс Кино". Если технически невозможно исправить формат кадра, может просто прекратить вещание этого канала?</t>
  </si>
  <si>
    <t>Здравствуйте рекомендую сбросить ваш приемник на заводские настройки после этого Должно всё показывать на 90%</t>
  </si>
  <si>
    <t>18.07.2021 18:36</t>
  </si>
  <si>
    <t>Пользуюсь 12 лет. Всё замечательно!!!
v2.5.0</t>
  </si>
  <si>
    <t>Andrei Elagin</t>
  </si>
  <si>
    <t>18.07.2021 18:11</t>
  </si>
  <si>
    <t>Олег, не скажу. Просто заметил при очередном обновлении ПО всё вернулось. Но это возможно случилось и раньше, просто я не замечал. Здесь же у них такая фигня пошла под профилактику, думай что хочешь когда им стукнет в голову вернуть. 8304 приемник по наглому раз-два в год  режут на несколько дней, даже не смотрят что у людей оплачено. Триколор тот ещё беспредельщик.  Сами россияне с ним ругаются без толку, что уже говорить про нас, левых пассажиров.</t>
  </si>
  <si>
    <t>18.07.2021 17:25</t>
  </si>
  <si>
    <t>Триколор, Да вы что!!! К счастью я использую модуль! Вместо того что бы выпускать каждый год новую модель, сфокусируйтесь на Тв каналах .</t>
  </si>
  <si>
    <t>19.07.2021 00:31</t>
  </si>
  <si>
    <t>520 точно новые?</t>
  </si>
  <si>
    <t>Юрга</t>
  </si>
  <si>
    <t>18.07.2021 17:14</t>
  </si>
  <si>
    <t>Анон. Всем привет!! Как поступить даже не знаю? Вчера вконтакте мне написала девушка, что они открыли интернет магазин</t>
  </si>
  <si>
    <t>Я выигрывала систему видео наблюдения от триколор, курьер у них 350р стоил, но мне он привез все, да и группа официальная была триколор</t>
  </si>
  <si>
    <t>Олеся Грачева</t>
  </si>
  <si>
    <t>Клуб Омских Мам</t>
  </si>
  <si>
    <t>18.07.2021 17:08</t>
  </si>
  <si>
    <t>Андрей, а прошлый раз не помнишь на сколько дней они резанули?</t>
  </si>
  <si>
    <t>Олег Астрейко</t>
  </si>
  <si>
    <t>Минская область</t>
  </si>
  <si>
    <t>Солигорск</t>
  </si>
  <si>
    <t>18.07.2021 16:47</t>
  </si>
  <si>
    <t>ip tv в приоритете ,
Если есть инет 
.
Либо приемник с си+ слотом и инет подключением
На какой нить OS</t>
  </si>
  <si>
    <t>18.07.2021 17:32</t>
  </si>
  <si>
    <t>Прдложили сменить бесплатно приемник 5дней жду што перезвонят .Тишина.Компания работает отвратительно</t>
  </si>
  <si>
    <t>Рита Поварова</t>
  </si>
  <si>
    <t>18.07.2021 16:14</t>
  </si>
  <si>
    <t>Михаил, давай ты зайди на триколор посмотри пакеты и стоимость и зайди на сайт нтв и сравни...что лучше</t>
  </si>
  <si>
    <t>Юрий Полянских</t>
  </si>
  <si>
    <t>Медвежьегорск</t>
  </si>
  <si>
    <t>18.07.2021 16:06</t>
  </si>
  <si>
    <t>18.07.2021 15:32</t>
  </si>
  <si>
    <t>Реклама-вот ваша главная цель!
v2.5.0</t>
  </si>
  <si>
    <t>Анатолий Яковлев</t>
  </si>
  <si>
    <t>19.07.2021 04:59</t>
  </si>
  <si>
    <t>Хороший блок, покупал для тв приставки, работает уже более месяца, заказываю еще для светодиодной ленты</t>
  </si>
  <si>
    <t>18.07.2021 15:07</t>
  </si>
  <si>
    <t>Было два телевизора,остался один.До конца подписки осталось 48 дней.Оплачено за два телевизора.можно ли деньги со</t>
  </si>
  <si>
    <t>активированая подписка переноситься 1.20 за сутки   в деньги, если на счете лежит N-я сумма, то в полном обьеме по заявлению.</t>
  </si>
  <si>
    <t>Виталий Конев</t>
  </si>
  <si>
    <t>Уржум</t>
  </si>
  <si>
    <t>18.07.2021 14:49</t>
  </si>
  <si>
    <t>Отдых в Крыму, Только НАТО не показывайте.</t>
  </si>
  <si>
    <t>лутше зделайте онлайн тв на смарт тв лджи выпуск 2021 г где все фильмы есть свои любимые и каналы и радио не как триколор не иприсылает каналы и нету нормалтьных фильмов которые просиш у них и не могут зделать раздел радио</t>
  </si>
  <si>
    <t>☭✯Щука Путина©✯☭</t>
  </si>
  <si>
    <t>18.07.2021 14:46</t>
  </si>
  <si>
    <t>Олег, у меня изначально тарелка, лет 10. Был GS8304, года два назад уехал на дачу. Поставил В534М, онлайн ТВ работал на нём не всегда. Так что это не первый раз режут. Пока буду юзать спутник.</t>
  </si>
  <si>
    <t>18.07.2021 17:17</t>
  </si>
  <si>
    <t>Отвратительный пульт. Кнопки надо вдавливать, чтобы отклик был. Хлюпенький.</t>
  </si>
  <si>
    <t>Достоинства: все работает, хороший пульт и гараздо дешевли чем у трикалора</t>
  </si>
  <si>
    <t>Антон С.</t>
  </si>
  <si>
    <t>18.07.2021 21:49</t>
  </si>
  <si>
    <t>заставки и анонсы Телеканал Карусель 2012-2015 год</t>
  </si>
  <si>
    <t>Канал Карусель в Триколор ТВ Это Для Детей</t>
  </si>
  <si>
    <t>Антон Данилин</t>
  </si>
  <si>
    <t>Песик Рексио</t>
  </si>
  <si>
    <t>18.07.2021 14:24</t>
  </si>
  <si>
    <t>Как же дико достали спамовые письма, которые шлют прямо на экран во время эфира, мешая спокойному просмотру того, за что</t>
  </si>
  <si>
    <t>В приложении триколор,в личном кабинете,чат с тех.поддержкой</t>
  </si>
  <si>
    <t>Oleg Prav</t>
  </si>
  <si>
    <t>18.07.2021 14:06</t>
  </si>
  <si>
    <t>За эту цену МТС комплект новый продаю 3990р. А триколор сейчас все снимают и выкидываю а вы 4000 хотите</t>
  </si>
  <si>
    <t>14:04</t>
  </si>
  <si>
    <t>18.07.2021 14:34</t>
  </si>
  <si>
    <t>Оплата дорогая, 1200 - самое то. Лучше, если без наворотов, чтобы за 600 рублей 50 основных каналов были
v2.5.0</t>
  </si>
  <si>
    <t>Александр Гудков</t>
  </si>
  <si>
    <t>18.07.2021 13:58</t>
  </si>
  <si>
    <t>Для оплаты в сбербанк онлайн нет выбора пакета единый, только единый экстра триколор онлайн,если выберу этот пакет я смогу</t>
  </si>
  <si>
    <t>Галина Константинова</t>
  </si>
  <si>
    <t>18.07.2021 13:51</t>
  </si>
  <si>
    <t>Если я оплачу единый экстра триколор онлайн будет ли показывать у меня телевизоры 1500или дороже, онлайна нет</t>
  </si>
  <si>
    <t>Работает, дешевле, чем в магазине.</t>
  </si>
  <si>
    <t>18.07.2021 13:44</t>
  </si>
  <si>
    <t>У меня ресивер gs b211 пропадает изображение что за херня нет сигнала чё делать</t>
  </si>
  <si>
    <t>Поменяй адаптер питания... И все .</t>
  </si>
  <si>
    <t>20.07.2021 23:11</t>
  </si>
  <si>
    <t>Достоинства: работает
Недостатки: нет</t>
  </si>
  <si>
    <t>Александр В.</t>
  </si>
  <si>
    <t>13:14</t>
  </si>
  <si>
    <t>18.07.2021 13:38</t>
  </si>
  <si>
    <t>Смотрите самый качественный и разнообразный контент в одной подписке – «Единый Ultra»!
 Через спутник
✓ Смотрите больше 200 каналов с самым большим в России выбором спутниковых в формате Ultra HD. 
 Через интернет
✓ Смотрите больше 170 каналов,
10000+ фильмов и сериалов в онлайн-кинотеатре на сайте kino.tricolor.tv или в приложении «Триколор Кино и ТВ»,
эксклюзивные российские сериалы, фильмы и шоу видеосервиса PREMIER.
 В подписку «Единый Ultra» включена услуга «Мультирум» – это значит, что вы можете смотреть каналы подключённых дополнительных пакетов сразу на двух телевизорах.
Подробности по ссылке  https://ok.me/laVk</t>
  </si>
  <si>
    <t>text,payment card,software</t>
  </si>
  <si>
    <t>Смотрите самый качественный и разнообразный контент в одной подписке – «Единый Ultra»!
 Через спутник
✓ Смотрите больше 200 каналов с самым большим в России выбором спутниковых в формате Ultra HD. 
 Через интернет
✓ Смотрите больше 170 каналов,
10000+ фильмов и сериалов в онлайн-кинотеатре на сайте kino.tricolor.tv или в приложении «Триколор Кино и ТВ»,
эксклюзивные российские сериалы, фильмы и шоу видеосервиса PREMIER.
 В подписку «Единый Ultra» включена услуга «Мультирум» – это значит, что вы можете смотреть каналы подключённых дополнительных пакетов сразу на двух телевизорах.
Подробности по ссылке  https://clck.ru/UgJXw</t>
  </si>
  <si>
    <t>https://scontent-arn2-2.xx.fbcdn.net/v/t1.6435-9/p960x960/217405641_4095211523866420_2952309687417338335_n.png?_nc_cat=105&amp;ccb=1-3&amp;_nc_sid=730e14&amp;_nc_ohc=7SYViwBQa4sAX-TAj1Y&amp;_nc_ad=z-m&amp;_nc_cid=0&amp;_nc_ht=scontent-arn2-2.xx&amp;oh=3db9d880ce12cdbe9d21fdfac4044e20&amp;oe=60F9BEA6</t>
  </si>
  <si>
    <t>12:49</t>
  </si>
  <si>
    <t>18.07.2021 13:03</t>
  </si>
  <si>
    <t>Юрий, и на большинстве каналов будет написано : ТРАНСЛЯЦИЯ ЗАПРЕЩЕНА ПРАВООБЛАТЕЛЕМ. берите берите</t>
  </si>
  <si>
    <t>Диана Журавская</t>
  </si>
  <si>
    <t>18.07.2021 12:49</t>
  </si>
  <si>
    <t>Очевидно, что ТВ в нынешнем его формате всё равно вымрет со временем, а как дела обстоят сейчас? Где вы чаще смотрите</t>
  </si>
  <si>
    <t>OttPlayer, но приходится мирится с минутной задержкой, на важные матчи Евро приходилось из другой комнаты приемник Триколора тащить</t>
  </si>
  <si>
    <t>Михаил Карпенко</t>
  </si>
  <si>
    <t>12:45</t>
  </si>
  <si>
    <t>18.07.2021 12:46</t>
  </si>
  <si>
    <t>Добрый день. Канал Мосфильм. Золотая коллекция (sd) на 11804 L 27500 3/4 черный экран. Это Триколор ТВ - Центр. Ресивер</t>
  </si>
  <si>
    <t>Триколор Сибирь , канал золотая коллекция Мосфильма  не работает , картинка то появляется то исчезает ,думал что с антенной , перенастроили , все каналы работают отлично один этот придуривается</t>
  </si>
  <si>
    <t>18.07.2021 12:42</t>
  </si>
  <si>
    <t>Таня, Тоесть Вы,протянули кабель,и купили приставку и 70 каналов показывает? Так я понимаю)</t>
  </si>
  <si>
    <t>Вишенка Прямая</t>
  </si>
  <si>
    <t>12:16</t>
  </si>
  <si>
    <t>18.07.2021 14:18</t>
  </si>
  <si>
    <t>Сравниваем интернет 3G и спутниковый от Триколор какой быстрее</t>
  </si>
  <si>
    <t>Лучше млять к старлинку подключиться, те-же деньги, но качество услуг гораздо лучше.</t>
  </si>
  <si>
    <t>PenGuiN -AiR</t>
  </si>
  <si>
    <t>Семья В селе</t>
  </si>
  <si>
    <t>18.07.2021 11:42</t>
  </si>
  <si>
    <t>Покупай ресивер с подключением к инету. из новых GS B621 L у меня такой , пока всё норм. там правда ещё один ресивер идет с ним, маленький для второго ТВ. Можно смотреть , ну типа IP ТВ даже то что было неделю назад или сначала какойто фильм, передачу, правда не все каналы этот режим поддерживают, но многие. как то так.</t>
  </si>
  <si>
    <t>18.07.2021 14:38</t>
  </si>
  <si>
    <t>Как подключить вторую приставку Триколор ТВ через кабель UTP</t>
  </si>
  <si>
    <t>Работать через приёмник  cs 527</t>
  </si>
  <si>
    <t>Новый Вилсаком</t>
  </si>
  <si>
    <t>18.07.2021 11:36</t>
  </si>
  <si>
    <t>Пацаны что совсем плохо заказами этим летом. Работаю на Сити Мобил. Бонусные зоны по "300 руб" стали... цепочка заказов</t>
  </si>
  <si>
    <t>Поэтому летний отдых.... В деревне.... В построенном (как чувствовали) до пандемии доме ..... Правда ни грибы, ни ягоды ни рыбалку не люблю..... Не бухаю не курю ..... Поэтому отдыхается чуть тяжело - хорошо, что Инет от Йоты есть и спутник ТВ от Триколора.... Не поверите - но даже баню впадлу топить... . Не могу понять, как вообще такой длинный пост пишу - просто за завтраком кашу уже схрумкал, кофе выпил - со стула встать впадлу .... Приходится писать всякую хрень пока организм отойдет -а ведь скоро обед!</t>
  </si>
  <si>
    <t>Григорий Денисенко</t>
  </si>
  <si>
    <t>Таксисты СПб</t>
  </si>
  <si>
    <t>11:32</t>
  </si>
  <si>
    <t>это тупо спрашивать совета у людей, которые до сих пор с древними приёмными оборудованиями сидят, ну по всем характеристикам берите GS B523L, спутниковая тарелка 0.6м или больше, но и стандартный триколоровский норм, а как у других операторов, хз</t>
  </si>
  <si>
    <t>18.07.2021 11:31</t>
  </si>
  <si>
    <t>За показ РПЛ будут бороться 4 компании: «Матч ТВ», ОККО, «Яндекс» и «Старт» (Мегафон и Мэйл) ОККО готовы платить 3 млрд</t>
  </si>
  <si>
    <t>А что же телеканал Футбольный из Триколор Тв не борется?</t>
  </si>
  <si>
    <t>Сергей Лозбичев</t>
  </si>
  <si>
    <t>Судогда</t>
  </si>
  <si>
    <t>18.07.2021 11:30</t>
  </si>
  <si>
    <t>Олег, с...ка((( значит жди когда придут и заставят снять саму тарелку. Да здравствует наш великий руководитель Ким-Чен-Лук...</t>
  </si>
  <si>
    <t>Пульт работает</t>
  </si>
  <si>
    <t>09:55</t>
  </si>
  <si>
    <t>Привезла из Москвы ресивер на два телевизора Триколор, здесь мастер установил, плачу 2 тыс в год, если раньше болгарский просил 20 лв каждый месяц</t>
  </si>
  <si>
    <t>09:42</t>
  </si>
  <si>
    <t>Достоинства: На триколор работает!!! Соотношение цена-качество.
Недостатки: нет
Брали на дачу для триколора, приемник нашел адаптер сразу.</t>
  </si>
  <si>
    <t>Жанна С.</t>
  </si>
  <si>
    <t>09:41</t>
  </si>
  <si>
    <t>Пульт ДУ Триколор для всех ресиверов с выносным ИК датчиком</t>
  </si>
  <si>
    <t>Достоинства: норм. работает
Недостатки: .
.</t>
  </si>
  <si>
    <t>18.07.2021 09:42</t>
  </si>
  <si>
    <t>Ярославна Лебедева всё просто. В России заключаешь договор на триколор, получаешь приставку. Тарелку покупаешь в Болгарии. 1500р в год и безумное количество каналов.</t>
  </si>
  <si>
    <t>валерий кирсанов</t>
  </si>
  <si>
    <t>18.07.2021 17:01</t>
  </si>
  <si>
    <t>EPG на каналах ТРИКОЛОР ТВ</t>
  </si>
  <si>
    <t>pangs8300n, спасибо за помощь. Из розетки отключал, каналы пересканировал, - не помогало. Только после перезагрузки через меню и повторного поиска каналов появилось EPG</t>
  </si>
  <si>
    <t>kurock</t>
  </si>
  <si>
    <t>18.07.2021 23:00</t>
  </si>
  <si>
    <t>AIMP Remote Control</t>
  </si>
  <si>
    <t>Подскажите, а для приставки Триколор подходит? General satellite/ Stingray TV</t>
  </si>
  <si>
    <t>marys91</t>
  </si>
  <si>
    <t>18.07.2021 09:18</t>
  </si>
  <si>
    <t>Добрый день. Срочна нужна помощь в настройке телевизора Купили антенну и ресивер на 20 каналов(вроде), подключить не</t>
  </si>
  <si>
    <t>Поиск каналов и двигать антенну,там всё просто вроде.Можно узнать номер в отделе Триколор в ЦУМе,там молодой человек настраивает.Номер не сохранился,могу зайти в районе обеда,узнать)))</t>
  </si>
  <si>
    <t>Наталья Созоновская</t>
  </si>
  <si>
    <t>Перепродажа детских вещей в Вельске</t>
  </si>
  <si>
    <t>09:12</t>
  </si>
  <si>
    <t>Пересканировать каналы с сохранением. Предварительно можно перезагрузить ресивер через меню если он давно не отключался от сети.</t>
  </si>
  <si>
    <t>09:09</t>
  </si>
  <si>
    <t>На ресивере GS B211 не отображается EPG на всех каналах, от чего это может быть и как исправить ?</t>
  </si>
  <si>
    <t>08:57</t>
  </si>
  <si>
    <t>18.07.2021 09:47</t>
  </si>
  <si>
    <t>ВИДЕОНАБЛЮДЕНИЕ В КВАРТИРЕ: СКРЫТОЕ, БЕСПРОВОДНОЕ,  КАМЕРЫ</t>
  </si>
  <si>
    <t>Нормальные ip камеры ясен пень удобнее.Тем более по цене сейчас всё демократично.Запись можно в облако,поворотные камеры можно взятьРегистратор заныкать куда угодно и сделать его из чего угодно.Прямых кабелей нет..Да мало ли чего.Любую систему можно построить.Выбор огромен.Недавно сражался с камерами от Триколор.Мало того,что в отличии от оригинала(dahua) стоят в 2 раза дороже.Не могут работать в локальной сети.Нет интернета-не настроить даже.И писать на регистратор не могут.Только в себя,на флешку или в облако триколоровское,с архивом 7 дней.Бредятина какая то.Открыл квартирный щиток на площадке,Почикал витуху от провайдера и всё, можно и камеры снимать,не останется никаких записей.</t>
  </si>
  <si>
    <t>berz70</t>
  </si>
  <si>
    <t>videospecialist</t>
  </si>
  <si>
    <t>Можно установить триколор тарелку. Пользуюсь не один год.</t>
  </si>
  <si>
    <t>Достоинства: 2 канала подключения, ниже шум
Недостатки: отсутствуют заглушки резиновые
хороший вариант на 2 рессивера и замену старого обопудования</t>
  </si>
  <si>
    <t>18.07.2021 07:33</t>
  </si>
  <si>
    <t>Слабый, недоразвитый сервис, интерфейс путаный, даже с предоплаченным тарифом невозможно интуитивно пользоваться услугой. Ситуация повторяется из года в год: видимо, безнадежны, поэтому вывод для себя - под замену оператора тв
v2.5.0</t>
  </si>
  <si>
    <t>Vadim Zaytsev</t>
  </si>
  <si>
    <t>06:11</t>
  </si>
  <si>
    <t>18.07.2021 06:18</t>
  </si>
  <si>
    <t>Прямой эфир боя Махачев – Мойзес начнётся примерно в 07:10 мск</t>
  </si>
  <si>
    <t>В ночь с 17 на 18 июля мск в Лас-Вегасе (США) пройдёт турнир по смешанным единоборствам UFC Вегас 31. Его главным событием станет бой  Ислама Махачева  и  Тиаго Мойзеса  .   Ориентировочное время начала боя — в 7:10 мск.   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   Также турнир будет доступен в официальном приложении UFC Fight Pass.   Последний раз Махачев бился в</t>
  </si>
  <si>
    <t>championat.com</t>
  </si>
  <si>
    <t>05:56</t>
  </si>
  <si>
    <t>18.07.2021 06:08</t>
  </si>
  <si>
    <t>(РЕН ТВ) Махачев - Мойзес смотреть онлайн бой: прямой эфир, видео трансляция UFC Vegas 31</t>
  </si>
  <si>
    <t>, который должен ... Все турниры UFC можно смотреть на UFC Fight Pass. Также прямые трансляции будут организованы на телеканале UFC TV (есть в линейке Ростелеком и Триколор), на сервисах Wink и more.tv. Во сколько бой Махачев — Мойзес: время начала боя прямая трансляция Во сколько бой Махачев — Мойзес: время начала боя, прямая трансляция 18 июля на UFC on ESPN 26. ... Начало поединка — в 07:00 (мск). Где смотреть бой Махачев — Мойзес. Прямая трансляция Ислам Махачев — Тиаго Мойзес будет доступна
107
просмотров</t>
  </si>
  <si>
    <t>vc.ru</t>
  </si>
  <si>
    <t>05:32</t>
  </si>
  <si>
    <t>(ВИДЕО ЭФИР) Махачев Мойзес смотреть бой 18.07.2021 видео трансляция на канале UFC ТВ</t>
  </si>
  <si>
    <t>Махачев — Мойзес где смотреть бой видео трансляция https://u.to/b2d3Gw
Махачев — Мойзес где смотреть бой видео трансляция https://u.to/b2d3Gw
Махачев — Мойзес где смотреть бой видео трансляция https://u.to/b2d3Gw
Бой Махачев – Мойзес возглавит кард и будет 5-раундовым. Так получилось из-за того, что Макс Холлоуэй, который должен ... Все турниры UFC можно смотреть на UFC Fight Pass. Также прямые трансляции будут организованы на телеканале UFC TV (есть в линейке Ростелеком и Триколор), на сервисах Wink и more.tv. Во сколько бой Махачев — Мойзес</t>
  </si>
  <si>
    <t>05:30</t>
  </si>
  <si>
    <t>18.07.2021 16:23</t>
  </si>
  <si>
    <t>Махачев — Мойзес: прямой эфир, смотреть онлайн, поединок UFC Vegas 31</t>
  </si>
  <si>
    <t>В ночь с 17 на 18 июля в Лас-Вегасе (США) пройдет турнир UFC Vegas 31, главным поединком которого станет бой между россиянином Исламом Махачевым и бразильцем Тьяго Мойзесом.
Поединок Махачева и Мойзесом должен начаться не раньше 7:00 мск. На турнире уже завершился предварительный кард. https://www.sport-express.ru/martial/mma/news/ufc-vegas-31-rezultaty-predvaritelnogo-karda-1813108/
Все поединки UFC Vegas 31 можно посмотреть на телеканале UFC ТВ, расположенном в сервисе Wink, который доступен на Ростелекоме, Триколоре и других платформах. Также турнир будет доступен в официальном приложении UFC Fight Pass.</t>
  </si>
  <si>
    <t>sport-express.ru</t>
  </si>
  <si>
    <t>18.07.2021 05:18</t>
  </si>
  <si>
    <t>Бой Махачев — Мойзес: прямой эфир, смотреть онлайн, трансляция UFC Vegas 31</t>
  </si>
  <si>
    <t>Джереми Стивенс — Матеуш Гамрот
 Родолфо Виейра — Дастин Стольцфус
 Габриэль Бенитез — Билли Куарантилло.
 Предварительный кард
 Дэниел Родригес — Престон Парсонс
 Аманда Лемос — Монтсеррат Руиз
 Халид Таха — Сергей Морозов
 Майлс Джонс — Андерсон дос Сантос
 Франсиско Фигередо — Малколм Гордон
 Алан Баду — Родриго Феррейра.
 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
 Также турнир будет доступен в официальном приложении UFC Fight Pass.</t>
  </si>
  <si>
    <t>18.07.2021 03:08</t>
  </si>
  <si>
    <t>Где смотреть бой Махачев — Мойзес: прямая онлайн-трансляция 18 июля 2021</t>
  </si>
  <si>
    <t>02:26</t>
  </si>
  <si>
    <t>18.07.2021 02:26</t>
  </si>
  <si>
    <t>Триколор, Из-за этого цена поднялась ?</t>
  </si>
  <si>
    <t>02:22</t>
  </si>
  <si>
    <t>18.07.2021 02:25</t>
  </si>
  <si>
    <t>Онлайн-трансляция боя Махачев – Мойзес на UFC Vegas 31</t>
  </si>
  <si>
    <t>В Лас-Вегасе (США) на стадионе «ЮЭфСи Апекс» в ночь с 17 на 18 июля мск состоится турнир по смешанным единоборствам UFC Vegas 31, в главном поединке которого сойдутся 29-летний россиянин  Ислам Махачев  и 26-летний представитель Бразилии  Тиаго Мойзес  .   Ориентировочное время начала боя — в 7:10 мск.
 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
 Также турнир будет</t>
  </si>
  <si>
    <t>02:04</t>
  </si>
  <si>
    <t>18.07.2021 02:04</t>
  </si>
  <si>
    <t>Триколор, пакет как-то изменился ?</t>
  </si>
  <si>
    <t>01:11</t>
  </si>
  <si>
    <t>18.07.2021 10:58</t>
  </si>
  <si>
    <t>Пpeвocxoднoe мecтeчкo. С paдocтью постоянно зaxoжу и ocтaюcь удoвлeтвopeнным. Дeшёвыe pacцeнки, paзнooбpaзный выбop, пocтoяннo кaчecтвeннoe oбcлуживaниe нe мoгут нe пoднять нacтpoeниe. Внутpи чpeзвычaйнo уютнo. Пo личнoму oпыту oднoзнaчнo coвeтую cвoим близким</t>
  </si>
  <si>
    <t>Салтыков Евгений</t>
  </si>
  <si>
    <t>Зарайск</t>
  </si>
  <si>
    <t>18.07.2021 01:12</t>
  </si>
  <si>
    <t>Какого... оплаченные платные каналы не отображаются в приложении триколор тв?!</t>
  </si>
  <si>
    <t>Константин Носов</t>
  </si>
  <si>
    <t>18.07.2021 01:20</t>
  </si>
  <si>
    <t>Онлайн-трансляция боя Ислам Махачев — Тиаго Мойзес начнётся примерно в 7:10 мск</t>
  </si>
  <si>
    <t>В ночь с 17 на 18 июля мск в Лас-Вегасе (США) пройдёт турнир по смешанным единоборствам UFC Вегас 31. Его главным событием станет бой  Ислама Махачева  и  Тиаго Мойзеса  .
 Ориентировочное время начала боя — в 7:10 мск.
 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
 Также турнир будет доступен в официальном приложении UFC Fight Pass.
 Последний раз Махачев бился в марте</t>
  </si>
  <si>
    <t>18.07.2021 00:29</t>
  </si>
  <si>
    <t>Олег, Он есть на Триколор тв (в отличном качестве) и на Megogo (качество -4)</t>
  </si>
  <si>
    <t>Илья Дегтярёв</t>
  </si>
  <si>
    <t>17.07.2021</t>
  </si>
  <si>
    <t>Персонал отстой!</t>
  </si>
  <si>
    <t>Lora Lora</t>
  </si>
  <si>
    <t>23:41</t>
  </si>
  <si>
    <t>23.07.2021 23:05</t>
  </si>
  <si>
    <t>Цифровая смарт ТВ-приставка SberBox медиаплеер для телевизора СБЕР: WiFi/HDMI/Голосовое управление</t>
  </si>
  <si>
    <t>Достоинства: голосовой выбор
Недостатки: Дорогие друзья, перед тем как выбрать данное устройство сто раз подумайте и не слушайте тех кто говорит о том,что данный смарт тв решит все ваши проблемы. Ложь при чем открыто. Увы на нее многие ведутся. Уверяю вас, что лучше купить любую цифру либо триколор и тп чем вот это извинете "овно" Смысл вот в чем, приобретая даную приставку вам даётся месяц всего бесплатно..это каналы в количестве около 120, выбор дерьмо, Окко всесильно но не настолько, через месяц если вы захотите продлить вам предложат</t>
  </si>
  <si>
    <t>Соловьев М.</t>
  </si>
  <si>
    <t>17.07.2021 23:29</t>
  </si>
  <si>
    <t>Куда обратиться общие Российские каналы пропали!</t>
  </si>
  <si>
    <t>Маринка Пужалова</t>
  </si>
  <si>
    <t>Ногинск</t>
  </si>
  <si>
    <t>17.07.2021 23:20</t>
  </si>
  <si>
    <t>Где каналы первый канал, нтв, Россия 1,стс, рент тв, тв 3,твц! Подписка есть!</t>
  </si>
  <si>
    <t>23.07.2021 07:57</t>
  </si>
  <si>
    <t>Достоинства: нет
Недостатки: Много
сгорела приставка</t>
  </si>
  <si>
    <t>17.07.2021 23:18</t>
  </si>
  <si>
    <t>Есть кто устанавливает обычные аннтены и усилитела сигнала в елизаветке?триколор зае_л.8</t>
  </si>
  <si>
    <t>купите себе приставку на ГАРАЖЕ,  все теже каналы только бесплатно. стоит 2 рубля</t>
  </si>
  <si>
    <t>Андрей Петровский</t>
  </si>
  <si>
    <t>Типичная Елизаветка (ст. Елизаветинская)</t>
  </si>
  <si>
    <t>Елизаветинская</t>
  </si>
  <si>
    <t>17.07.2021 23:32</t>
  </si>
  <si>
    <t>Всё хорошо, но оплата со счёта телефона так и не прошла! Это очень плохо
v2.5.0</t>
  </si>
  <si>
    <t>Игорь ГУСАРОВ</t>
  </si>
  <si>
    <t>18.07.2021 06:33</t>
  </si>
  <si>
    <t>Есть ресиверы с встроенным жёстким диском ( для записи) . У меня такой, с диском на 500 гб, только уже немного устаревшая модель.</t>
  </si>
  <si>
    <t>Константин AльmишeB</t>
  </si>
  <si>
    <t>Один ресивер тупит во время грозы, дождя - другой работает нормально! Также это зависит от настройки силы и качества приёма.</t>
  </si>
  <si>
    <t>Отличный товар</t>
  </si>
  <si>
    <t>17.07.2021 22:37</t>
  </si>
  <si>
    <t>Здравствуйте, уже месяц не могу обновить именно приложение триколор ,не могу зайти в свой личный кабинет, почему с каждым годом у вас всё хуже и хуже ,наверное перейду на другую спутниковую тарелку ‍♀️‍♀️‍♀️‍♀️‍♀️</t>
  </si>
  <si>
    <t>Асият растова</t>
  </si>
  <si>
    <t>22:17</t>
  </si>
  <si>
    <t>17.07.2021 22:17</t>
  </si>
  <si>
    <t>Может кто нибудь знает человека, который сможет настроить антенну Триколор?</t>
  </si>
  <si>
    <t>Что с антеной</t>
  </si>
  <si>
    <t>Николай Агапитов</t>
  </si>
  <si>
    <t>Бутка</t>
  </si>
  <si>
    <t>Талица</t>
  </si>
  <si>
    <t>18.07.2021 10:26</t>
  </si>
  <si>
    <t>Вопрос: у меня сгорел ресивер Триколор ТВ. На этом самом  TV  я до того смотрела ровно 2 канала:CNN  и футбол, когда был европейский чемпионат. Имеет смысл покупать новый ресивер и какой, чтобы только не тянуть ни какие новые провода. Или есть в Москве еще варианты? Да, Apple TV есть.</t>
  </si>
  <si>
    <t>Yevgenia M. Albats</t>
  </si>
  <si>
    <t>18.07.2021 13:37</t>
  </si>
  <si>
    <t>Махачев — Мойзес: время начала боя по московскому времени, где смотреть онлайн UFC</t>
  </si>
  <si>
    <t>Джереми Стивенс — Матеуш Гамрот
Родолфо Виейра — Дастин Стольцфус
Габриэль Бенитез — Билли Куарантилло.
Предварительный кард
Дэниел Родригес — Престон Парсонс
Аманда Лемос — Монтсеррат Руиз
Халид Таха — Сергей Морозов
Майлс Джонс — Андерсон дос Сантос
Франсиско Фигередо — Малколм Гордон
Алан Баду — Родриго Феррейра.
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
Также турнир будет доступен в официальном приложении UFC Fight Pass.</t>
  </si>
  <si>
    <t>21:55</t>
  </si>
  <si>
    <t>Всё устраивает,пользуемся более 10 лет.В грозу нет сигнала,а так всё ок.Советую!!!:d</t>
  </si>
  <si>
    <t>♥️Юлия Путылёва(Ефремова)♥️</t>
  </si>
  <si>
    <t>21:17</t>
  </si>
  <si>
    <t>17.07.2021 21:32</t>
  </si>
  <si>
    <t>OK.
v2.4.0</t>
  </si>
  <si>
    <t>Алексей Наумов</t>
  </si>
  <si>
    <t>17.07.2021 21:06</t>
  </si>
  <si>
    <t>Уже через час начнём игру 2-го тура против «Краснодара-2». Кстати, это будет первый матч, который пройдёт на новом</t>
  </si>
  <si>
    <t>Каманчо, спасибо! Я вчера был на их сайте, но так и не понял, возможно ли без регистрации и оплаты пакета смотреть. На яндексе досмотрел, а следующий матч попробую и через триколор</t>
  </si>
  <si>
    <t>Soslan Aldarov</t>
  </si>
  <si>
    <t>ФК «АЛАНИЯ» | FC ALANIA</t>
  </si>
  <si>
    <t>Республика Северная Осетия — Алания</t>
  </si>
  <si>
    <t>Владикавказ</t>
  </si>
  <si>
    <t>17.07.2021 20:58</t>
  </si>
  <si>
    <t>Soslan, извини, не видел сообщение. Я там зарегистрировался за несколько секунд, не знаю обязательно это или нет, если хочешь попробуй без регистрации пока, а если нет, то уже регистрируйся. На будущие матчи пригодится.
https://kino.tricolor.tv/?content=header-logo
Смотреть фильмы в онлайн кинотеатре в хорошем качестве. Смотреть кино в HD качестве на «Триколор Кино и ТВ».
Огромный выбор фильмов в онлайн-кинотеатре «Триколор Кино и ТВ». Смотрите в самом высоком качестве новинки кино, мультфильмы, лучшие фильмы от ведущих голливудский студий.
https://kino.tricolor.tv/?content=header-logo</t>
  </si>
  <si>
    <t>Каманчо Бургадыев</t>
  </si>
  <si>
    <t>20:40</t>
  </si>
  <si>
    <t>18.07.2021 04:54</t>
  </si>
  <si>
    <t>Пришёл, подключили, работает. Брали для приставки Триколор ТВ. Коробочка не помята.</t>
  </si>
  <si>
    <t>Мария</t>
  </si>
  <si>
    <t>23.07.2021 14:29</t>
  </si>
  <si>
    <t>Достоинства: нет
Недостатки: есть
Прислали старого образца да и еще с просроченной картой. Вот это озон. Еще и Маликова в рекламу затянули. Я в шоке. Всегда покупал здесь.Теперь ни ногой, а также всем друзьям скажу. Я опечален.ждал этой покупки.Озон даже не отслеживает,что товары просроченные.Сам модуль 17 года!!!!!как дарить теперь его?</t>
  </si>
  <si>
    <t>Сергей К.</t>
  </si>
  <si>
    <t>17.07.2021 21:11</t>
  </si>
  <si>
    <t>У нас пропадает сигнал только когда ливень стеной. В грозу сами выключаем.</t>
  </si>
  <si>
    <t>Вера )))))</t>
  </si>
  <si>
    <t>17.07.2021 20:18</t>
  </si>
  <si>
    <t>Добрый вечер.хочу спросить в дождик почему не показывает ТВ,в грозу понятно а вот в дождик нет</t>
  </si>
  <si>
    <t>Триколор, у меня 2 тарелки на 2 телевизорах с вашим логотипом. Вопрос один телевизор перестал показывать, на голубом экране надпись на английском языке нет сигнала. Что делать?</t>
  </si>
  <si>
    <t>Tatiana Yashkova</t>
  </si>
  <si>
    <t>Лукоянов</t>
  </si>
  <si>
    <t>20:05</t>
  </si>
  <si>
    <t>18.07.2021 05:21</t>
  </si>
  <si>
    <t>HUAYU Пульт Huayu GS8306 для ресиверов Триколор, General Satellite</t>
  </si>
  <si>
    <t>Работает. Пришел без батараек.</t>
  </si>
  <si>
    <t>Что метель что дождь показывает плохо</t>
  </si>
  <si>
    <t>эльвира попова(каплина)</t>
  </si>
  <si>
    <t>Нам очень нравится. Отключается очень редко. А в сильную грозу и телевизор незачем гонять. В дождь не замечала.</t>
  </si>
  <si>
    <t>Елена Кротова</t>
  </si>
  <si>
    <t>17.07.2021 19:14</t>
  </si>
  <si>
    <t>Анонимно. Девочки, всем добрый день ! Такой вопрос : - У кого тоже не работает телевизор? Прошли уже сутки, как был</t>
  </si>
  <si>
    <t>У нас норм! Все показывает тоже триколор</t>
  </si>
  <si>
    <t>Мария Заварзина</t>
  </si>
  <si>
    <t>Клуб Новокузнецких Мам</t>
  </si>
  <si>
    <t>18:57</t>
  </si>
  <si>
    <t>17.07.2021 19:58</t>
  </si>
  <si>
    <t>Пояснения к видео "Демонтаж Vika-21"_КоПСС</t>
  </si>
  <si>
    <t>Здравствуйте Владимир , я сталкивался с такими неадекватными клиентами , только устанавливал я им спутниковую тарелку и тюнер в итоге пришлось всё демонтировать через 3 месяца и лишиться тюнера так как деньги за монтаж и оборудование уже были давно потрачены и , чтобы вернуть неадекватным деньги , пришлось продать тюнер Триколор . Желаю вам больше не сталкиваться с такими клиентами .</t>
  </si>
  <si>
    <t>Евгений Исаев</t>
  </si>
  <si>
    <t>Vladimir Levkin</t>
  </si>
  <si>
    <t>21.07.2021 07:26</t>
  </si>
  <si>
    <t>Блок питания 12V 2A HKA02412020-3K для Ростелеком / Триколор / Gpon. Адаптер для модемов, роутеров, ТВ-приставок, ресиверов, маникюрных ламп, камер видеонаблюдения.</t>
  </si>
  <si>
    <t>Достоинства: Подошёл, работает 
Недостатки: Нет</t>
  </si>
  <si>
    <t>Анна К.</t>
  </si>
  <si>
    <t>18.07.2021 02:27</t>
  </si>
  <si>
    <t>Что должен успеть сделать каждый к 45 годам?
 Вляпаться в совершенно идиотскую ситуацию, которую будут вспоминать даже на твоих поминках.
 Научиться готовить что-нибудь в совершенстве, например яичницу, и назвать эту чушь коронным блюдом.
 Найти того парикмахера, который всегда исправит «о боже, что с тобой сделали».
 Посмотреть хотя бы один, а  лучше все выпуски «Всероссийской лиги юмора».
Чтобы исполнить последнее, далеко ходить не надо! 
 Сегодня и завтра в 21:00 смотри новый выпуск «Всероссийской лиги юмора» из Ульяновска в онлайн-проекте «Большой эфир» по ссылке https://clck.ru/W35EK  А с понедельника — в бесплатном приложении «Триколор Кино и ТВ» и веб-версии онлайн-сервиса по ссылке kino.tricolor.tv</t>
  </si>
  <si>
    <t>https://scontent.fbkk14-1.fna.fbcdn.net/v/t1.6435-9/p960x960/216275778_4092681210786118_7083638311384057335_n.png?_nc_cat=106&amp;ccb=1-3&amp;_nc_sid=730e14&amp;_nc_ohc=bGbj747ypaUAX_X80LJ&amp;_nc_ad=z-m&amp;_nc_cid=0&amp;_nc_ht=scontent.fbkk14-1.fna&amp;oh=90196ea28b22d30750f4f2620938767e&amp;oe=60F78725</t>
  </si>
  <si>
    <t>17.07.2021 18:22</t>
  </si>
  <si>
    <t>Что должен успеть сделать каждый к 45 годам?  Вляпаться в совершенно идиотскую ситуацию, которую будут вспоминать даже</t>
  </si>
  <si>
    <t>Что должен успеть сделать каждый к 45 годам?
 Вляпаться в совершенно идиотскую ситуацию, которую будут вспоминать даже на твоих поминках.
 Научиться готовить что-нибудь в совершенстве, например яичницу, и назвать эту чушь коронным блюдом.
 Найти того парикмахера, который всегда исправит «о боже, что с тобой сделали».
 Посмотреть хотя бы один, а  лучше все выпуски «Всероссийской лиги юмора».
Чтобы исполнить последнее, далеко ходить не надо! 
 Сегодня и завтра в 21:00 смотри новый выпуск «Всероссийской лиги юмора» из Ульяновска в онлайн-проекте «Большой эфир» по ссылке https://ok.me/B2Tk.  А с понедельника — в бесплатном приложении «Триколор Кино и ТВ» и веб-версии онлайн-сервиса по ссылке kino.tricolor.tv</t>
  </si>
  <si>
    <t>17.07.2021 18:02</t>
  </si>
  <si>
    <t>Сегодня и завтра в 21:00 смотри новый выпуск лиги юмора из Ульяновска в онлайн-проекте «Большой эфир» по ссылке https://bit.ly/3hRAZ9D.
А с понедельника — в бесплатном приложении «Триколор Кино и ТВ» и веб-версии онлайн-сервиса по ссылке http://kino.tricolor.tv</t>
  </si>
  <si>
    <t>В грозу, в дождь, в метель не кажет.</t>
  </si>
  <si>
    <t>Александр Жемчугов</t>
  </si>
  <si>
    <t>17.07.2021 17:53</t>
  </si>
  <si>
    <t>Анонимно , не у кого нету не нудного пульта от триколора приставки ? Может кто отдаст Или продаст за чуть чуть</t>
  </si>
  <si>
    <t>Не найдете. Все пульты нудные, а от приставки триколор зануда редкостный. Держитесь чуть чуть.</t>
  </si>
  <si>
    <t>Татьяна Еремина</t>
  </si>
  <si>
    <t>Ищу тебя | Данков</t>
  </si>
  <si>
    <t>Данков</t>
  </si>
  <si>
    <t>Спасибо, пульт нравится, пользуемся давно</t>
  </si>
  <si>
    <t>18.07.2021 06:59</t>
  </si>
  <si>
    <t>Третий день сижу жду когда приедут кинут кабель с тарелки на телевизор.</t>
  </si>
  <si>
    <t>Антоха В.</t>
  </si>
  <si>
    <t>17.07.2021 21:56</t>
  </si>
  <si>
    <t>4G LTE MIMO Varius или антенна Волновой канал, что лучше? Как выбрать антенну для интернета</t>
  </si>
  <si>
    <t>Здравствуйте удобно ли будет ответить на вопрос про кабели. Я приобрёл комплект репитер фирмы триколор частота 1800 и 2100 производства как выяснилось фирмы крокс. Так вот там кабельные сборки на f разъёмах и кабелем 75 Ом. На мой вопрос не смог ответить ни один специалист триколора почему именно такой кабель используется. И стоит ли мне его поменять на хороший 50 Ом будет ли ощутимая разница? Там где установлен репитер без усилителя связи и интернета почти совсем нет. С ним сигнал около -95 -89db.  Участок находиться в низине вышек в прямой видимости нет. Заранее спасибо если уделите мне время.  Вот такой комплект Комплект усиления сотовой связи Усилитель сигнала ТРИКОЛОР TR-1800/2100-50-kit двухдиапазонная</t>
  </si>
  <si>
    <t>Алексей Носов</t>
  </si>
  <si>
    <t>Евгений Радист</t>
  </si>
  <si>
    <t>18.07.2021 05:06</t>
  </si>
  <si>
    <t>Rexant Усиленный Г-образный кронштейн из стади для спутниковых антенн (вылет от стены 50 см)</t>
  </si>
  <si>
    <t>Очень хороший и прочный кронштейн, для интернет антенны (триколор) отлично подошел. Рекомендую</t>
  </si>
  <si>
    <t>18.07.2021 00:05</t>
  </si>
  <si>
    <t>Прямая трансляция UFC on ESPN 26. Где смотреть?</t>
  </si>
  <si>
    <t>,  Сергей Морозов https://www.sherdog.com/fighter/Sergey-Morozov-89693  против  Халида Таха https://www.sherdog.com/fighter/Khalid-Taha-117849  и другие.
Прямая трансляция шоу будет доступна на сервисах  Wink https://wink.rt.ru ,  UFC Fight Pass https://ufcfightpass.com/login ,  more.tv https://moretv.sport , спутниковом канале «Триколор». Начало шоу в 02.00 МСК, главные бои начнутся в 05.00 МСК.</t>
  </si>
  <si>
    <t>allboxing.ru</t>
  </si>
  <si>
    <t>paper product,text,poster,facial hair,collection,moustache,magazine,newspaper</t>
  </si>
  <si>
    <t>art,comics,fiction</t>
  </si>
  <si>
    <t>17.07.2021 17:19</t>
  </si>
  <si>
    <t>Галина, надо смотреть уровень сигнала и т.д.</t>
  </si>
  <si>
    <t>Сергей Тихвинский</t>
  </si>
  <si>
    <t>17:03</t>
  </si>
  <si>
    <t>17.07.2021 17:04</t>
  </si>
  <si>
    <t>Показывает мало программ. Было пропущено обновление. После грозы совсем все плохо</t>
  </si>
  <si>
    <t>Галина Неклюдова</t>
  </si>
  <si>
    <t>17.07.2021 19:26</t>
  </si>
  <si>
    <t>UFC Вегас 31: Махачев — Мойзес. Бразилец покушается на рекорд Ислама! LIVE!</t>
  </si>
  <si>
    <t>.html
Где смотреть онлайн трансляцию боя Ислам Махачев — Тиаго Мойзес?
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
Также турнир будет доступен в официальном приложении UFC Fight Pass.
17:13
Игорь Брагин https://www.championat.com/authors/91/1.html
UFC Vegas 31: Мойзес и Махачев на дуэли взглядов
Во время дуэли взглядов особого напряжения между Исламом и Тиаго мы не</t>
  </si>
  <si>
    <t>СЛАН Пульт для Триколор ТВ</t>
  </si>
  <si>
    <t>Пульт хороший , дизайн на 5 , спасибо за быструю доставку</t>
  </si>
  <si>
    <t>17.07.2021 23:21</t>
  </si>
  <si>
    <t>Услуги установки и настройки спутниковых антенн Триколор. Помощь в обновлении ПО. Обращаться в личку или по телефону</t>
  </si>
  <si>
    <t>Подскажите можно ли исключить радугу-мажет особенно когда ходят тучи и дождь</t>
  </si>
  <si>
    <t>Любовь Хондерова ( Мисяченко)</t>
  </si>
  <si>
    <t>Мариинск ДОСКА ОБЪЯВЛЕНИЙ.</t>
  </si>
  <si>
    <t>Мариинск</t>
  </si>
  <si>
    <t>Бой Махачев — Мойзес: где смотреть онлайн, прямая трансляция UFC Vegas 31, прогнозы на бой</t>
  </si>
  <si>
    <t>17.07.2021 16:42</t>
  </si>
  <si>
    <t>Федор, ростелеком ниче только каналов малато..я имел виду триколор тв неочень стал</t>
  </si>
  <si>
    <t>17.07.2021 16:11</t>
  </si>
  <si>
    <t>Анастасия, Зачем нужен mtv россия? показывают большую часть суток передачи и сериалы ни кому не нужны музальные клипы показывают ночью и утром музыки очень мало хотя типо музыкальный канал радоватся что нету этого канала на триколор тв</t>
  </si>
  <si>
    <t>Александр Юрасков</t>
  </si>
  <si>
    <t>Новоалександровск</t>
  </si>
  <si>
    <t>Недостатки: Короткий шнур</t>
  </si>
  <si>
    <t>Дмитрий К.</t>
  </si>
  <si>
    <t>17.07.2021 16:28</t>
  </si>
  <si>
    <t>Удобно
v2.5.0</t>
  </si>
  <si>
    <t>Василий Горбачев</t>
  </si>
  <si>
    <t>22.07.2021 22:10</t>
  </si>
  <si>
    <t>Модуль Триколор ТВ CI+ с картой доступа Центр (Ultra HD)</t>
  </si>
  <si>
    <t>Спасибо! Ещё раз подтверждаю что вы супер!!!</t>
  </si>
  <si>
    <t>Андрей Щ.</t>
  </si>
  <si>
    <t>electronic device</t>
  </si>
  <si>
    <t>Попытка демпинговать закончилась для Триколора плачевно. Тошнотворная навязчивая реклама, косяки с прошивками и хамский сервис сменился просто надувательством. Теперь плохо образованный менеджмент предлагает акцию по замене оборудования (добровольный, но идёт запугивание, что не могут гарантировать, что на старом будет работать), продают декодер за огромные деньги (при цене 550 руб. в базарный день), при этом в два раза поднимают абонентку. Не понять это может только старушка или умственно неполноценный человек. При этом бомбили звонками по три раза на день! Хамство и Непрофессионализм! НЕ РЕКОМЕНДУЮ!</t>
  </si>
  <si>
    <t>17.07.2021 15:22</t>
  </si>
  <si>
    <t>❤ Участвуйте в конкурсе активности — "Удачный лайк"! Этот формат дает возможность на победу каждому участнику нашей</t>
  </si>
  <si>
    <t>Спутниковый интернет триколор в Мск на Улице Снайперская✌️</t>
  </si>
  <si>
    <t>Юлия Свиридова</t>
  </si>
  <si>
    <t>Warface</t>
  </si>
  <si>
    <t>paper product,text,diagram,software,document</t>
  </si>
  <si>
    <t>17.07.2021 15:20</t>
  </si>
  <si>
    <t>Сидишь, не знаешь, чем заняться в выходной, а там «Томь» с «Балтикой» рубятся не на жизнь  ФНЛ вернулась! Яндекс</t>
  </si>
  <si>
    <t>FRTV | МАТЧ ТВ, триколор, купил все матчи. А Матч, купил бы 2-3 матча в туре. Все матчи дороже</t>
  </si>
  <si>
    <t>15:15</t>
  </si>
  <si>
    <t>Махачев — Мойзес: когда бой UFC, во сколько начало боя, по какому каналу покажут</t>
  </si>
  <si>
    <t>Джереми Стивенс — Матеуш Гамрот
Родолфо Виейра — Дастин Стольцфус
Габриэль Бенитез — Билли Куарантилло.
Предварительный кард
Дэниел Родригес — Престон Парсонс
Аманда Лемос — Монтсеррат Руиз
Халид Таха — Сергей Морозов
Майлс Джонс — Андерсон дос Сантос
Франсиско Фигередо — Малкольм Гордон
Алан Баду — Родриго Феррейра.
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
Также турнир будет доступен в официальном приложении UFC Fight Pass.</t>
  </si>
  <si>
    <t>Смотри в Триколоре Всероссийский мастерский турнир памяти Алексея Калинина!
Лучшие бойцы из центральной части России соберутся в Новомосковске, чтобы побороться за звание мастера спорта и другие ценные призы  А главным гостем турнира станет Фёдор Емельяненко 
 Трансляцию смотри 19 июля в 16:00 на канале «Спортивный» и в онлайн-плеере «Наш спорт 1» по ссылке https://clck.ru/W8myF</t>
  </si>
  <si>
    <t>https://scontent.fbkk10-1.fna.fbcdn.net/v/t1.6435-9/e15/q75/p960x960/216970903_4092423140811925_5089031449191143425_n.jpg?_nc_cat=105&amp;ccb=1-3&amp;_nc_sid=730e14&amp;_nc_ohc=0g6nkE9QCLUAX-7itFt&amp;_nc_ad=z-m&amp;_nc_cid=0&amp;_nc_ht=scontent.fbkk10-1.fna&amp;oh=287a96458482d6333c23f5c80975a585&amp;oe=60F82ED5</t>
  </si>
  <si>
    <t>17.07.2021 15:18</t>
  </si>
  <si>
    <t>Смотри в Триколоре Всероссийский мастерский турнир памяти Алексея Калинина! Лучшие бойцы из центральной части России</t>
  </si>
  <si>
    <t>Смотри в Триколоре Всероссийский мастерский турнир памяти Алексея Калинина!
Лучшие бойцы из центральной части России соберутся в Новомосковске, чтобы побороться за звание мастера спорта и другие ценные призы  А главным гостем турнира станет Фёдор Емельяненко 
 Трансляцию смотри 19 июля в 16:00 на канале «Спортивный» и в онлайн-плеере «Наш спорт 1» по ссылке https://ok.me/KYSk</t>
  </si>
  <si>
    <t>text,payment card</t>
  </si>
  <si>
    <t>17.07.2021 15:00</t>
  </si>
  <si>
    <t>Всем привет. Не трогайте Жукову, сука, я вас всех ненавижу! Какого хера наехали на Алену Жукову. Жукова не Жукова.</t>
  </si>
  <si>
    <t>Дарья, про конкуренцию. Ну тут слушай, вот все ко ко ко насчет Ростелекома всегда при авариях. Можно купить тарелку НТВ+ или Триколор, там что-то в районе 900 в год, стандартный пакет каналов (у меня стоит), стоило в районе 15к, т.е. оправдается за год, даже если протянешь комбинатовский кабель. А по инету сейчас мегафон активно развивает оборудование, можно взять модем Yota (работает на их сетях), там норм скорость. Относительно Саши Лосева. Это Ревда. Заправка в Лвз наебнулась и всё, а в Ревде у Роснефти нет конкуренции также. Я только "за" если бы появился другой перевозчик. Если бы отсюда деньги шли в жизнь, а не на Кипр, можно было подумать, и новые дома бы строились..</t>
  </si>
  <si>
    <t>Sergey Anfelso</t>
  </si>
  <si>
    <t>Болталка Ревда Мурманская</t>
  </si>
  <si>
    <t>Ревда</t>
  </si>
  <si>
    <t>14:58</t>
  </si>
  <si>
    <t>ТВ-приставка НТВ+: тихий ужас | Личный опыт</t>
  </si>
  <si>
    <t>Триколоровская приставка тоже то ещё. Как раз монтируем обзор.
Совет простой - берите приставку от своего мобильного оператора. Билайн, мтс, мегафон. Если без привязки, то я бы посоветовал мтс или мегафон.
А Триколор выкидывайте. Он ужасен.</t>
  </si>
  <si>
    <t>17.07.2021 14:54</t>
  </si>
  <si>
    <t>Ресивер Триколор ТВ GS B523L - честный обзор</t>
  </si>
  <si>
    <t>Эх жалко что я не получу приставку которую разыгравают</t>
  </si>
  <si>
    <t>RexikRus</t>
  </si>
  <si>
    <t>17.07.2021 14:30</t>
  </si>
  <si>
    <t>Добрый день всем, перестал работать приёмник триколор, не включается зелёная кнопка. Кто нибудь может подскажет, кто у</t>
  </si>
  <si>
    <t>Для двух  телеков</t>
  </si>
  <si>
    <t>Анна Круглова</t>
  </si>
  <si>
    <t>Подслушано | Городец</t>
  </si>
  <si>
    <t>Привет. Вчера купил такое извиняюсь г....но продовец налепил что там через вайфай ловит и ютуб а тама нету не шиша только по подпиське покупать у меня в триколоре больше показывает что бы посоветали ? Обзор хороши по раньше бы мне попался за бесплатно не взял бы.</t>
  </si>
  <si>
    <t>Раис Багапов</t>
  </si>
  <si>
    <t>17.07.2021 14:46</t>
  </si>
  <si>
    <t>Следите за дачей, пока находитесь дома, а уезжая за город, не волнуйтесь, что оставили без присмотра квартиру! За</t>
  </si>
  <si>
    <t>Триколор, я жду ровно час, если сотрудник мне не ответит я просто ограничу сообщения!</t>
  </si>
  <si>
    <t>Юлия Владимировна</t>
  </si>
  <si>
    <t>17.07.2021 14:15</t>
  </si>
  <si>
    <t>Андрей, что наши не умеют не чего запускать только европа</t>
  </si>
  <si>
    <t>Да!</t>
  </si>
  <si>
    <t>17.07.2021 13:51</t>
  </si>
  <si>
    <t>Илья, Может проще TV box прикупить и смотреть практически любой нужный фильм , мультфильм или сериал через hd videobox , ivi или кинопоиск , чем ждать у моря погоды .</t>
  </si>
  <si>
    <t>18.07.2021 01:57</t>
  </si>
  <si>
    <t>Фрагмент отключения Аналогово ТВ 2019 год. НТВ international.</t>
  </si>
  <si>
    <t>Триколор тв mpeg 2 отключение и прекращает каналов тв-тв и тв2тв</t>
  </si>
  <si>
    <t>Елена Лопатина</t>
  </si>
  <si>
    <t>Телеканал News</t>
  </si>
  <si>
    <t>18.07.2021 17:39</t>
  </si>
  <si>
    <t>Личный кабинет
Как войти в приложение? Номер ID, телефон и почту подтверждает (одноразовый пароль приходит), но при вводе одноразового пароля приложение пишет «неверный пароль». Что ещё нужно сделать?</t>
  </si>
  <si>
    <t>mnsepa</t>
  </si>
  <si>
    <t>17.07.2021 13:27</t>
  </si>
  <si>
    <t>Триколор, почти час прошёл а это мифические "сейчас" так и не наступило. Клиентоориентированность просто на высоте</t>
  </si>
  <si>
    <t>13:04</t>
  </si>
  <si>
    <t>17.07.2021 13:04</t>
  </si>
  <si>
    <t>Триколор, знаете, уже слезы из глаз и нитроглицерин во рту. Мне 70 лет, ваши бабушки - мамы в этом разбираются? Изверги,  Триколор, заставили сменить хорошую приставку на дрянь, теперь оставили нас без ТВ, 3 года нащад из каждого утюга верещали- Смените приставку или отключим. Мы старые люди, повелись сдуру. Да будьте вы....</t>
  </si>
  <si>
    <t>Галина Кузина</t>
  </si>
  <si>
    <t>Рыбинск</t>
  </si>
  <si>
    <t>17.07.2021 13:18</t>
  </si>
  <si>
    <t>Невозможно положить деньги на счет и произвести оплату, все время пишет что нужно обновить страницу. Раньше такого никогда не было.
v2.5.0</t>
  </si>
  <si>
    <t>Лидия Некрасова</t>
  </si>
  <si>
    <t>17.07.2021 12:57</t>
  </si>
  <si>
    <t>Смотри Олимп-ФНЛ 2021/2022 в Триколоре на телеканале «Футбольный» и в онлайн-плеерах «Наш спорт» в приложении «Триколор Кино и ТВ».
 Расписание матчей по ссылке https://bit.ly/3BcNofE
#ЛучшаяЛигаМира #нашспортздесь</t>
  </si>
  <si>
    <t>17.07.2021 13:01</t>
  </si>
  <si>
    <t>Олимп-Первенство Футбольной национальной лиги 2021/2022 набирает обороты! ⚽️ Уже совсем скоро на поле встретятся</t>
  </si>
  <si>
    <t>Олимп-Первенство Футбольной национальной лиги 2021/2022 набирает обороты! ⚽️
Уже совсем скоро на поле встретятся красноярский «Енисей» и краснодарская «Кубань», «Оренбург» и липецкий «Металлург», «Торпедо-Москва» и «Олимп-Долгопрудный» – эти противостояния мы покажем как на телеканале «Футбольный» под номерами 609 (в Центре) или 610 (в Сибири), так и в онлайн-плеерах «Наш спорт» 
Остальные матчи смотрите в онлайн-плеерах «Наш спорт» в приложении «Триколор Кино и ТВ» на мобильных устройствах и планшетах, телевизорах с функцией Smart TV и в веб-версии онлайн-кинотеатра kino.tricolor.tv
 Расписание и трансляции матчей по ссылке https://ok.me/DWSk
#ЛучшаяЛигаМира #нашспортздесь</t>
  </si>
  <si>
    <t>Олимп-Первенство Футбольной национальной лиги 2021/2022 набирает обороты! ⚽️
Уже совсем скоро на поле встретятся красноярский «Енисей» и краснодарская «Кубань», «Оренбург» и липецкий «Металлург», «Торпедо-Москва» и «Олимп-Долгопрудный» – эти противостояния мы покажем как на телеканале «Футбольный» под номерами 609 (в Центре) или 610 (в Сибири), так и в онлайн-плеерах «Наш спорт» 
Остальные матчи смотрите в онлайн-плеерах «Наш спорт» в приложении «Триколор Кино и ТВ» на мобильных устройствах и планшетах, телевизорах с функцией Smart TV и в веб-версии онлайн-кинотеатра kino.tricolor.tv
 Расписание и трансляции матчей по ссылке https://clck.ru/UbTWa
#ЛучшаяЛигаМира #нашспортздесь</t>
  </si>
  <si>
    <t>https://scontent.fbkk14-1.fna.fbcdn.net/v/t1.6435-9/e15/q75/p960x960/216845266_4092403297480576_8097513106515327594_n.jpg?_nc_cat=106&amp;ccb=1-3&amp;_nc_sid=730e14&amp;_nc_ohc=uz9WMaEn-0EAX9fd8fL&amp;_nc_ad=z-m&amp;_nc_cid=0&amp;_nc_ht=scontent.fbkk14-1.fna&amp;oh=11cec599b3693973c7fc274032130db1&amp;oe=60F787F3</t>
  </si>
  <si>
    <t>Да</t>
  </si>
  <si>
    <t>ЕЛЕНА )))))))</t>
  </si>
  <si>
    <t>Вичуга</t>
  </si>
  <si>
    <t>17.07.2021 12:27</t>
  </si>
  <si>
    <t>Триколор, я так понимаю мне продолжает написывать  бот, вопрос  никто даже не пытается решить.</t>
  </si>
  <si>
    <t>12:19</t>
  </si>
  <si>
    <t>Достоинства: компактный 
Недостатки: нет
Пришёл в целый, коробка не мятая</t>
  </si>
  <si>
    <t>Татьяна Т.</t>
  </si>
  <si>
    <t>17.07.2021 12:15</t>
  </si>
  <si>
    <t>Триколор, да не умею я это делать! В деревне 4 бабки и 3 деда инвалида. У меня зрение - 7 и +3, на каждое действо надо снять-надеть другие очки.  Да вообще эта дерьмовая приставка  изначально барахлила. Старая работала отлично, зачем их было менять?</t>
  </si>
  <si>
    <t>17.07.2021 12:11</t>
  </si>
  <si>
    <t>Триколор, Ерунда!</t>
  </si>
  <si>
    <t>20.07.2021 23:39</t>
  </si>
  <si>
    <t>Антенна комнатная с присоской "Уралочка TVIX" 5В (5 метров)</t>
  </si>
  <si>
    <t>Достоинства: В одной комнате к телевизору не подключилась ни на одной из трёх приставок. Пришлось перенести телевизор в летнюю комнату , и привесить ее на ручку форточки. Качество 100% а сила не дотягивает 78% Хорошо шнур 5м. Поставила на 39 канал 618. HZ поймал без пятого первого россии и нтв. Поставила 47 все стало работать. Все 20 каналов. Но  приставку пришлось поменять на триколор . И все стало без помехов как на старой было. А вышка в 30 км от деревни. Лужском районе. 
Недостатки: Не приклеилась к окну вообще. 
Не знаю что сказать</t>
  </si>
  <si>
    <t>Гришина Анастасия</t>
  </si>
  <si>
    <t>17.07.2021 12:07</t>
  </si>
  <si>
    <t>Почему все каналы вддруг платные?</t>
  </si>
  <si>
    <t>Да писала уже, все ваши предложения не для нас. Были бы хоть дети рядом, вызвать из города настройщика нам не по карману, самим не разобраться.</t>
  </si>
  <si>
    <t>17.07.2021 11:58</t>
  </si>
  <si>
    <t>Продам новую спутниковую тарелку триколор с креплением 600 руб.. Забирать СНТ южное вишнёвая ул. 89216305689</t>
  </si>
  <si>
    <t>А рессивер ?</t>
  </si>
  <si>
    <t>Андрей Лазарев</t>
  </si>
  <si>
    <t>"КРАСНОГОРСКИЕ ПОКОСЫ" - Садоводство</t>
  </si>
  <si>
    <t>сергей п.</t>
  </si>
  <si>
    <t>Нам нравится</t>
  </si>
  <si>
    <t>Триколор, меня для этого просили написать? Всего доброго! Больше я в этом не участвую!</t>
  </si>
  <si>
    <t>paper product,text,document,software,symbol</t>
  </si>
  <si>
    <t>3 года назад, когда приказали поменять приставки на новые, телевизор на даче ни дня не смотрели нормально. ПриставкаGSB533M. так же у диллера,  которого уже и не найти, приобрели ее на таких же условиях. Старую он у нас забрал (обмен однако, за такие деньги!), с ней мы проблемм не знали. С горем пополам еще иногда работало, а после отключения в сколково, смотрели может 2 дня. Настроить никак не удается. Мы пенсионеры, дети далеко, лишили нас последней радости. Как только на списке каналов появилась перечеркнутая буква Р, что видимо означает платность каналов(всех?!!!!) не смотрели ни дня. Плата за единый внесена до июня следующего года. Обидно, при пенсиях на двоих 28 тысяч.</t>
  </si>
  <si>
    <t>Блок питания (сетевой адаптер) универсальный 12В 2А (12V/2A), штекер 5.5*2.5 мм</t>
  </si>
  <si>
    <t>Достоинства: Подошёл к ресиверу Триколор GS8307, работает уже несколько месяцев, все норм</t>
  </si>
  <si>
    <t>17.07.2021 14:27</t>
  </si>
  <si>
    <t>UFC Fight Night, Махачев — Мойзес: дата боя, время начала трансляции по Москве, прогнозы</t>
  </si>
  <si>
    <t>Джереми Стивенс — Матеуш Гамрот
 Родолфо Виейра — Дастин Стольцфус
 Габриэль Бенитез — Билли Куарантилло.
 Предварительный кард
 Дэниел Родригес — Престон Парсонс
 Аманда Лемос — Монтсеррат Руиз
 Халид Таха — Сергей Морозов
 Майлс Джонс — Андерсон дос Сантос
 Франсиско Фигередо — Малкольм Гордон
 Алан Баду — Родриго Феррейра.   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
 Также турнир будет доступен в официальном приложении UFC Fight Pass.</t>
  </si>
  <si>
    <t>17.07.2021 16:46</t>
  </si>
  <si>
    <t>Покупал для ноутбука. Ловить WiFi не хотела до тех пор пока не установил на неё драйвера, сама она их не попросила, пришлось прочитать пару статей в интернете. После установки, все стало отлично, к пакупке рекомендую.</t>
  </si>
  <si>
    <t>personal computer,computer,electronic device,laptop,tablet computer</t>
  </si>
  <si>
    <t>17.07.2021 10:27</t>
  </si>
  <si>
    <t>Андрей, пока не появиться платить за фильмы не буду что мне смотреть если нету моих фильмов</t>
  </si>
  <si>
    <t>17.07.2021 10:23</t>
  </si>
  <si>
    <t>Триколор, Посмотрел несколько секунд-минут! Какая муть! И за это вы хотите 600 руб!</t>
  </si>
  <si>
    <t>17.07.2021 11:06</t>
  </si>
  <si>
    <t>12 лет Октября</t>
  </si>
  <si>
    <t>10:03</t>
  </si>
  <si>
    <t>18.07.2021 05:10</t>
  </si>
  <si>
    <t>Телевизор Polarline 65PU51TC-SM 65" (2018)</t>
  </si>
  <si>
    <t>Достоинства: Очень хорошее изображение даже на комнатную антенну. Телевизор используется на даче с с антенной Perfeo Medium. Уверенный и качественный прием 20 цифровых каналов. С Триколор TV работает также очень уверенно и в замечательном качестве. Считаю, что он  действительно стоит своих денег. До этого покупал телевизор этой же марки, только с диагональю 50 дюймов. Он также полностью меня устроил, но там характеристики несколько ниже.
Недостатки: Пока не выявил</t>
  </si>
  <si>
    <t>Юрий Л.</t>
  </si>
  <si>
    <t>17.07.2021 10:00</t>
  </si>
  <si>
    <t>Обалдеть! Наткнулся на днях на фильм по 600 руб!</t>
  </si>
  <si>
    <t>17.07.2021 09:43</t>
  </si>
  <si>
    <t>Здравствуйте. Олимпийские игры покажут Первый канал и Матч ТВ. Первый канал покажет церемонию открытия, а Россия 1 не</t>
  </si>
  <si>
    <t>Тимур, 334,если уж точно</t>
  </si>
  <si>
    <t>Виктор Албанцев</t>
  </si>
  <si>
    <t>17.07.2021 17:10</t>
  </si>
  <si>
    <t>Когда вы включаете российское телевидение, российские каналы, вы ощущаете дух Божий присутствующий во всем или нет?</t>
  </si>
  <si>
    <t>Скорее другое. Как только звук услышу из ящика включенного на одном из общественных каналов у меня дикое желание по нему молотком епнуть.
Серьёзно. До того так все эти голоса в нем раздражают.
Поэтому давно нет его. На даче могу включить какой нибудь канал на триколоре. Но только не общественный ((!</t>
  </si>
  <si>
    <t>Просто Юра</t>
  </si>
  <si>
    <t>Ответы@Mail.Ru: Все категории &gt; Религия, Вера</t>
  </si>
  <si>
    <t>Лева, когда тебя ростелеком окунёт на круглую сумму ещё вспомнишь Трико.</t>
  </si>
  <si>
    <t>17.07.2021 23:26</t>
  </si>
  <si>
    <t>"Торпедо" - "Спартак-2"/«Факел» принимает «Велес», «СКА-Хабаровск» в гостях у «Нефтехимика»</t>
  </si>
  <si>
    <t>© ФНЛ Сегодня в Красноярске, Томске, Самаре, Нижнекамске, Оренбурге, Набережных Челнах, Воронеже, Волгограде, Краснодаре и Москве проходят матчи 2-го тура Олимп-ФНЛ 2021-2022. Прямые трансляции этих встреч можно смотреть в Яндекс Эфире и на каналах оператора Триколор .
 Енисей - Кубань (начало в 13.00) * ( Яндекс Эфир ) ( Триколор )
 Красноярск. Стадион «Центральный им. Ленинского комсомола».
 Томь - Балтика (14.00) ( Яндекс Эфир ) ( Триколор )
 Томск. Стадион «Труд».
 Акрон - Волгарь (16.00) ( Яндекс Эфир ) ( Триколор )
 Самара. Стадион</t>
  </si>
  <si>
    <t>fanat1k.ru</t>
  </si>
  <si>
    <t>08:27</t>
  </si>
  <si>
    <t>17.07.2021 08:27</t>
  </si>
  <si>
    <t>Ая уже скоро откажусь от триколор последнии год побудет ивсе. тв все равно мне уже надоел.у меня ростелеком тв есть мне уже пофиг.</t>
  </si>
  <si>
    <t>08:16</t>
  </si>
  <si>
    <t>17.07.2021 08:34</t>
  </si>
  <si>
    <t>Триколор отличная спутниковая антена,спасибо,что Вы есть.Можно посмотреть,что нравится.Еще раз спасибо.</t>
  </si>
  <si>
    <t>Татьяна Бондарева</t>
  </si>
  <si>
    <t>Новороссийск</t>
  </si>
  <si>
    <t>08:12</t>
  </si>
  <si>
    <t>17.07.2021 08:23</t>
  </si>
  <si>
    <t>День матча #ЕнисейКубань!  Олимп-ФНЛ, сезон 2021/22 гг., 2 тур.  «Енисей» - «Кубань» ⏱ 13:00 (мск)  +20°С</t>
  </si>
  <si>
    <t>Сегодня в 14 55. На триколор тв прямая трансляция.  Канал футбольный 609. ✋⚽️</t>
  </si>
  <si>
    <t>Николай Лобкарёв</t>
  </si>
  <si>
    <t>ПФК «КУБАНЬ» Краснодар</t>
  </si>
  <si>
    <t>07:46</t>
  </si>
  <si>
    <t>18.07.2021 13:41</t>
  </si>
  <si>
    <t>Триколор
Супер триколор</t>
  </si>
  <si>
    <t>pontyhin</t>
  </si>
  <si>
    <t>07:12</t>
  </si>
  <si>
    <t>Блок питания для Триколор ТВ, МТС ТВ, KEENETIC роутеров, камер видеонаблюдения 12V/2A (5.5x2.5)</t>
  </si>
  <si>
    <t>Брали для монитора камеры видео наблюдения. Все работает</t>
  </si>
  <si>
    <t>Мария Р.</t>
  </si>
  <si>
    <t>17.07.2021 06:57</t>
  </si>
  <si>
    <t>Кто какие средства связи использует в делянках?</t>
  </si>
  <si>
    <t>Спутниковый интернет(триколор)</t>
  </si>
  <si>
    <t>Сергей Андреев</t>
  </si>
  <si>
    <t>Союз Лесозаготовителей. Харвестеры и Форвардеры.</t>
  </si>
  <si>
    <t>Пянда</t>
  </si>
  <si>
    <t>17.07.2021 08:14</t>
  </si>
  <si>
    <t>Триколор, особенности установки спутниковой антенны</t>
  </si>
  <si>
    <t>Лайфхак пригодится тем, у кого есть Триколор.</t>
  </si>
  <si>
    <t>Алексей мотоРолик</t>
  </si>
  <si>
    <t>OKHamRadio</t>
  </si>
  <si>
    <t>17.07.2021 05:58</t>
  </si>
  <si>
    <t>В Оренбург вылетели 19 футболистов «Металлурга» Сегодня в 9 утра самолёт с футболистами «Металлурга» на борту вылетел из</t>
  </si>
  <si>
    <t>Станислав, в бесплатных источниках только на Триколор ТВ есть.
https://m.tricolor.tv/channelpackages/servisy/prilozhenie-trikolor-onlayn-tv/
Скачиваешь приложение и трансляция будет по каналу Наш спорт-5.
Либо, заплатить $2-3 за месяц и смотреть 3000 каналов, включая кучу спортивных</t>
  </si>
  <si>
    <t>Viktor Sergeevich</t>
  </si>
  <si>
    <t>ФК «Металлург» Липецк | Официальная группа</t>
  </si>
  <si>
    <t>Липецк</t>
  </si>
  <si>
    <t>04:42</t>
  </si>
  <si>
    <t>17.07.2021 04:43</t>
  </si>
  <si>
    <t>Илья, И что реально , что-то из ваших списков добавляют ?</t>
  </si>
  <si>
    <t>18.07.2021 20:00</t>
  </si>
  <si>
    <t>infoslash.net</t>
  </si>
  <si>
    <t>18.07.2021 08:03</t>
  </si>
  <si>
    <t>0522ua.com</t>
  </si>
  <si>
    <t>17.07.2021 09:11</t>
  </si>
  <si>
    <t>Прямую трансляцию матча второго тура Олимп-ФНЛ «Торпедо» - «Спартак-2» можно будет увидеть еще и в Триколоре! Три</t>
  </si>
  <si>
    <t>Как пустили по стране цифру, то триколору не позавидуешь. От тарелок многие избавились.</t>
  </si>
  <si>
    <t>Алексей Слатюхин</t>
  </si>
  <si>
    <t>FC Torpedo Moscow, ФК Торпедо Москва</t>
  </si>
  <si>
    <t>Сараи</t>
  </si>
  <si>
    <t>01:26</t>
  </si>
  <si>
    <t>17.07.2021 01:28</t>
  </si>
  <si>
    <t>Здравствуйте. Как это исправить?</t>
  </si>
  <si>
    <t>На канале CINEMA почти что каждый фильм блокируется, проще вообще архив отключить</t>
  </si>
  <si>
    <t>Андрей Шерстобитов</t>
  </si>
  <si>
    <t>00:34</t>
  </si>
  <si>
    <t>17.07.2021 01:31</t>
  </si>
  <si>
    <t>КАРУСЕЛЬ РАЗЖИЖАЕТ МОЗГ [ Треш Обзор ]</t>
  </si>
  <si>
    <t>Я перестал смотреть "Карусель" в феврале 2015 года, когда спутниковую тарелку "Триколор" поставил. И теперь, когда я вижу, чё щас творится на Карусели, я думаю: вовремя я бросил это смотреть.</t>
  </si>
  <si>
    <t>Михаил Набатников</t>
  </si>
  <si>
    <t>Chuck Review</t>
  </si>
  <si>
    <t>16.07.2021</t>
  </si>
  <si>
    <t>17.07.2021 00:45</t>
  </si>
  <si>
    <t>а прикинь такой битая прошивка прилетает и ВСЁ ПИЗДА РУЛЮ</t>
  </si>
  <si>
    <t>обновления прошивок ресиверов триколора be like</t>
  </si>
  <si>
    <t>100bit ^DZ^NiS</t>
  </si>
  <si>
    <t>Old-Hard - флудильня</t>
  </si>
  <si>
    <t>22:34</t>
  </si>
  <si>
    <t>16.07.2021 22:47</t>
  </si>
  <si>
    <t>Триколор, а смысл писать уже? Мы этому Артуру 2 раза звонили, надеялись, что вернётся на работу. Трубку никто не взял и не перезвонил. Больше в этот салон в жизни не поедем а других у нас нет</t>
  </si>
  <si>
    <t>16.07.2021 23:15</t>
  </si>
  <si>
    <t>Очень плохо
v2.5.0</t>
  </si>
  <si>
    <t>Любава</t>
  </si>
  <si>
    <t>16.07.2021 22:26</t>
  </si>
  <si>
    <t>Триколор, когда закончится этот беспросветный бардак???? Хотели расторгнуть абонентский договор, вместо этого нас уговорили на обмен. И сто в итоге? Почти сутки ждали подтверждения заявки. Подтвердили после 17:00. Когда салон был уже закрыт. Несколько раз уточнили часы работы, сказали, что сегодня до 17:00 в любое время можем это сделать. Из салона так никто и не позвонил, только смс прислали и там слова не было об изменениях в режиме работы. Бросаем все дела, приезжаем в салон, а на улице жара больше 40 градусов и выясняется что сотрудник уже давно сидит там до 15:00 а потом уезжает. Как это понимать??? Несколько звонков на номер горячей линии не помогли от слова совсем. Только последние нервы вымотали. Что в салоны что в операторы я так понимаю набирают по объявлению из ближайшей подворотни. За что люди зарплату вообще получают если демонстрируют полнейшей некомпетентность?</t>
  </si>
  <si>
    <t>16.07.2021 22:07</t>
  </si>
  <si>
    <t>Илья, триколор ужас</t>
  </si>
  <si>
    <t>Mixail Uvarkin</t>
  </si>
  <si>
    <t>17.07.2021 13:31</t>
  </si>
  <si>
    <t>Выбор ЖК телевизора</t>
  </si>
  <si>
    <t>Leon75 писал(а):да, обязательно.
Вот еще видео в облаве, его заблокировали на ютубе по понятным причинам:
https://disk.yandex.ru/i/ySIDPBU31q4b3A
Ничего не настраивал, изображение очень хорошее (ипс) - все по умолчанию, нам понравился тв, в любом случае, свои 22600 рублей он стоит.
ТВ реально огромный - то что надо.
Курьер занес тв, распаковал, прикрутил ножки, установил в нишу стенки (кронштейн прибудет только во вторник), подключил через хдми триколор тв, посмотрели что тв запускается и работает, взял свои деньги и уехал.
Пока не ковырял тв.</t>
  </si>
  <si>
    <t>Leon75</t>
  </si>
  <si>
    <t>forums.overclockers.ru</t>
  </si>
  <si>
    <t>Главная страница - Конференция Overclockers &gt; Телевизоры</t>
  </si>
  <si>
    <t>20.07.2021 21:03</t>
  </si>
  <si>
    <t>Недостатки: Нет
Прибор с подсветкой со звуковой индикацией чувствительность регулируется. Можно настроить любую тарелку, хоть с линейной хоть с круговой поляризацией</t>
  </si>
  <si>
    <t>17.07.2021 01:49</t>
  </si>
  <si>
    <t>• Сокращение до 24 туров • Первые шесть мест чемпионата формируют золотую подгруппу, которые разыграют чемпионство и</t>
  </si>
  <si>
    <t>На  следующей неделе  матч тв  будет  показывать РПЛ. А лучше скопите 8000 рублей, и поставьте Триколор тв. Там  пепрвый год пакета Единый бесплатный- вы тут же  подпишитесь  на  матч-премьер, и будете  смотреть весь  российский футбол за  299р в месяц. Только такой выход. Можете не подписыввться на матч-премьер- тогда смотрите футбол на БСТ,  Дон24, Санкт-Петербург, и ТНВ.</t>
  </si>
  <si>
    <t>Игорь Сухов</t>
  </si>
  <si>
    <t>Чемпионат: новости спорта, футбол, хоккей</t>
  </si>
  <si>
    <t>16.07.2021 21:37</t>
  </si>
  <si>
    <t>Триколор, оплатила 1500 руб. Случайно единый экста, а у меня антенна. Что делать?</t>
  </si>
  <si>
    <t>Марина Шапочкина</t>
  </si>
  <si>
    <t>оформили возврат, деньги вернули через полтора дня. не понадобилась</t>
  </si>
  <si>
    <t>Елена А.</t>
  </si>
  <si>
    <t>21:20</t>
  </si>
  <si>
    <t>16.07.2021 21:50</t>
  </si>
  <si>
    <t>Прошу совета: проблемы с интернетом</t>
  </si>
  <si>
    <t>Можно и спутниковый интернет тогда уж, триколор тот же самый</t>
  </si>
  <si>
    <t>STAR.osta</t>
  </si>
  <si>
    <t>Metel0500</t>
  </si>
  <si>
    <t>18.07.2021 04:55</t>
  </si>
  <si>
    <t>pangs8300n, gera5, не помогло ни то ни другое... 
Да ладно,фурычит кабинет через андроид на планшете,значит бум его юзать если что..</t>
  </si>
  <si>
    <t>валерик</t>
  </si>
  <si>
    <t>21:04</t>
  </si>
  <si>
    <t>Достоинства: Каналы идут по порядку и это хорошо. Быстро приняли заявку и выдали личный кабинет. Оплатил тариф за 1500 рублей, все заработало в течении 5 минут. Поддержка хорошая, все подробно объяснили и вежливо общались</t>
  </si>
  <si>
    <t>Джабраилов Руслан</t>
  </si>
  <si>
    <t>16.07.2021 20:45</t>
  </si>
  <si>
    <t>Добрый день! С каких пор триколор перестал показывать базовые федеральные каналы без активной подписки? Вечером закончилась подписка, и был неприятно удивлён что даже первый канал не показывает и требует подписки</t>
  </si>
  <si>
    <t>Павел Григорьев</t>
  </si>
  <si>
    <t>17.07.2021 02:34</t>
  </si>
  <si>
    <t>Да нет у них прямо сейчас проверенной платформы для этого. "Эфир" не раскачивают</t>
  </si>
  <si>
    <t>А им нужна прям вот своя платформа? Могут на винк в спортивный пакет добавить как нхл или с триколором как с фнл работать на пару, чтобы их маму и там, и тут передавали.</t>
  </si>
  <si>
    <t>Sergey Titov</t>
  </si>
  <si>
    <t>22.07.2021 10:04</t>
  </si>
  <si>
    <t>Триколор Комплект Триколор UHD с модулем условного доступа Европа</t>
  </si>
  <si>
    <t>Поставила бы ещё меньше!!!! Нет конвертера!!! Безобразие!!!! И как быть!!! Из за этого отказались от телевизора. Можно как то доставить деталь?</t>
  </si>
  <si>
    <t>16.07.2021 21:16</t>
  </si>
  <si>
    <t>Всё нормально, хорошее приложение с быстрой оплатой и подключением.
v2.5.0</t>
  </si>
  <si>
    <t>Сергей Дяченко</t>
  </si>
  <si>
    <t>17.07.2021 04:17</t>
  </si>
  <si>
    <t>Где смотреть бой Махачев — Мойзес: прямая онлайн-трансляция 18 июля 2021, UFC Fight Night</t>
  </si>
  <si>
    <t>В ночь на 18 июля 2021 года на арене UFC APEX в Лас-Вегасе (штат Невада, США) состоится турнир UFC Вегас 31, в главном событии которого российский боец Ислам Махачев будет драться с бразильцем Тиаго Мойзесом. Начало боя — не раньше 07:10 мск 18 июля.
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
Также турнир будет доступен в официальном приложении UFC Fight Pass.
По</t>
  </si>
  <si>
    <t>19:50</t>
  </si>
  <si>
    <t>17.07.2021 04:47</t>
  </si>
  <si>
    <t>Фирменный салон-магазин Триколор ТВ</t>
  </si>
  <si>
    <t>Оч вежливый сотрудник, всё рассказала, оформила новый договор и поменяла приставку. Один минус- нет парковки!</t>
  </si>
  <si>
    <t>Евгения Дятлова</t>
  </si>
  <si>
    <t>16.07.2021 19:47</t>
  </si>
  <si>
    <t>Зато купил тарелку триколор ТВ</t>
  </si>
  <si>
    <t>Ростислав Ярема</t>
  </si>
  <si>
    <t>Смешные анекдоты</t>
  </si>
  <si>
    <t>16.07.2021 20:23</t>
  </si>
  <si>
    <t>Отлично
v2.4.0</t>
  </si>
  <si>
    <t>Виталий Терлецкий</t>
  </si>
  <si>
    <t>17.07.2021 04:06</t>
  </si>
  <si>
    <t>Поставил все работает, как будет дальше время покажет</t>
  </si>
  <si>
    <t>игорь</t>
  </si>
  <si>
    <t>17.07.2021 05:08</t>
  </si>
  <si>
    <t>Спасибо большое сотрудникам фирмы! Они очень лояльные к клиентам. У  Мамы-пенсионерки сломался пульт от Трикол GS 8300. Так мало. Что сотрудники организации ответили на мои вопросы заранее. Они ещё и маму проконсультировали и помогли ей настроить пульт. Спасибо. Вам. Что в такое тяжёлое  время! Есть такие  сотрудники! Которые приходят на помощь пенсионерам! Спасибо!</t>
  </si>
  <si>
    <t>16.07.2021 19:06</t>
  </si>
  <si>
    <t>Россия 1 официальный вещатель,хватит пургу гнать</t>
  </si>
  <si>
    <t>Успейте подключить пакет каналов «Детский» по старой цене с новыми возможностями!
Подписка доступна как на спутнике, так и в онлайне, поэтому оформить её может практически каждый 
 21 телеканал с познавательными и развивающими телепередачами, развлекательными шоу и старыми добрыми сказками.
 Огромная онлайн-библиотека мультфильмов с любимыми героями.
 Возможность смотреть детский контент онлайн на пяти устройствах с одного Триколор ID.
 Безопасная среда, где ребёнок смотрит только те мультики, фильмы и передачи, которые подходят ему по возрасту.
Внимание ❗️ С 19 июля стоимость годовой подписки увеличится на 25 рублей в месяц и составит 1500 рублей, а месячной – 250 рублей вместо прежних 200 рублей. 
Подробности на сайте  https://ok.me/kxNk</t>
  </si>
  <si>
    <t>16.07.2021 22:16</t>
  </si>
  <si>
    <t>Успейте подключить пакет каналов «Детский» по старой цене с новыми возможностями!
Подписка доступна как на спутнике, так и в онлайне, поэтому оформить её может практически каждый 
 21 телеканал с познавательными и развивающими телепередачами, развлекательными шоу и старыми добрыми сказками.
 Огромная онлайн-библиотека мультфильмов с любимыми героями.
 Возможность смотреть детский контент онлайн на пяти устройствах с одного Триколор ID.
 Безопасная среда, где ребёнок смотрит только те мультики, фильмы и передачи, которые подходят ему по возрасту.
Внимание ❗️ С 19 июля стоимость годовой подписки увеличится на 25 рублей в месяц и составит 1500 рублей, а месячной – 250 рублей вместо прежних 200 рублей. 
Подробности на сайте  https://clck.ru/VyEhY</t>
  </si>
  <si>
    <t>https://scontent-bog1-1.xx.fbcdn.net/v/t1.6435-9/p960x960/216839447_4090317167689189_8401261823339620013_n.png?_nc_cat=110&amp;ccb=1-3&amp;_nc_sid=730e14&amp;_nc_ohc=7XqY7mUZrPcAX_MiQqt&amp;_nc_ad=z-m&amp;_nc_cid=0&amp;_nc_ht=scontent-bog1-1.xx&amp;oh=6ae9e82afa85a8fde3716291ace0e795&amp;oe=60F77DD4</t>
  </si>
  <si>
    <t>16.07.2021 18:18</t>
  </si>
  <si>
    <t>О, это круто, тв бокс заюзаю, а то ток с компа можно нормально было смотреть и то не с каждого.</t>
  </si>
  <si>
    <t>Дмитрий Земсков</t>
  </si>
  <si>
    <t>18:04</t>
  </si>
  <si>
    <t>16.07.2021 18:10</t>
  </si>
  <si>
    <t>хотя, когда последний раз гроза бушевала и отключилось электричество в половине поселка, то триколор не работал из-за грозы, да и проводной интернет подох у обладателей. а вот я с ноутбуком и теле2 сумел досмотреть испанцев со швейцарцами)</t>
  </si>
  <si>
    <t>Капитан Карантин</t>
  </si>
  <si>
    <t>16.07.2021 18:19</t>
  </si>
  <si>
    <t>Очень приятный бонус акция прививайся, люблю тебя мой триколор, оценка 5 баллов, всем рекомендую!
v2.5.0</t>
  </si>
  <si>
    <t>Светлана Мезенцева</t>
  </si>
  <si>
    <t>17.07.2021 03:57</t>
  </si>
  <si>
    <t>Отличный пульт. Работает</t>
  </si>
  <si>
    <t>17:38</t>
  </si>
  <si>
    <t>17.07.2021 10:43</t>
  </si>
  <si>
    <t>Здравствуйте, привëз с собой на вахту в Якутию ресивер триколор gs b520 , тарелку с конвертером раздобыл на месте , вопрос:почему скачет сила сигнала от 100 процентов до 0 , особенно на каналах с частотой 12303, на 12226 все хорошо, пожалуйста дайте ответ, а то я в тайге не к кому больше обратиться</t>
  </si>
  <si>
    <t>Алексей Петров</t>
  </si>
  <si>
    <t>17.07.2021 13:45</t>
  </si>
  <si>
    <t>16.07.2021 19:43</t>
  </si>
  <si>
    <t>прикол если лет через 10 у всех будут антенны одного из таких операторов спутниковых, вместо триколора)</t>
  </si>
  <si>
    <t>N</t>
  </si>
  <si>
    <t>linkmeup_chat</t>
  </si>
  <si>
    <t>17:01</t>
  </si>
  <si>
    <t>17.07.2021 16:31</t>
  </si>
  <si>
    <t>Профилактика и её последствия.</t>
  </si>
  <si>
    <t>Slither писал(а):У кого есть Триколор, посмотрите, пожалуйста, телеканалы Зоо ТВ и Телепутешествия идут с соотношением сторон 4:3 анаморф, вместо 16:9? Такая проблема появилась после профилактики. Смотрю эти телеканалы через московского кабельного оператора АКАДО, говорят, что сигнал принимают с 36 градуса.
Эти каналы действительно идут с соотношением сторон 4:3, но телевизор  сам преобразует их в 16:9, достаточно в настройках ТВ выставить размер картинки - ШИРОКИЙ АВТО (4:3 в 16:9).</t>
  </si>
  <si>
    <t>aleks51</t>
  </si>
  <si>
    <t>16.07.2021 16:48</t>
  </si>
  <si>
    <t>Девочки какое лучше спутниковое ТВ можно подключить в районе? И можно ли в россрочку? #СМ</t>
  </si>
  <si>
    <t>Кристина, я же говорю ПОЧТИ везде. Пусть автор позвонит им и узнает. Гораздо дешевле будет и полезнее. У меня раньше была тарелка Триколор ,продали.</t>
  </si>
  <si>
    <t>Ксюша Тысячина</t>
  </si>
  <si>
    <t>Счастливое материнство. Кемеровская область</t>
  </si>
  <si>
    <t>Ленинск-Кузнецкий</t>
  </si>
  <si>
    <t>16.07.2021 17:17</t>
  </si>
  <si>
    <t>Обновление ПО Триколор ТВ GS b521 GS b522 часть 526 531 532 533 МГц b531m и GS e521l GS GS b534m и G</t>
  </si>
  <si>
    <t>Телеинструктор смотрел</t>
  </si>
  <si>
    <t>влад Шурыгин</t>
  </si>
  <si>
    <t>Ты кой смотришь канал</t>
  </si>
  <si>
    <t>Астемир Games roblox Lada 110</t>
  </si>
  <si>
    <t>16.07.2021 22:52</t>
  </si>
  <si>
    <t>Ирину Воробьёву становится невозможно слушать. Диалог с Рыжковым: Воробьева: Вы понимаете, что это непопулярная позиция</t>
  </si>
  <si>
    <t>Ирина Воробьёва Я был постоянным слушателем радио "Эхо Москвы" с примерно 1995 года до 2015, когда закрыли "Эхо Москвы в Туле" и на "правой поляризации" в спутнике "Триколор". И был зрителем "Дождя" с момента создания до прекращения трансляции на спутнике "Триколор"
Я свидетель, как по лекалам большого зомбоящика, промывающего мозги за Путина, на этих станциях зомбировали аудиторию за Навального.
В частности в 2013 году малый змбоящик полгода активно с июня по декабрь промывал аудитрии мозги и лепил из Алексея Навального образ лидера</t>
  </si>
  <si>
    <t>Наталья Берёза</t>
  </si>
  <si>
    <t>Достоинства: все работает
Недостатки: не обнаружил
Все отлично работает. Было 7 дней бесплатного периода. скидка не обман, смело покупайте пока действует. звонил представителям из своего города(Казань), озвучили цену в 5600. не верили мне, что на "Озон" така низка цена, сказали что она меньше закупочной цены.</t>
  </si>
  <si>
    <t>Константин А.</t>
  </si>
  <si>
    <t>16.07.2021 16:18</t>
  </si>
  <si>
    <t>Уважаемые работники телевизионной вышки.Обращаюсь к вам с просьбой, и наверное я такая не одна.Живу на даче,подключен</t>
  </si>
  <si>
    <t>Поставь триколор и наслаждайся ! В любой дыре будет сигнал и интернет !</t>
  </si>
  <si>
    <t>Сергей Дорожкин</t>
  </si>
  <si>
    <t>Подслушано | NSK | Новосокольники</t>
  </si>
  <si>
    <t>16.07.2021 15:44</t>
  </si>
  <si>
    <t>Добрый день, есть контакты кто может настроить Триколор? - вчера отключила в грозу, а сегодня не алё</t>
  </si>
  <si>
    <t>Дмитрий, ещё раз повторю, не обновляются определенные модели приемников! Обновить можно либо подключив приёмник на прямую к интернету либо через флешку!</t>
  </si>
  <si>
    <t>Андрей Мар</t>
  </si>
  <si>
    <t>Часцы Live</t>
  </si>
  <si>
    <t>15:26</t>
  </si>
  <si>
    <t>Я пересмотрел финал Евро-2020. Италия могла выиграть без мучений и не доводить дело до пенальти</t>
  </si>
  <si>
    <t>.       Даже в худшие времена англичане так не играли. Часто они действовали довольно примитивно, но все-таки смело. Какая Big Data? Это архаика. Дальше уже триколор ТВ, сайт одноклассники, книги Старикова/Фоменко/Носовского и фильмы Сарика Андреасяна. Ты ведешь в счете в финале чемпионата Европы! На своем поле. Перед своими болельщиками. Занавес. Но у Саутгейта был какой-то план? Целых два хитрых плана. Схема 3-4-3, которая быстро рассыпалась и трансформировалась в 5-3-2. И опека Жоржиньо… треквартистой-Кейном. Гениальный ход. Самое забавное, что</t>
  </si>
  <si>
    <t>sports.ru</t>
  </si>
  <si>
    <t>sports equipment</t>
  </si>
  <si>
    <t>sport venue,competition,sports,games,championship,indoor games and sports,stadium,individual sports,tennis,ball game</t>
  </si>
  <si>
    <t>16.07.2021 15:06</t>
  </si>
  <si>
    <t>Когда на Триколор тв появятся новые каналы,в том числе в HD качестве, и региональные каналы РИФЕЙ  ПЕРМЬ, МЭТР ТВ ИЗ МАРИЙ ЭЛ , ДЕВЯТКА ТВ ИЗ КИРОВА?</t>
  </si>
  <si>
    <t>16.07.2021 15:46</t>
  </si>
  <si>
    <t>Hisense Телевизор 55U7QF, 55", UHD, Smart TV, Wi-Fi, DVB-T2/T/C/S2/S</t>
  </si>
  <si>
    <t>Телевизор пришел  в течение 5 дней, телевизор вскрывал в пункте выдачи, включил в розетку- к упаковке, матрице и остальному замечаний нет. Потом оплатил  картой и девушка на выдаче товара помогла его положить в машину. Телевизор работает неделю,  обновился, работает от тарелки триколор- все устраивает.</t>
  </si>
  <si>
    <t>16.07.2021 15:03</t>
  </si>
  <si>
    <t>Semen, матч в 19.00</t>
  </si>
  <si>
    <t>Николай Строков</t>
  </si>
  <si>
    <t>16.07.2021 15:01</t>
  </si>
  <si>
    <t>Осторожно, мошенники!!!! - Отзывы о Триколор ТВ</t>
  </si>
  <si>
    <t>Не оплачивайте через сайт tricolorpay.ru Это мошенники в чистом виде. Имела неосторожность и поспешность оплатить услугу Триколор ТВ через этот сайт, т.к в поисковике Гугл они были на первом месте. ИТОГ понятен ни денег, ни услуг. На обращения не отвечают. 
Жалоба В Тильду отправлена. Надеюсь в скором времени этот вредоносный сайт удалят.</t>
  </si>
  <si>
    <t>16.07.2021 14:57</t>
  </si>
  <si>
    <t>Матч в 17:00, а показывать будут в 18:45! Это как?? В записи что ли??)</t>
  </si>
  <si>
    <t>Semen Smirnov</t>
  </si>
  <si>
    <t>14:34</t>
  </si>
  <si>
    <t>16.07.2021 14:34</t>
  </si>
  <si>
    <t>Semen, Должен показывать !</t>
  </si>
  <si>
    <t>СТРАШНЫЙ СОН БУКОВ</t>
  </si>
  <si>
    <t>Здравствуйте. Решил установить кондиционер. Посоветовали обратиться в компанию clim-lim, директором которой является</t>
  </si>
  <si>
    <t>Наталья, в жизни бывает всякое, можно встретиться с человеком поговорить, а в интернет выставлять и портить имя человеку, для меня это как то не красиво думаю. В свое время устанавливал триколор, но из погодных условий дождь и морозы люди ждали, и все понимали, хотя многие оплачивали за оборудование заранее.</t>
  </si>
  <si>
    <t>Николай Трошин</t>
  </si>
  <si>
    <t>Саранск | Доска Позора</t>
  </si>
  <si>
    <t>Чамзинка</t>
  </si>
  <si>
    <t>16.07.2021 14:46</t>
  </si>
  <si>
    <t>На России 1 будут показывать Скобееву, эфир не резиновый, какая олимпиада</t>
  </si>
  <si>
    <t>Никита Абрамов</t>
  </si>
  <si>
    <t>16.07.2021 14:26</t>
  </si>
  <si>
    <t>А яндекс эфир уже не будет показывать?</t>
  </si>
  <si>
    <t>16.07.2021 14:35</t>
  </si>
  <si>
    <t>Мишустин утвердил оператора социальной рекламы в интернете.</t>
  </si>
  <si>
    <t>/index.php/Медиа-коммуникационного_союза_(МКС) .
Ассоциация МКС, которую возглавлял Петров, организована телекоммуникационными и медиа-компаниями. Ее членами являются «СТС-Медиа https://www.tadviser.ru/index.php/СТС-Медиа », «Триколор-ТВ https://www.tadviser.ru/index.php/Триколор-ТВ », «Ростелеком https://www.tadviser.ru/index.php/Ростелеком », «Эр-Телеком https://www.tadviser.ru/index.php/Эр-Телеком » и другие компании.
МКС известна тем, что в 2015 г. предлагала запретить один из основополагающих протоколов интернета UDP для борьбы с торрент</t>
  </si>
  <si>
    <t>tadviser.ru</t>
  </si>
  <si>
    <t>clothing,suit,formal wear,blazer</t>
  </si>
  <si>
    <t>business,official,management,news conference,meeting,presentation</t>
  </si>
  <si>
    <t>16.07.2021 13:50</t>
  </si>
  <si>
    <t>Советские мультфильмы добавте и сказки</t>
  </si>
  <si>
    <t>16.07.2021 13:49</t>
  </si>
  <si>
    <t>Когда появиться фильм знаки реальные кабаны чужие все части охотники за привидениями все части дрожь земли все части и такси все части бинго бонго васаби крокодил данди все части их так нету</t>
  </si>
  <si>
    <t>17.07.2021 01:40</t>
  </si>
  <si>
    <t>Телевизор Samsung UE43TU7100U 43" (2020)</t>
  </si>
  <si>
    <t>Достоинства: Скорость работы, загрузка приложений, цвета
Недостатки: Не нашел
Для домашнего пользования в режиме 50% антенна и 50% интернет/триколор - оптимальный вариант</t>
  </si>
  <si>
    <t>Дядя Ж.</t>
  </si>
  <si>
    <t>Обнинск</t>
  </si>
  <si>
    <t>16.07.2021 22:17</t>
  </si>
  <si>
    <t>clothing,natural environment,water,sky,swimwear,sea,poster,wave</t>
  </si>
  <si>
    <t>nature,sports,vacation,summer,fun,beach,holiday,swimming pool</t>
  </si>
  <si>
    <t>https://scontent-bog1-1.xx.fbcdn.net/v/t1.6435-9/e15/q75/p960x960/215655284_4089679161086323_723360650746637232_n.jpg?_nc_cat=102&amp;ccb=1-3&amp;_nc_sid=730e14&amp;_nc_ohc=gR1iO-uO3A8AX_QRqTk&amp;_nc_ad=z-m&amp;_nc_cid=0&amp;_nc_ht=scontent-bog1-1.xx&amp;oh=6e7cfcd3f76f9d471b5858c719c374c6&amp;oe=60F61438</t>
  </si>
  <si>
    <t>16.07.2021 13:35</t>
  </si>
  <si>
    <t>clothing,natural environment,sky,water,swimwear,sea,text,poster,wave</t>
  </si>
  <si>
    <t>nature,vacation,summer,fun,beach,holiday</t>
  </si>
  <si>
    <t>16.07.2021 13:46</t>
  </si>
  <si>
    <t>Сложная задача.  Куда делся второй, но это не столь важно. Какой оператор? Приёмники использовались или cl  модули?</t>
  </si>
  <si>
    <t>Валентин Булычев</t>
  </si>
  <si>
    <t>Кондопога</t>
  </si>
  <si>
    <t>16.07.2021 13:44</t>
  </si>
  <si>
    <t>По ту сторону изгороди</t>
  </si>
  <si>
    <t>Триколор это 300 каналов на которых один калл и смотреть там нечего, я как только интернет провёл, у меня предки перестали ТВ смотреть, последовали моему примеру, иви, кинопоиск ютуб,</t>
  </si>
  <si>
    <t>inok25</t>
  </si>
  <si>
    <t>Привет из Ярославля =)
У жены родители в своей доме в Гаврилов-яме. Инет в телефоне очень плохо ловит. Но и не нужен за 3к в месяц. Телевидение вот триколор тарелка.</t>
  </si>
  <si>
    <t>WayDownWeGo</t>
  </si>
  <si>
    <t>18.07.2021 18:38</t>
  </si>
  <si>
    <t>Пульт Huayu DTS53 (DTS54) для ресиверов Триколор</t>
  </si>
  <si>
    <t>Достоинства: Всё
Недостатки: Нет
Работает всё супер</t>
  </si>
  <si>
    <t>16.07.2021 20:10</t>
  </si>
  <si>
    <t>Ustym 4K PRO [Linux]</t>
  </si>
  <si>
    <t>Всем привет, планирую купить данный ресивер. Есть пару вопросов:
1. У меня есть офф. Триколор CI+, так же Шара НТВ+, какой лучше всего использовать эмулятор для Шары для Denys_OS?
2. Есть ли у него возможность подключения внешнего приёмника ИК-сигнала? Просто планирую его убрать в шкаф.
Сообщение отредактировал HD Gluk //4pda.to/forum/index.php?showuser=954014  - Сегодня, 13:30</t>
  </si>
  <si>
    <t>HD Gluk</t>
  </si>
  <si>
    <t>4PDA &gt; Цифровые ресиверы</t>
  </si>
  <si>
    <t>16.07.2021 13:03</t>
  </si>
  <si>
    <t>Инна, неет уж,в деревню 20 каналов хватит а триколор еще годовое обслуж.1500((((,да еще и мастеров если вызывать от 300руб((</t>
  </si>
  <si>
    <t>Сашенька Вадимкина</t>
  </si>
  <si>
    <t>17.07.2021 05:35</t>
  </si>
  <si>
    <t>Спутниковый ресивер General Satellite U510 Триколор ТВ - Из двух моих приемников - лучший</t>
  </si>
  <si>
    <t>Нам очень жаль, что у вас сложилось такое мнение о нашей компании. На нашем сайте вы можете ознакомиться со списком телеканалов, транслируемых Триколором, а также актуальными пакетами, которые включают в себя различный контент: https://www.tricolor.tv/channelpackages/?source=header§ion=hamburger&amp;menu=clients. Надеемся, что вы сможете подобрать для себя подходящий вариант. Если у вас возникли трудности при пользовании услугами Триколора рекомендуем оперативно связаться с нашей Службой поддержки и описать детально проблему – наши коллеги сделают всё возможное, чтобы решить её. Все доступные способы связи размещены на tricolor.tv в разделе «Помощь».</t>
  </si>
  <si>
    <t>Спутниковый ресивер General Satellite U510 Триколор ТВ</t>
  </si>
  <si>
    <t>16.07.2021 12:42</t>
  </si>
  <si>
    <t>Можно, но мало.</t>
  </si>
  <si>
    <t>16.07.2021 12:02</t>
  </si>
  <si>
    <t>Триколор, вы месяц назад также говорили</t>
  </si>
  <si>
    <t>ТОЖЕ САМОЕ И НА В-527-НЕТ ТРАНСЛЯЦИИ ФИЛЬМОВ ОНЛАЙН И НЕТ ПРИЕМА КАНАЛОВ ЧЕРЕЗ ИНТЕРНЕТ.</t>
  </si>
  <si>
    <t>Леонид Слуцкий</t>
  </si>
  <si>
    <t>Привет когда появиться радио раздел я так и буду долго листать</t>
  </si>
  <si>
    <t>16.07.2021 11:41</t>
  </si>
  <si>
    <t>Пишите своему оператору. Может и договоритесь</t>
  </si>
  <si>
    <t>Дмитрий Суетин</t>
  </si>
  <si>
    <t>Было два телевизора,остался один.До конца подписки осталось 48 дней.Оплачено за два телевизора.можно ли деньги со второго телевизора перекинуть на первый?</t>
  </si>
  <si>
    <t>Ольга Нико</t>
  </si>
  <si>
    <t>16.07.2021 12:57</t>
  </si>
  <si>
    <t>В Европе засомневались в экономическом обосновании вещания в 8K - ObOb TV</t>
  </si>
  <si>
    <t>В Европе засомневались в экономическом обосновании вещания в 8K
Многие наши читатели наверняка знакомы с телеканалами, которые вещают в ультрачётком качестве изображения (UHD/4K). Особенно это касается абонентов спутникового оператора “Триколор” с современным оборудованием, т.к. они имеют возможность смотреть как минимум два телеканала в UHD. В большинстве случаев, по достоинству оценить качество “картинки” они не могут, т.к. для полноценной оценки требуется и соответствующий телевизор. Со временем, количество зрителей, которые смотрят</t>
  </si>
  <si>
    <t>obob.tv</t>
  </si>
  <si>
    <t>monitor,personal computer,computer,display device,screen,television,computer monitor,electronic device,flat panel display,gadget,output device,desktop computer,tablet computer</t>
  </si>
  <si>
    <t>11:15</t>
  </si>
  <si>
    <t>16.07.2021 12:49</t>
  </si>
  <si>
    <t>Спасибо, помогло!!!</t>
  </si>
  <si>
    <t>Пека 163</t>
  </si>
  <si>
    <t>16.07.2021 10:56</t>
  </si>
  <si>
    <t>Сколько стоит колония на Марсе</t>
  </si>
  <si>
    <t>Никита, так и толку …..ещё один коммерческий интернет доступ к которому ничем не отличается от триколора  задумка какая была ? Ты вдруг в лесу вокруг нихрена но благодаря интернету ты можешь со смарта подключиться и быть в ресурсе , а на деле купите тарелку купите роутер ещё и абон плату в 3 косаря</t>
  </si>
  <si>
    <t>Кирилл Шумский</t>
  </si>
  <si>
    <t>Типичный Миллиардер</t>
  </si>
  <si>
    <t>пульт работает отлично</t>
  </si>
  <si>
    <t>16.07.2021 12:21</t>
  </si>
  <si>
    <t>Wink</t>
  </si>
  <si>
    <t>alexx46 @ 15.07.21, 19:19  /forum/index.php?act=findpost&amp;pid=108007624 не соглашусь немного с вами приложение wink по юзабильности чуть чуть не до тягивает до приложения от триколор. Попробуйте и поймете
Ну в винке хотя бы можно переключать каналы с кнопок пульта цифрами, а в триколоре такого нету, тока через меню 900 каналов вверх-вниз гонять стрелками, тоже то ещё удовольствие</t>
  </si>
  <si>
    <t>Doctor RU</t>
  </si>
  <si>
    <t>16.07.2021 17:56</t>
  </si>
  <si>
    <t>Внешние тюнеры DVB-T2: выбор, сравнение, обсуждение (часть 6) [63]</t>
  </si>
  <si>
    <t>операторов: ООО «Орион Экспресс», ООО «Телекарта» (Телекарта), ООО «Спутниковое ТВ» (МТС), ООО «НТВ-ПЛЮС» (НТВ-Плюс), НАО «НСК» (Триколор ТВ) показать Паспорт с регистрацией и заключить специальный Договор - только 20 каналов - БЕСПЛАТНО.
Единственный недостаток - отсутствие региональных врезок в Россия 1, 24 и ОТР (т.е. никакой региональной информации)
ну и отсутствие какой-либо региональной рекламы (только прямая федеральная).
И конечно разово - затраты на спутниковый комплект и его установку (если до этого ничё не было).
Можно и комбинированно</t>
  </si>
  <si>
    <t>homyak</t>
  </si>
  <si>
    <t>TV- и FM-тюнеры, видеовход, видеовыход</t>
  </si>
  <si>
    <t>16.07.2021 17:33</t>
  </si>
  <si>
    <t>LG SMART TV WebOs [tvOS]</t>
  </si>
  <si>
    <t>evil_monkey @ 15.07.21, 15:17  /forum/index.php?act=findpost&amp;pid=108005104 это скорее webOS 2.0
похоже в LG сторе просто нет этого приложения для вашей версии ОС
Видимо так и есть. И обновления оси уже и не будет. Телек 2014 года.а Лыжи очень не любят обновы делать уже сталкивался с этим. Хочу ещё купить тедевизор LG  с ввозможностью установки кам модуля и встроенным спутниковым ресивероми как и этот и  функцией смарта и диагональю до 20 дюймов для не однодневных  выездов на природу отдых, рыбалку. Хотелось просто  в этот телек сейчас кроме модуля триколора ещё и кион с телевизора поставить. но видать не судьба, чтобы приставками порты hdmi не занимать.Правда Триколор ТВ  поставил приложение.  Меньше апаратуры в выезды таскать целее будет она. Теперь буду искать с версией 3.0 Web OS.Нравятся мне лыжи.</t>
  </si>
  <si>
    <t>pips01</t>
  </si>
  <si>
    <t>09:46</t>
  </si>
  <si>
    <t>16.07.2021 09:59</t>
  </si>
  <si>
    <t>Даже смотреть не буду эту парашу</t>
  </si>
  <si>
    <t>16.07.2021 16:20</t>
  </si>
  <si>
    <t>У кого есть Триколор, посмотрите, пожалуйста, телеканалы Зоо ТВ и Телепутешествия идут с соотношением сторон 4:3 анаморф, вместо 16:9? Такая проблема появилась после профилактики.</t>
  </si>
  <si>
    <t>Slither</t>
  </si>
  <si>
    <t>16.07.2021 09:10</t>
  </si>
  <si>
    <t>Разыскивается мастер по телевизионным антеннам. Необходимо определить и устранить причину исчезновения сигнала с антенны</t>
  </si>
  <si>
    <t>Алексей Подымин здравствуйте, вы тарелками триколор тоже занимаетесь?Пропал сигнал почти со всех каналов. Простой поиск результата не даёт. Было все хорошо</t>
  </si>
  <si>
    <t>Elena  Ivasishina</t>
  </si>
  <si>
    <t>КРАТОВО</t>
  </si>
  <si>
    <t>16.07.2021 08:57</t>
  </si>
  <si>
    <t>Скажите, пожалуйста, что слышно по третий мультиплекс? В этом году должны были запускать</t>
  </si>
  <si>
    <t>Андрей, указанные каналы были на ТРИКОЛОРЕ, не могу сказать, что впечатлили, так себе, не лучше других. Лучше скажи, какие каналы тебе нравятся. Людям всех возрастов  нравятся разные каналы, поэтому каждому не угодишь. И на КУЛЬТУРЕ, и на ОТР есть интересные познавательные передачи. Да и верующих людей у нас все больше, СПАС очень даже смотрят люди.</t>
  </si>
  <si>
    <t>Телевидение и радио в Ульяновске и области (16+)</t>
  </si>
  <si>
    <t>Спасибо за видео!</t>
  </si>
  <si>
    <t>Drogon Fire 2</t>
  </si>
  <si>
    <t>16.07.2021 07:46</t>
  </si>
  <si>
    <t>Здравствуйте, есть кто хорошо разбирается в триколор? С приемником всё нормально, нет сигнала.</t>
  </si>
  <si>
    <t>Светлана, такая ситуация в 2016, 2017-ом была у многих, точнее у тех, у кого приемники с 2012 года.</t>
  </si>
  <si>
    <t>Татьяна Павлова</t>
  </si>
  <si>
    <t>Новое Ступино</t>
  </si>
  <si>
    <t>06:27</t>
  </si>
  <si>
    <t>16.07.2021 06:27</t>
  </si>
  <si>
    <t>Алина, эта приставка работант на ура, была еще тарелка триколор,замучились, то сигнал не ловит, то дерево переросло не ловит,то дождь не ловит сигнал(((.</t>
  </si>
  <si>
    <t>04:58</t>
  </si>
  <si>
    <t>16.07.2021 18:15</t>
  </si>
  <si>
    <t>Почему люди переплачивают за спутниковое ТВ, если есть Wink или Megogo, а лучше всего iLookTV или ottg.tv?</t>
  </si>
  <si>
    <t>Не будем вдаваться в подробности, а просто порассуждаем. В год за триколор я плачу 1200 рублей ( в месяц-100 рублей). За интернет выходит минимум 400 в месяц ( и ещё надо постараться найти дешёвого провайдера). Итого в год выйдет 4800. Я не очень сведущ в тарифах на мобильный интернет, но мне кажется, что интернет за 100 рублей в месяц ( 1200 в год) немного, мягко говоря, недоступен. У меня в месяц только на разговоры по мобиле может уйти 500 рублей.
Как говорил один знакомый военный, если вы мне докажете, что моя получка в 400 рублей (это было в давние времена) меньше пенсии в 150 рублей, то я завтра же выйду на пенсию.</t>
  </si>
  <si>
    <t>Андрей Ливерко</t>
  </si>
  <si>
    <t>Ответы@Mail.Ru: Все категории &gt; Техника</t>
  </si>
  <si>
    <t>04:01</t>
  </si>
  <si>
    <t>16.07.2021 04:37</t>
  </si>
  <si>
    <t>Гораздо лучше, чем было ещё год назад, но нет предела совершенству.
v2.5.0</t>
  </si>
  <si>
    <t>Павел Жиндистул</t>
  </si>
  <si>
    <t>01:18</t>
  </si>
  <si>
    <t>17.07.2021 04:28</t>
  </si>
  <si>
    <t>Приколы далее: попробывал войти в лк Трико через планшет(Андроид). Прикольно-вошел в лк без проблем! Правда вернул старую версию ЛК. Нашел вУслугах активную акцию Единый Ultra на 1 месяц (за прививку) -активировал ее без продления.
(до 17.08.2021г). Глядь а моя ранее услуга Единый (которая заканчивалась лишь в 10 месяце) почему то исчезла(статус Неактивна,остаток дней-0 ;действует до- (не указано)!  Надеюсь она восстановится после 17.08? Или...</t>
  </si>
  <si>
    <t>00:51</t>
  </si>
  <si>
    <t>16.07.2021 04:02</t>
  </si>
  <si>
    <t>Полезно</t>
  </si>
  <si>
    <t>Увлечения Северянина.</t>
  </si>
  <si>
    <t>00:09</t>
  </si>
  <si>
    <t>16.07.2021 02:07</t>
  </si>
  <si>
    <t>Позавчера только эту тему обсуждала с челом одним, у него триколор вроде. Горит 20 баксов в год платит и тв отменное. Качество тип лучше чем hd</t>
  </si>
  <si>
    <t>Tatiana</t>
  </si>
  <si>
    <t>Грушвилль Сябитова</t>
  </si>
  <si>
    <t>18.07.2021 06:22</t>
  </si>
  <si>
    <t>В ночь с 17 на 18 июля мск в Лас-Вегасе (США) пройдёт турнир по смешанным единоборствам UFC Вегас 31. Его главным событием станет бой Ислама Махачева и Тиаго Мойзеса. Ориентировочное время начала боя — в 7:10 мск. 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 Также турнир будет доступен в официальном приложении UFC Fight Pass. Последний раз Махачев бился в марте 2021</t>
  </si>
  <si>
    <t>news.myseldon.com</t>
  </si>
  <si>
    <t>18.07.2021 05:48</t>
  </si>
  <si>
    <t>Стивенс — Матеуш ГамротРодолфо Виейра — Дастин СтольцфусГабриэль Бенитез — Билли Куарантилло.Предварительный кардДэниел Родригес — Престон ПарсонсАманда Лемос — Монтсеррат РуизХалид Таха — Сергей МорозовМайлс Джонс — Андерсон дос СантосФрансиско Фигередо — Малколм ГордонАлан Баду — Родриго Феррейра.Предварительный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платформах.Также турнир будет доступен в официальном приложении UFC Fight Pass.</t>
  </si>
  <si>
    <t>18.07.2021 02:44</t>
  </si>
  <si>
    <t>В Лас-Вегасе (США) на стадионе «ЮЭфСи Апекс» в ночь с 17 на 18 июля мск состоится турнир по смешанным единоборствам UFC Vegas 31, в главном поединке которого сойдутся 29-летний россиянин Ислам Махачев и 26-летний представитель Бразилии Тиаго Мойзес. Ориентировочное время начала боя — в 7:10 мск.Предварительный и основной кард, включающий главный бой Ислама Махачева и Тиаго Мойзеса, можно посмотреть на телеканале UFC ТВ, расположенном в сервисе Wink, который доступен на Ростелекоме, Триколоре и других платформах.Также турнир будет доступен в</t>
  </si>
  <si>
    <t>15.07.2021</t>
  </si>
  <si>
    <t>15.07.2021 23:45</t>
  </si>
  <si>
    <t>Господа товарищи, а кто-нибудь знает что с электричеством на Красном Октябре? Анон пожалуйста...</t>
  </si>
  <si>
    <t>У нас телевизор и приемник триколор после грозы не работают.</t>
  </si>
  <si>
    <t>Ирина Давыдова-Лунчикова</t>
  </si>
  <si>
    <t>Подслушано Киржач</t>
  </si>
  <si>
    <t>Киржач</t>
  </si>
  <si>
    <t>23:39</t>
  </si>
  <si>
    <t>Спутниковый конвертер Green Line GL-101 SRL UHD (Триколор ТВ , НТВ +)</t>
  </si>
  <si>
    <t>Вроде работает</t>
  </si>
  <si>
    <t>Рамис Ф.</t>
  </si>
  <si>
    <t>Спутниковый конвертер  Green Line GL-101 SRL UHD (Триколор ТВ , НТВ +)</t>
  </si>
  <si>
    <t>16.07.2021 06:21</t>
  </si>
  <si>
    <t>Пульт работает. К модели 8603 подошел.</t>
  </si>
  <si>
    <t>15.07.2021 23:01</t>
  </si>
  <si>
    <t>Видео задержания главы полиции Егорьевска Видео KP.ru Подписывайся на "Егорьевск Journal" ВК - https://vk</t>
  </si>
  <si>
    <t>Егорьевск Journal, а Вы передайте Егорьевскому ТВ, пускай  в список Триколор ТВ присоединяться,тогда мы их посмотрим</t>
  </si>
  <si>
    <t>Максим Соболев</t>
  </si>
  <si>
    <t>Егорьевск Journal</t>
  </si>
  <si>
    <t>16.07.2021 08:25</t>
  </si>
  <si>
    <t>Достоинства: Нет
Недостатки: Сгорел через 20 минут работы
Никогда не покупайте</t>
  </si>
  <si>
    <t>Альберт Д.</t>
  </si>
  <si>
    <t>Достоинства: чего то показывает,  нет абонентки
Недостатки: очень плохое соединение с сервером, постоянно помехи
даже не знаю стоило ли покупать, лучше бы купил нормальный приёмник</t>
  </si>
  <si>
    <t>Андрей П.</t>
  </si>
  <si>
    <t>22:16</t>
  </si>
  <si>
    <t>15.07.2021 22:29</t>
  </si>
  <si>
    <t>? а что так интересно смотреть Олимпиаду? где все куплено и после нескольких лет могут отнять медаль из-за решения ВАДА?</t>
  </si>
  <si>
    <t>Ростислав Морев</t>
  </si>
  <si>
    <t>Так вроде только 9 россиян поедут.На фига её вообще показывать?</t>
  </si>
  <si>
    <t>15.07.2021 22:09</t>
  </si>
  <si>
    <t>Мне безразнеце покаму каналу будут показовать олемпиаду</t>
  </si>
  <si>
    <t>15.07.2021 21:48</t>
  </si>
  <si>
    <t>Роман, Будет и Россия1 показывать олимпиаду. уже анонс есть.</t>
  </si>
  <si>
    <t>Юра Поликарпов</t>
  </si>
  <si>
    <t>Таловая</t>
  </si>
  <si>
    <t>Такую Олимпиаду можно и не показывать вовсе. Одобряю решение канала Россия.</t>
  </si>
  <si>
    <t>Роман Коновалов</t>
  </si>
  <si>
    <t>@OKHamRadio ... А я с такой тарелки 5 витков спирали на сатком сделал, все же не пропадать железяке))</t>
  </si>
  <si>
    <t>КСВ 1.0 Radio</t>
  </si>
  <si>
    <t>Отлично.У нас ++ больше смотрят, чем триколор</t>
  </si>
  <si>
    <t>Олександр RDTech</t>
  </si>
  <si>
    <t>15.07.2021 21:34</t>
  </si>
  <si>
    <t>Доброй ночи посоветуйте пожалуйста какую антенну приобрести на дачу Триколор или МТС  Где купить ??? И кто устанавливает??? Может кто конкретно этим занимается??? Спасибо большое</t>
  </si>
  <si>
    <t>Розалия Галимова</t>
  </si>
  <si>
    <t>Благовещенск РБ [Башкортостан] Башкирия</t>
  </si>
  <si>
    <t>Амурская область</t>
  </si>
  <si>
    <t>Благовещенск</t>
  </si>
  <si>
    <t>Здравствуйте. Олимпийские игры покажут Первый канал и Матч ТВ. Первый канал покажет церемонию открытия, а Россия 1 не будет показывать Олимпиаду.</t>
  </si>
  <si>
    <t>16.07.2021 04:03</t>
  </si>
  <si>
    <t>Не поверите, есть ))) и просят продлить подписку )))</t>
  </si>
  <si>
    <t>15.07.2021 21:28</t>
  </si>
  <si>
    <t>Привет всем! Подскажите могу ли я оплатить триколор из Казахстана триколор был куплен в Новосирской обл?</t>
  </si>
  <si>
    <t>Плати через киви</t>
  </si>
  <si>
    <t>20.07.2021 05:22</t>
  </si>
  <si>
    <t>Триколор вчера прислал, но мне кажется, не тот пакет они выбрали в поощрение, надо было "Ночным" завлекать</t>
  </si>
  <si>
    <t>Оксана Лисохмара</t>
  </si>
  <si>
    <t>monitor,output device,display device,flat panel display,screen,electronic device,television,text,projection screen,computer monitor,gadget,signage</t>
  </si>
  <si>
    <t>https://scontent.ftpe5-1.fna.fbcdn.net/v/t39.30808-6/e15/q75/p720x720/217724406_4800746573282565_8535782121855800120_n.jpg?_nc_cat=101&amp;ccb=1-3&amp;_nc_sid=8bfeb9&amp;_nc_ohc=-hi3Pv3pr3cAX8bxWbY&amp;_nc_ad=z-m&amp;_nc_cid=0&amp;_nc_ht=scontent.ftpe5-1.fna&amp;oh=50690e9942e04f9f6f083020da505f40&amp;oe=60FA5F1F</t>
  </si>
  <si>
    <t>15.07.2021 21:08</t>
  </si>
  <si>
    <t>Лева, никто не знает, проживёт ли после прививки срепец год)))</t>
  </si>
  <si>
    <t>15.07.2021 21:02</t>
  </si>
  <si>
    <t>Добрый день, подскажите какой интернет лучше провести в д. Зарудня , что бы был скоростной и не сильно дорогой</t>
  </si>
  <si>
    <t>Владимир, у триколора посмотри сколько стоит оборудование и сколько стоит интернет, будешь поражён</t>
  </si>
  <si>
    <t>Николай Хохлов</t>
  </si>
  <si>
    <t>Подслушано Коломна</t>
  </si>
  <si>
    <t>15.07.2021 21:01</t>
  </si>
  <si>
    <t>@OKHamRadio конечно помню. Скайграбер, по моему, а для просмотра - прогДВБ. До сих пор компьютерная внешняя карта лежит дома Tevii 600, по моему называется. Дома стоит 2 метровая прямофокусная антенна svec, в прямом фокусе двойная голова на два диапазона сразу, направлена на ямал 201 90 градусов, ну и плюсом 2 маленькие головы рядом</t>
  </si>
  <si>
    <t>Алексей Буянов</t>
  </si>
  <si>
    <t>16.07.2021 19:25</t>
  </si>
  <si>
    <t>ГА сделал так, что тема голосовать за Яблоко или за думское дерьмецо уже неделю в центре внимания. И если я его увижу,</t>
  </si>
  <si>
    <t>15.07.2021 20:46</t>
  </si>
  <si>
    <t>Спокойно оплачивайте через интернет на официальном сайте триколор, указываете пакет и ID приёмника, оплата картой виза</t>
  </si>
  <si>
    <t>Иван Потапенко</t>
  </si>
  <si>
    <t>Спасибо, появилось цифровое ,и я от тарелки отказался ,цифровое работает в любых условиях ,а с тарелкой я намучался ,дождь ,туман почему-то влияют, а шорты нужно делать они помогают ✋</t>
  </si>
  <si>
    <t>все просто</t>
  </si>
  <si>
    <t>16.07.2021 16:22</t>
  </si>
  <si>
    <t>stitofff писал(а):Кстати, ещё одно пожелание. Поменяйте картинки на "Футбольном" на те, которые используются в ЕПГ "Нашего спорта". Как хорошо на "Нашем спорте". Сразу понятно, где женский футбол, где ФНЛ, и какие финты ушами в ЕПГ "Футбольного". Для каналов "Большого эфира", может, тоже полезней были бы логотипы конкретных турниров, чем просто картинка с площадкой по виду спорта. Вообще, идеально было бы в картинке не только логотип турнира, но и логотипы играющих команд, но и это неплохое начало. Ну и слово "футбол" в ЕПГ "футбольного</t>
  </si>
  <si>
    <t>Вот тема была, тоже этим занимался до 2009 г. Антенны 0,55 …0,9 супрал были самые нормальные из доступных антенн, а 1,2 действительно может хлипкие были, но я только одну устанавливал и думал, что такая попалась.</t>
  </si>
  <si>
    <t>15.07.2021 20:27</t>
  </si>
  <si>
    <t>Добрый вечер как оплатить триколор</t>
  </si>
  <si>
    <t>Наталья Валочкина</t>
  </si>
  <si>
    <t>15.07.2021 20:07</t>
  </si>
  <si>
    <t>Подскажите пожалуйста, у кого есть контакты (имя и телефон) мастера по настройке оборудования Триколор (установлена</t>
  </si>
  <si>
    <t>Александр, спасибо огромное. Попробуем всё, что предложили.
А если, вдруг, выяснится, что неисправно устройство на антенне, к кому  потом обращаться, чтобы наладить?</t>
  </si>
  <si>
    <t>Татьяна Науменко</t>
  </si>
  <si>
    <t>Подслушано Бобров</t>
  </si>
  <si>
    <t>Не знаю как сейчас, а лет 10 назад, когда я занимался установкой антенн, супралы все, что больше 0.9 метра гнутые какие то были и тонкие</t>
  </si>
  <si>
    <t>19:25</t>
  </si>
  <si>
    <t>15.07.2021 19:25</t>
  </si>
  <si>
    <t>В фирменный магазин Триколор требуется менеджер по продажам. Железнодорожный ул. Саввинское шоссе 7Б. График работы</t>
  </si>
  <si>
    <t>У МТС спутниковых офисов нету. Подключил и все работает ) а у Триколора как всегда, геморой )</t>
  </si>
  <si>
    <t>Трианон Трианонов</t>
  </si>
  <si>
    <t>Город Железнодорожный Московская область</t>
  </si>
  <si>
    <t>Конвертор Lumax LU-40SCIR HD SС, 1 выход, круговая поляризация, для Триколор ТВ, НТВ+. Соотношение сигнал/шум 0,1дБ.</t>
  </si>
  <si>
    <t>Достоинства: чётко и бесперебойно работает 
Недостатки: нет
отличный товар по отличной цене</t>
  </si>
  <si>
    <t>Юрий З.</t>
  </si>
  <si>
    <t>Конвертор Lumax LU-40SCIR HD SС,  1 выход, круговая поляризация,  для Триколор ТВ, НТВ+. Соотношение сигнал/шум 0,1дБ.</t>
  </si>
  <si>
    <t>15.07.2021 19:15</t>
  </si>
  <si>
    <t>❗️ Внимание: 14 июля пройдут плановые профилактические работы ❗️ С 02:00 до 11:00 (мск) будет приостановлено вещание</t>
  </si>
  <si>
    <t>Триколор, после сброса настроек на заводские. Пишет, что нет сигнала и при поиске каналов - ошибка частоты (найдено 41 канал, но них нет сигнала)</t>
  </si>
  <si>
    <t>Андрей Шаповал</t>
  </si>
  <si>
    <t>16.07.2021 08:35</t>
  </si>
  <si>
    <t>В этом офисе замечательные сотрудники. Уже два раза обращались с проблемой приставки, сразу же определили в чем дело и что могло сломаться. Молодой человек все подсказал, показал. Ничего не навязывая. Спасибо вам. А вот по горячей линии вечно какие то сидят, не бе не ме не кукаре. Слова сказать не могут. Чуть что, сразу кабель виноват. Который совсем не причём оказывается. Мастера толком не вызвать. Проще до офиса доехать</t>
  </si>
  <si>
    <t>Марта</t>
  </si>
  <si>
    <t>Бор</t>
  </si>
  <si>
    <t>15.07.2021 19:05</t>
  </si>
  <si>
    <t>На счету должно быт 1.500 руб</t>
  </si>
  <si>
    <t>15.07.2021 19:21</t>
  </si>
  <si>
    <t>Хорошее и удобное приложение. Наконец оплатила нужный мне пакет, через сайт это было невозможно
v2.5.0</t>
  </si>
  <si>
    <t>party non</t>
  </si>
  <si>
    <t>16.07.2021 00:37</t>
  </si>
  <si>
    <t>Телевизор LG Smart-TV 3D 2013г есть ли жизнь у него в 2020. 42LA662V-ZC</t>
  </si>
  <si>
    <t>Как на такой телек закачать приложение" триколор кино и ТВ"?...</t>
  </si>
  <si>
    <t>Вкепке *#06#</t>
  </si>
  <si>
    <t>16.07.2021 02:47</t>
  </si>
  <si>
    <t>Спасибо большое подошёл пульт</t>
  </si>
  <si>
    <t>Олеся</t>
  </si>
  <si>
    <t>16.07.2021 02:38</t>
  </si>
  <si>
    <t>СЛАН Блок питания для триколор тв, адаптер питания для цифровых приставок 12V 2A, штекер 5,5/2,5.</t>
  </si>
  <si>
    <t>Адаптер подошёл идеально на ресивер Триколор. Доставка быстрая, и за такую цену просто подарок. Рекомендую.</t>
  </si>
  <si>
    <t>15.07.2021 18:08</t>
  </si>
  <si>
    <t>И проверьте надежно ли закреплена антенна на креплении дома</t>
  </si>
  <si>
    <t>Александр Кудряшов</t>
  </si>
  <si>
    <t>15.07.2021 18:06</t>
  </si>
  <si>
    <t>Если ничего не изменится, значит либо поврежден кабель, который соединяет приемник и антенну, либо неисправно устройство на антенне, к которому подключается кабель</t>
  </si>
  <si>
    <t>15.07.2021 18:03</t>
  </si>
  <si>
    <t>Татьяна, чтобы исключить из причин неисправность приемника, постарайтесь у кого-то из знакомых или друзей взять приемник и подключить к вашей антенне</t>
  </si>
  <si>
    <t>15.07.2021 18:00</t>
  </si>
  <si>
    <t>Анон Здравствуйте, кто-нибудь в курсе почему не работает телевидение на спортивной 12 и когда устранят эту проблему,</t>
  </si>
  <si>
    <t>Евлампий, За НТВ то что с плюсом не скажу, а Триколор работал и работает</t>
  </si>
  <si>
    <t>Сергей Львов</t>
  </si>
  <si>
    <t>ДУБРОВО (г. Ногинск-9)</t>
  </si>
  <si>
    <t>15.07.2021 18:10</t>
  </si>
  <si>
    <t>Опять "Клон" на канале "Романтичное кино"! Ох,выучил его наизусть!</t>
  </si>
  <si>
    <t>15.07.2021 17:48</t>
  </si>
  <si>
    <t>Триколор, Т.е они вам ставят блокировку на ваш архив просмотра!</t>
  </si>
  <si>
    <t>17:45</t>
  </si>
  <si>
    <t>15.07.2021 17:45</t>
  </si>
  <si>
    <t>Триколор, Они вам запрещают просмотр пользователям фильмов через архив в интернет?</t>
  </si>
  <si>
    <t>17:40</t>
  </si>
  <si>
    <t>15.07.2021 17:40</t>
  </si>
  <si>
    <t>Татьяна, какие-нибудь деревья напротив антенны есть?</t>
  </si>
  <si>
    <t>15.07.2021 17:37</t>
  </si>
  <si>
    <t>Триколор, не на всех телевизорах смарт ТВ есть ваше приложение.</t>
  </si>
  <si>
    <t>Наталья Нехаева</t>
  </si>
  <si>
    <t>Увельский</t>
  </si>
  <si>
    <t>15.07.2021 17:36</t>
  </si>
  <si>
    <t>Александр, как раз проблема в том, что каналы работают, то есть скорее всего проблема не в приёмнике, а в антенне, потому что на всех каналах 'бьется' изображение, как будто всё превращается в большие пиксели, потом проходит, но смотреть не возможно, потому что это происходит часто. Контакты антенны и провода трогали, перетыкали, не помогло. А на 2 дня изображение вообще пропало, было написано 'нет видео', потом заработало.</t>
  </si>
  <si>
    <t>17:32</t>
  </si>
  <si>
    <t>15.07.2021 17:33</t>
  </si>
  <si>
    <t>Подскажите кто может настроит ь антену Триколор, или есть офис в Шексне??</t>
  </si>
  <si>
    <t>Ее и самому настроить не сложно,  тарелку на юг , потом вверх вниз и смотрите силу сигнала.</t>
  </si>
  <si>
    <t>Алексей Тихомиров</t>
  </si>
  <si>
    <t>Шексна | OnLine</t>
  </si>
  <si>
    <t>Шексна</t>
  </si>
  <si>
    <t>15.07.2021 17:11</t>
  </si>
  <si>
    <t>Мнение. Музыкальное телевидение умирает? К сожалению это так. Признайтесь честно – давно ли вы включали музыкальные</t>
  </si>
  <si>
    <t>Почему триколор онлайн нету мтв каналы чтр так дружно запустить</t>
  </si>
  <si>
    <t>OBOB TV</t>
  </si>
  <si>
    <t>15.07.2021 17:10</t>
  </si>
  <si>
    <t>Соседи, ударила молния в триколор тарелку … похоже … 2 приемника не включаются …. Телевизоры работают … ( не успели</t>
  </si>
  <si>
    <t>В городе так к официалам возили на ремонт, у нас так и плата в рессивере и головка на самой тарелке сгорела!</t>
  </si>
  <si>
    <t>Мария Пекарева</t>
  </si>
  <si>
    <t>БАБИНО-2</t>
  </si>
  <si>
    <t>17:08</t>
  </si>
  <si>
    <t>15.07.2021 18:16</t>
  </si>
  <si>
    <t>Уже отказались от услуг Триколор, после многолетнего использования, пришли к выводу, что сервис сильно испортился, а цены увеличились.</t>
  </si>
  <si>
    <t>natkash2005</t>
  </si>
  <si>
    <t>15.07.2021 17:25</t>
  </si>
  <si>
    <t>После вашего обновления перестали показывать приёмники. Исправьте пожалуйста
v2.5.0</t>
  </si>
  <si>
    <t>канал скейк</t>
  </si>
  <si>
    <t>16:34</t>
  </si>
  <si>
    <t>16.07.2021 06:07</t>
  </si>
  <si>
    <t>Kira Dergunova, здравствуйте! Это означает, что на приемнике пропал сигнал со спутниковой антенной, или же сбилась настройка самой антенны. В первую очередь рекомендуем проверить кабель, идущий от антенны к приемнику. Если кабель цел, и не имеет нарушений в изоляции, то нужно настроить саму антенну на уверенный прием сигнала. Настроить антенну поможет инструкция: https://s1.tricolor.tv/usa
Установка спутниковой антенны | Официальный сайт Триколора
Если вы планируете установить и настроить оборудование самостоятельно, ознакомьтесь с инструкцией ниже. Также вы можете обратиться в фирменный салон Триколора ...
https://s1.tricolor.tv/usa</t>
  </si>
  <si>
    <t>Здравствуйте. Нам очень жаль, что у вас сложилось такое впечатление. Если у вас возникли трудности при пользовании услугами Триколора рекомендуем оперативно связаться с нашей Службой поддержки и описать детально проблему – наши коллеги сделают всё возможное, чтобы решить её. Все доступные способы связи размещены на tricolor.tv в разделе «Помощь». Благодарим вас за обратную связь! Обязательно примем во внимание ваш отзыв.</t>
  </si>
  <si>
    <t>15.07.2021 15:51</t>
  </si>
  <si>
    <t>Заплатите ОДИН раз за тарелЬку Триколора и спите спокойно не думая, почему не работает и когда включат</t>
  </si>
  <si>
    <t>15.07.2021 15:49</t>
  </si>
  <si>
    <t>Триколор, я подключил тариф Единый мультилайт. Всё замечательно работает и даже каналы немного чище чем тоже самое в тарифе Единый. Спасибо за информацию .</t>
  </si>
  <si>
    <t>Андрей Цыганков</t>
  </si>
  <si>
    <t>15:25</t>
  </si>
  <si>
    <t>15.07.2021 15:30</t>
  </si>
  <si>
    <t>Триколор, архив не доступен</t>
  </si>
  <si>
    <t>15:24</t>
  </si>
  <si>
    <t>15.07.2021 15:24</t>
  </si>
  <si>
    <t>Триколор, я просто боюсь их подключения так как не знаю для чего эти тарифы , ну типа это не для телевизоров а для просмотра в интернете. Я же должен знать что если я их подключу то я смогу по телевизору смотреть целый год 400 телеканалов. Я эти тарифы не знаю, и не знаю для чего они.</t>
  </si>
  <si>
    <t>16.07.2021 03:48</t>
  </si>
  <si>
    <t>Покупала для приставки Триколор, подошёл.  Рекомендую</t>
  </si>
  <si>
    <t>15:22</t>
  </si>
  <si>
    <t>15.07.2021 20:59</t>
  </si>
  <si>
    <t>Да, в частном секторе проводной интернет стоит дорого, слышал об этом от знакомых. Поэтому многие спутник ставят, но что это за интернет, фиг что скачаешь</t>
  </si>
  <si>
    <t>Тарелка на даче есть,от триколор давно уже стоит..</t>
  </si>
  <si>
    <t>С вечера 13 июля и по сегодняшний момент не показывает ни один телеканал.</t>
  </si>
  <si>
    <t>15.07.2021 15:17</t>
  </si>
  <si>
    <t>Триколор, там есть похожие тарифы но вот именно тариф Единый там нету.</t>
  </si>
  <si>
    <t>15.07.2021 15:16</t>
  </si>
  <si>
    <t>Триколор, я там не увидели тариф Единый.</t>
  </si>
  <si>
    <t>Пульт работает)</t>
  </si>
  <si>
    <t>15.07.2021 15:20</t>
  </si>
  <si>
    <t>Когда ждать корректную прошивку на ас790?</t>
  </si>
  <si>
    <t>15.07.2021 15:27</t>
  </si>
  <si>
    <t>Твёрдая четвёрка
v2.5.0</t>
  </si>
  <si>
    <t>Alx Churikov</t>
  </si>
  <si>
    <t>15.07.2021 14:53</t>
  </si>
  <si>
    <t>Триколор, как мне оплатит Тариф Единый на год через интернет.</t>
  </si>
  <si>
    <t>15.07.2021 14:47</t>
  </si>
  <si>
    <t>Расскажите в комментариях, какой у вас тариф?⠀ А мы пока расскажем про самое выгодное и популярное предложение от</t>
  </si>
  <si>
    <t>У меня без телевидения 350 так как тв у меня триколор в год 1500р плочу</t>
  </si>
  <si>
    <t>Миша Дорохов</t>
  </si>
  <si>
    <t>ПЖ19</t>
  </si>
  <si>
    <t>Да,так и есть, беда в том что молодеж и не только одурачены, сейчас не у всех есть доступ к сети,так как чем дальше от крупных городов тем дороже стоит сеть и тем ниже скорость передачи данных,я вот понял это на основе того же шугарово в которое я езжу ч</t>
  </si>
  <si>
    <t>Через ту же тарелку есть интернет))) https://internet.tricolor.tv/ - тарифы конечно не самые дешевые, но возможность есть. Ещё как альтернатива - антены 3G и 4G - стоят недорого, усиливают неплохо.
Спутниковый безлимитный интернет в частный дом от Триколора | Официальный сайт Триколора
Спутниковый безлимитный интернет в частный дом от Триколора: тарифы, оборудование, поддержка.
https://internet.tricolor.tv/</t>
  </si>
  <si>
    <t>15.07.2021 14:35</t>
  </si>
  <si>
    <t>Триколор, скажите пожалуйста а что такое за тариф Единый мультирум? Это разве не одно и тоже Тариф Единый и тариф Единый мультирум?</t>
  </si>
  <si>
    <t>15.07.2021 14:41</t>
  </si>
  <si>
    <t>Триколор, И в самом деле,фильмы(художественные) которые показывают в формате UHD ни чем не отличаются по качеству от Full HD,разве что канал Love Nature,там получше качество.</t>
  </si>
  <si>
    <t>Евгений Гусев</t>
  </si>
  <si>
    <t>15.07.2021 18:22</t>
  </si>
  <si>
    <t>Мои избранные на трико через спутник вещают как обычно. И через их приложение тоже всё норм.</t>
  </si>
  <si>
    <t>Вот, наверно надо новый ресивер менять</t>
  </si>
  <si>
    <t>yura kosyanov67</t>
  </si>
  <si>
    <t>15.07.2021 15:03</t>
  </si>
  <si>
    <t>СберМаркетинг победил в тендер Erich Krause на ТВ-рекламу</t>
  </si>
  <si>
    <t>В рамках заключенной сделки СберМаркетинг займется продвижением ErichKrause®️ на национальном телевидении и «Триколор ТВ» до конца года.
«СберМаркетинг начал работать с компаниями, не входящим в экосистему Сбера, в 2020 году. За это время мы привлекли более 100 рыночных клиентов на различные услуги. Мы рады, что бренд ErichKrause®️ вошел в этот список и доверил нам свою рекламную кампанию», — отмечает Ксения Бочкарева, директор по продажам оффлайн рекламы СберМаркетинга.
«Решающими факторами при выборе СберМаркетинга стали максимальная</t>
  </si>
  <si>
    <t>text,symbol,trademark,signage</t>
  </si>
  <si>
    <t>Всем привет если у каго есть триколор тв напешите пожалуйста после это нового  исправления и технических не исправном ей проведении профилактики не работает не один канал напешите кто не будь у все так ответ те пожалуйста?)</t>
  </si>
  <si>
    <t>Иван Калита</t>
  </si>
  <si>
    <t>Всем привет если у каго есть триколор тв напешите пожалуйста после это нового   исправления и технических не исправном ей проведении профилактики не работает не один канал напешите кто не будь у все так ответ те пожалуйста?)</t>
  </si>
  <si>
    <t>14:18</t>
  </si>
  <si>
    <t>Спутниковый конвертор круговой (для НТВ, Триколор) на 1 выход</t>
  </si>
  <si>
    <t>Заменили конвертор после того как в старый ударила молний. Все отлично показывает.</t>
  </si>
  <si>
    <t>Екатерина С.</t>
  </si>
  <si>
    <t>15.07.2021 13:33</t>
  </si>
  <si>
    <t>Когда предложили поменять ресивер и я отказался,( смотрим только летом на даче и по выходным), мне отключили показ по старому ресиверу. Наживаются на потребителях.
v2.5.0</t>
  </si>
  <si>
    <t>Николай Старостин</t>
  </si>
  <si>
    <t>15.07.2021 22:21</t>
  </si>
  <si>
    <t>Здравствуйте. У нас антенна триколор и сигнал стал часто теряться... Раньше только в плохую погоду, когда тучи, ветер,</t>
  </si>
  <si>
    <t>У нас так же барахлила, но мастер за одно посещение починил. Обратитесь в поддержку или сервис, наверняка проблема в тарелке</t>
  </si>
  <si>
    <t>Виолетта Макарычева</t>
  </si>
  <si>
    <t>21.07.2021 05:08</t>
  </si>
  <si>
    <t>ТВ-модуль Триколор CI+ (Единый 31 день)</t>
  </si>
  <si>
    <t>Достоинства: Быстрая доставка,качественная упаковка,регистрация по инструкции в комплекте
Недостатки: Их нет
Доставка ОЗОНа заняла 4 дня.CAM модуль доставлен в полной комплектации с подробной инструкцией по регистрации. Вся регистрация прошла успешно в течение получаса через приложение WhatsApp. Как и обещали месяц бесплатного просмотра. На телевизоре LG настроить удалось сразу. Однозначно всем рекомендую.</t>
  </si>
  <si>
    <t>Евгений Ф.</t>
  </si>
  <si>
    <t>15.07.2021 12:18</t>
  </si>
  <si>
    <t>Андрей, тоже самое
После сброса на завод каналов нет
Но к сети подключается ресивер
И качество связи отличное
Даже не знаю что за хрень</t>
  </si>
  <si>
    <t>15.07.2021 12:09</t>
  </si>
  <si>
    <t>Триколор, он пропал из поиска вообще, но при этом работает и через спутник и через интернет.</t>
  </si>
  <si>
    <t>Олег, такая же фигня ((( После сброса на заводские, написал НЕТ СВЯЗИ С СЕРВЕРОМ код 20. После поиска даже не нашёл каналы которые шли через интернет ( В534М).</t>
  </si>
  <si>
    <t>15.07.2021 12:00</t>
  </si>
  <si>
    <t>Триколор,  проблемы с каналом Gagsnetwork наблюдаются, канал ушёл со спутника (больше не сканируется). Он теперь только онлайн будет? Или технические проблемы?</t>
  </si>
  <si>
    <t>15.07.2021 11:57</t>
  </si>
  <si>
    <t>Андрей, это в настройки в роутере зайти?</t>
  </si>
  <si>
    <t>15.07.2021 11:36</t>
  </si>
  <si>
    <t>а что за канал??</t>
  </si>
  <si>
    <t>16.07.2021 00:22</t>
  </si>
  <si>
    <t>Спасибо</t>
  </si>
  <si>
    <t>Лохматая Ворона</t>
  </si>
  <si>
    <t>Йошкар-Ола</t>
  </si>
  <si>
    <t>11:17</t>
  </si>
  <si>
    <t>16.07.2021 16:02</t>
  </si>
  <si>
    <t>«Мой Триколор» стал еще удобнее!</t>
  </si>
  <si>
    <t>Триколор ТВ! Вы молодцы! Хорошая реклама! Впервые лайк с меня, а не диз!</t>
  </si>
  <si>
    <t>U9KO</t>
  </si>
  <si>
    <t>Онлайн-сервис Триколора</t>
  </si>
  <si>
    <t>Спасибо! Недавно купил телик LG и теперь знаю что я точно НЕ СКАЧАЮ! Спасибо уж лучше игры скачать!</t>
  </si>
  <si>
    <t>15.07.2021 11:04</t>
  </si>
  <si>
    <t>Всем привет. Недавно переехали в с.Белозерки и возник ряд вопросов : -какой оператор связи лучше всего ловит (Билайн</t>
  </si>
  <si>
    <t>Эмма, вроде кабельное должны протянуть но пока никто не знает ничего.  У нас спутник триколор,  мы не очень довольны как дождь или ветер, не показывает</t>
  </si>
  <si>
    <t>Мария Гордеева</t>
  </si>
  <si>
    <t>с. Белозерки</t>
  </si>
  <si>
    <t>15.07.2021 11:15</t>
  </si>
  <si>
    <t>Добрый день
Кто из Беларуси? Может знаете причину, почему уже пару дней не идут каналы по онлайн тв ресивер GS В621L.
Нас случайно не заблокировали?</t>
  </si>
  <si>
    <t>monitor,display device,screen,flat panel display,television,electronic device,computer monitor,projection screen,gadget,output device</t>
  </si>
  <si>
    <t>15.07.2021 10:53</t>
  </si>
  <si>
    <t>Красавчики, мы скучаем  #звёзды@ctc</t>
  </si>
  <si>
    <t>Стс классный канал его смотрим с 2005 юлогодоря триколор тв</t>
  </si>
  <si>
    <t>СТС</t>
  </si>
  <si>
    <t>Здравствуйте это значит правообладатель триколору запретил бесплатно на показывать этот канал</t>
  </si>
  <si>
    <t>15.07.2021 10:34</t>
  </si>
  <si>
    <t>Сергей Попов</t>
  </si>
  <si>
    <t>Красноуфимск</t>
  </si>
  <si>
    <t>15.07.2021 23:41</t>
  </si>
  <si>
    <t>KION (ex. МТС ТВ)</t>
  </si>
  <si>
    <t>Нет КИОН в LG STORY  есть много чего и ТРИКОЛОР тв И Мегафон и др. ТВ. Но вот Кион не поиском, не в приложениях в story не не находит. есть ролики с youtube о КИОН. Самого приложения нет.Ось моего телевизора всем функциям установки и запуска приложения отвечает. Об этом я писал выше. Все как обычно у МТС. Зачем людей дурить расписывая на офф. сайте про установки приложения КИОН на телевизоры и приставки ? Если его найти там невозможно. Сколько уже можно мониторить и поиск и сами приложения в STORY?</t>
  </si>
  <si>
    <t>В описании товара не указана длинна шнуа и по итогу шнур 60см,это очень не удобно</t>
  </si>
  <si>
    <t>15.07.2021 10:30</t>
  </si>
  <si>
    <t>Здравствуйте всё хорошо приложение отличное мне спасибо большое.</t>
  </si>
  <si>
    <t>Сергей Чечулин</t>
  </si>
  <si>
    <t>15.07.2021 09:34</t>
  </si>
  <si>
    <t>Да, пополнение библиотеки фильмов в нашем онлайн-кинотеатре (приложения "Кино Онлайн"/"Кино"/"Триколор Кино и ТВ -</t>
  </si>
  <si>
    <t>Когда появиться мои фильмы</t>
  </si>
  <si>
    <t>15.07.2021 09:08</t>
  </si>
  <si>
    <t>Вопросы и предложения</t>
  </si>
  <si>
    <t>Добрый день! Вчера после грозы вышли из строя два ресивера Триколор (один на два приемника, второй одиночный и два телевизора.Разряд молнии был или на крышу или на антенну Триколора. Пос. Дивенский Гатчинский р-н. Можете помочь?</t>
  </si>
  <si>
    <t>Спутниковое тв</t>
  </si>
  <si>
    <t>Достоинства: Быстро настроили все работает</t>
  </si>
  <si>
    <t>15.07.2021 08:16</t>
  </si>
  <si>
    <t>Всем добрый день! Подскажите пожалуйста качество интернета на ваш взгляд у какого провайдера лучше, Ямалтелеком или</t>
  </si>
  <si>
    <t>Елена, что-то тоже мне кажется дорого,и не раскладывают внятно что и по чем. Роутер 1700 в месяц,+тв,+ оборудование которое вечно глючит и заикается,все выходит на 4-5000р в месяц. А оборудование перевели с безпроводного в проводное потому как глючит и не работает,а ценник тот же остался. Поднадоело что-то тоже это втюхивание. За триколор блин 1500р в год платили и каналов больше было. А тут 4-5000р в месяц отвали за 20 каналов.</t>
  </si>
  <si>
    <t>Ольга Сагоцьян</t>
  </si>
  <si>
    <t>Лабытнанги Info</t>
  </si>
  <si>
    <t>08:00</t>
  </si>
  <si>
    <t>15.07.2021 10:44</t>
  </si>
  <si>
    <t>Откуда такой ценник?</t>
  </si>
  <si>
    <t>Решил подключить Триколор-ТВ на даче. Как бы комплект ТВ был куплен 5 лет назад, во время строительства дома и смонтирован рабочими еще несколько лет назад. Мне нужно было, чтобы тарелку антенны настроили на Спутник. Выкатили мне за это 2 500 Российских рублей. Я сначала подумал, что меня наебывают. Но обзвонив с пяток компаний, которых нашел в интернете, выяснил, что это не самая высокая цена. Самая высокая цена, аж 3 000 рублей.
Был у меня преподаватель МатАна в ВУЗе Сафроницкий, который еще в концлагере отсидел и в возрасте за 80 лет</t>
  </si>
  <si>
    <t>trueadviser</t>
  </si>
  <si>
    <t>clothing,costume</t>
  </si>
  <si>
    <t>07:54</t>
  </si>
  <si>
    <t>15.07.2021 11:11</t>
  </si>
  <si>
    <t>Спасибо ТВ Ты не одна такая не ломай анттену она не виноватв Это наше ТВ Мрази до ума ничего довести не могут Лишь бы отрапортовать что перешли  на цифру а сколько поимели с недодёлок?</t>
  </si>
  <si>
    <t>Сергей Ляхов</t>
  </si>
  <si>
    <t>15.07.2021 07:19</t>
  </si>
  <si>
    <t>Более 60% граждан отдают за продукты половину своего дохода. У 16% на это уходит почти весь заработок. Россияне раскрыли</t>
  </si>
  <si>
    <t>Анна, 550 телефон безлимит ,600 домашний интернет телевидение триколор где-то 130в месяц И где 1000 и даже меньше по вашему.</t>
  </si>
  <si>
    <t>Дмитрий Федотов</t>
  </si>
  <si>
    <t>Харабали</t>
  </si>
  <si>
    <t>15.07.2021 07:14</t>
  </si>
  <si>
    <t>Когда пополнится 4к? Мало каналов!</t>
  </si>
  <si>
    <t>06:45</t>
  </si>
  <si>
    <t>15.07.2021 08:50</t>
  </si>
  <si>
    <t>Прочитал статьи двух пожилых политиков: Путина - про Украину и Явлинского - про Навального (свежую). Общее впечатление</t>
  </si>
  <si>
    <t>Михаил Боровинский Я был постоянным слушателем радио "Эхо Москвы" с примерно 1995 года до 2015, когда закрыли "Эхо Москвы в Туле" и на "правой поляризации" в спутнике "Триколор". И был зрителем "Дождя" с момента создания до прекращения трансляции на спутнике "Триколор"
Я свидетель, как по лекалам большого зомбоящика, промывающего мозги за Путина, на этих станциях зомбировали аудиторию за Навального.
В частности в 2013 году малый змбоящик полгода активно с июня по декабрь промывал аудитрии мозги и лепил из Алексея Навального образ лидера</t>
  </si>
  <si>
    <t>Сергей Давидис</t>
  </si>
  <si>
    <t>16.07.2021 10:18</t>
  </si>
  <si>
    <t>ТЕПЕРЬ И СПРИНТ, И ГОНКА. Не пропустите гран-при Великобритании на «Матч ТВ» и «МАТЧ! Арена»</t>
  </si>
  <si>
    <t>– на правах одной из древнейших гонок. Помимо обычной гонки автодром «Сильверстоун» сразу принял и второй гран-при, носивший имя юбилея великого автоспорта. На домашней трассе Хэмилтон считается традиционным фаворитом: здесь он побеждал семь раз, шесть из которых – в семи последних сезонах. В 2018-ом году британскую гонку выиграл немецкий ветеран и четырёхкратный чемпион мира в Ф-1 – Себастьян Феттель, который в этом сезоне пока замыкает десятку лучших. Расписание прямых трансляций гран-при Великобритании на каналах системы «МАТЧ!» 16.07.21 МАТЧ! Арена 16:25 Свободная практика 116.07.21 МАТЧ! 19:55 Квалификация17 07.21 МАТЧ! Арена 13:55 Свободная практика 217.07.21 МАТЧ! 18:25 Спринт-квалификация18.07.21 МАТЧ! 16:40 Гонка Зрители Триколора могут посмотреть все гонки «Формулы-1» в формате HD Фото: formula1.com</t>
  </si>
  <si>
    <t>01:36</t>
  </si>
  <si>
    <t>15.07.2021 01:36</t>
  </si>
  <si>
    <t>Добрый вечер! Подскажите пожалуйста контакты установщиков триколор тарелок?</t>
  </si>
  <si>
    <t>Триколор работает по инету давно. Ставишь приложение Триколор в тв смартфон и куда угодно. Оплачивается подписка и смотрится хоть на севере</t>
  </si>
  <si>
    <t>Dmitrius Rider</t>
  </si>
  <si>
    <t>Бутово парк 2</t>
  </si>
  <si>
    <t>Недостатки: нет</t>
  </si>
  <si>
    <t>00:22</t>
  </si>
  <si>
    <t>15.07.2021 03:22</t>
  </si>
  <si>
    <t>Надёжный</t>
  </si>
  <si>
    <t>Mirshat</t>
  </si>
  <si>
    <t>14.07.2021</t>
  </si>
  <si>
    <t>23:58</t>
  </si>
  <si>
    <t>15.07.2021 00:03</t>
  </si>
  <si>
    <t>@daughtergigot @fedun_out Купи приставку на алиэкспрессе, мне в 1400 обошлась, не нарадуюсь. Обрезал кабель,  выкинул триколор 
Если че, пиши) 
Единственный минус, в твиторе лучшем сидеть во время футбола) примерно 40сек задержки)</t>
  </si>
  <si>
    <t>Спартаковский дух</t>
  </si>
  <si>
    <t>Тарасовка</t>
  </si>
  <si>
    <t>14.07.2021 23:18</t>
  </si>
  <si>
    <t>Черно белая любовь, в эти выходные на Домашнем 51-56 серии. #Чернобелаялюбовь@lampic #Турецкиесериалы@lampic</t>
  </si>
  <si>
    <t>Людмила, канал в Триколор есть. Я смотрела по телеку,пока было время,а потом отстала. Теперь ВК смотрю. Умельцы  как то скачивают программу и смотрят онлайн Сиесту. Пираты вроде дают такую возможность</t>
  </si>
  <si>
    <t>Марина Долгова</t>
  </si>
  <si>
    <t>Ламповые беседы о сериалах</t>
  </si>
  <si>
    <t>22:44</t>
  </si>
  <si>
    <t>14.07.2021 22:45</t>
  </si>
  <si>
    <t>Татьяна, можно самим сбросить приемник до заводских настроек, затем произвести поиск каналов. Если после всего этого каналы работать не будут, то нужно просто покрутить (вверх - вниз, влево-вправо) тарелку</t>
  </si>
  <si>
    <t>14.07.2021 22:49</t>
  </si>
  <si>
    <t>Юрий, фильмов уже жду мои год не присылают что писал</t>
  </si>
  <si>
    <t>14.07.2021 22:22</t>
  </si>
  <si>
    <t>Любовь под разными соусами Именно так она подается в венесуэльском сериале «Луиза Фернанда». В его центре истории юных</t>
  </si>
  <si>
    <t>Марьям, В Триколоре Онлайн есть  https://tricolor.tv/channels/otkrytyy-mir если приёмник через интернет подключен вроде</t>
  </si>
  <si>
    <t>Nick Baychukenov</t>
  </si>
  <si>
    <t>Телеканал СИЕСТА</t>
  </si>
  <si>
    <t>14.07.2021 22:16</t>
  </si>
  <si>
    <t>«В трезвом уме и здравой памяти за кандидата от власти никто не проголосует» Гостем нового выпуска программы Hard Day’s</t>
  </si>
  <si>
    <t>Андрей, хех у меня и телевизора нет!
Я смотрю Триколор и тырнет...
Ты бы меня удивил, если самостоятельно смог рассказать о своём городе... рЫгионе...
А реклама она нужна для плохих товаров...ты мне расскажи сам...без прекрас!
Что в твоём городе построено из новых российских заводов-фабрик и что там выпускают лучше и дешевле иностранных?
Что не стыдно рассказать- расскажи сам...может уважать стану твой рЫгион и тебя.</t>
  </si>
  <si>
    <t>Инженер Гарин</t>
  </si>
  <si>
    <t>Телеканал Дождь</t>
  </si>
  <si>
    <t>14.07.2021 22:06</t>
  </si>
  <si>
    <t>Задумались над подключением интернета и ТВ в квартире? Компания Ростелеком предлагает свои услуги. Специально для Вас</t>
  </si>
  <si>
    <t>Лучше Триколор подключите, а Ростелеком не связывайтесь. Одни проблемы и убытки. За подключение берут, потом дурят , ежемесячно берут платку, а самое интересное месяц не закончится , тут же отключают. Числа 15 нету телепередачи. Захочищ расторгнуть с ними договор. Тоже обманывают, всю  технику здаееш, насчитают большую задолженность. Вот думаешь, все здал  технику, заплатил задолженность. И через месяц приходит опять задолженность за что не знаешь. Опять едешь разбираться, за что платить. Я советую не подключайте Ростелеком. Одни убытки.</t>
  </si>
  <si>
    <t>Ландыш Алексеева</t>
  </si>
  <si>
    <t>15.07.2021 01:35</t>
  </si>
  <si>
    <t>Все супер вставил приёмник триколор сразу нашёл wi-fi пароль всё заработало советую покупать.</t>
  </si>
  <si>
    <t>16.07.2021 00:07</t>
  </si>
  <si>
    <t>Достоинства: Корпус
Недостатки: приём похуже чем у B527/B528 (при прочих равных, уровень качества сигнала)
Кроме корпуса не чего нового, в отличии от B527/B528 - не обнаружил.</t>
  </si>
  <si>
    <t>Роман Юрьевич Т.</t>
  </si>
  <si>
    <t>digital clock,clock,alarm clock</t>
  </si>
  <si>
    <t>14.07.2021 20:51</t>
  </si>
  <si>
    <t>Причем здесь мнение? Я вижу программу передач где крутятся одни и те же фильмы и сериалы. И ещё один ваш "шедевр" воткнуть фильм охотники за привидениями 80 годов выпуска в 4к канал. Браво!!! 2 канала на которых видно качество это INSIGHT UHD. LOVE Остальные полное фуфло что по качеству что по наполнению</t>
  </si>
  <si>
    <t>Здравствуйте. Кто знает HD каналы Арсенал, Россия и т.д ресивер 9303 почему нет сигнала со спутника. Опять что-то мутят</t>
  </si>
  <si>
    <t>Здравствуйте T Зайди в настройки ки проверьте силу качества сигнала если не поможет то Попробуйте сбросить ваш приемник на заводские настройки на 90% должно помочь должно быть не более 50 процент</t>
  </si>
  <si>
    <t>14.07.2021 20:24</t>
  </si>
  <si>
    <t>Триколор, у меня с оборудованием все нормально. А вот у вас с новыми передачами и фильмами в "якобы" 4к проблема. Уже месяцев 7 крутите одно и тоже. 2 канала это ваше производство . 4сериальчика и 20 фильмов гоняете по кругу. Считаете что у абонентов склероз??</t>
  </si>
  <si>
    <t>14.07.2021 20:22</t>
  </si>
  <si>
    <t>Интернет отключили</t>
  </si>
  <si>
    <t>Анатолий Поляков</t>
  </si>
  <si>
    <t>14.07.2021 20:15</t>
  </si>
  <si>
    <t>Зря Вы так. Контент через тарелку и кабель, намного выше качества чем любой стриминг, включая нетфликс. Да, по сути провода и тарелка-уже прошлый век, но качество несравнимо. Причем это можно увидеть только сравнивая рядом 2 картинки</t>
  </si>
  <si>
    <t>Вячеслав Самойлов</t>
  </si>
  <si>
    <t>14.07.2021 20:12</t>
  </si>
  <si>
    <t>Триколор, поздно Триколор спохватился с "онлайн". Тем более контент/цена не соответствуют друг другу.</t>
  </si>
  <si>
    <t>14.07.2021 23:29</t>
  </si>
  <si>
    <t>Триколор на даче нас давно разочаровал, постоянно нужно менять приемник, то обновление требуется, то абонентская плата и прочее, а телевизор в результате постоянно не показывает. Отказались, перешли на цифровое, установили цифровой приемник, показывает отлично и без проблем, платить ничего не надо, абонентской платы нет, и менять и обновлять не надо. Второй год без проблем, а с триколором постоянно нелады.</t>
  </si>
  <si>
    <t>Просто нет напряжения на выходе. Блок не рабочий. Возврат</t>
  </si>
  <si>
    <t>Валерий</t>
  </si>
  <si>
    <t>14.07.2021 19:52</t>
  </si>
  <si>
    <t>В вашем так называемом ультра нет ничего . Одни повторы . Качество картинки максимум HD+. Я подключил и пожалел. Никому не советую.</t>
  </si>
  <si>
    <t>Перестали показывать каналы</t>
  </si>
  <si>
    <t>Выключаем из сети приставку, полностью, ждём 3 минуты....подаём питание! И все...что то делали эти умники.... короче перезагрузить</t>
  </si>
  <si>
    <t>14.07.2021 19:40</t>
  </si>
  <si>
    <t>Здравствуйте. Скажите, пожалуйста, планируются ли в составе Триколор в будущем два классных музыкальных канала: VIVA TV</t>
  </si>
  <si>
    <t>Магомед, Это пиратские каналы триколор их не добавит</t>
  </si>
  <si>
    <t>19:34</t>
  </si>
  <si>
    <t>Работает отлично, без нареканий.</t>
  </si>
  <si>
    <t>Светлана К.</t>
  </si>
  <si>
    <t>14.07.2021 19:34</t>
  </si>
  <si>
    <t>Привет когда появиться радио раздел на триколор онлайн его так и нету устали листать все каналы</t>
  </si>
  <si>
    <t>14.07.2021 19:23</t>
  </si>
  <si>
    <t>У меня общая антена черезь приставку безь интернета и 70 каналов</t>
  </si>
  <si>
    <t>Здравствуйте, скажите пожалуйста, на тарелке МТС-Тв пропал сигнал каналов. Интернет работает отлично а каналов нет. Как</t>
  </si>
  <si>
    <t>Цены растут. И это мтс а не триколор!!!</t>
  </si>
  <si>
    <t>Александр Забелин</t>
  </si>
  <si>
    <t>Томаровка Online</t>
  </si>
  <si>
    <t>Томаровка</t>
  </si>
  <si>
    <t>14.07.2021 19:10</t>
  </si>
  <si>
    <t>Александра, только вот в главном нет блока (((</t>
  </si>
  <si>
    <t>Александра Бачурина</t>
  </si>
  <si>
    <t>14.07.2021 19:15</t>
  </si>
  <si>
    <t>В спорте высоких достижений эмоциям места нет. Так Вере Лесковой, в прошлом чемпионке Европы, говорила мама, которая</t>
  </si>
  <si>
    <t>Это обман и обдираловка, а не условия!</t>
  </si>
  <si>
    <t>Вячеслав Адакин</t>
  </si>
  <si>
    <t>потому что они на скорости 30000 давно транслируются.</t>
  </si>
  <si>
    <t>На нем полно каналов которых он не видит из за своей древности . Нет желания менять , выкиньте в помойное ведро  или разбейте об стену дома .</t>
  </si>
  <si>
    <t>Олег Головкин</t>
  </si>
  <si>
    <t>18:53</t>
  </si>
  <si>
    <t>Достоинства: Нормальная цена
Недостатки: Не нашёл
Установили, качество сигнала отличное, проблем не было</t>
  </si>
  <si>
    <t>Сергей Л.</t>
  </si>
  <si>
    <t>14.07.2021 18:50</t>
  </si>
  <si>
    <t>Попробуйте другой блок питания,  возможно этот сгорел</t>
  </si>
  <si>
    <t>Агриппина Барышникова</t>
  </si>
  <si>
    <t>14.07.2021 18:49</t>
  </si>
  <si>
    <t>Наверное все...., надо было бабышку специальную покупать которая крепится перед приёмником, своего рода молниезащита</t>
  </si>
  <si>
    <t>Женя Орлов</t>
  </si>
  <si>
    <t>14.07.2021 18:55</t>
  </si>
  <si>
    <t>Здравствуйте. Кто знает HD каналы Арсенал, Россия и т.д ресивер 9303 почему нет сигнала со спутника. Опять что-то мутят что ли с обменом?</t>
  </si>
  <si>
    <t>Сергей Дерягин</t>
  </si>
  <si>
    <t>14.07.2021 18:32</t>
  </si>
  <si>
    <t>19 июля 2021 года будет осуществлена тестовая передача проверочного сигнала оповещения по всем телеканалам и</t>
  </si>
  <si>
    <t>‍♀️ Это для цифрового телевидения, у меня триколор- не касается</t>
  </si>
  <si>
    <t>Вероника Вдовкина</t>
  </si>
  <si>
    <t>Вавож | "АВАНГАРД"</t>
  </si>
  <si>
    <t>14.07.2021 18:06</t>
  </si>
  <si>
    <t>@expresssklad @andreystyle7777 @Gekko235 Какой роутер, приставку триколор блять</t>
  </si>
  <si>
    <t>Френсис Бэкон</t>
  </si>
  <si>
    <t>14.07.2021 17:54</t>
  </si>
  <si>
    <t>Подскажите плиз почему каналы не включается..грузится и всё..В чём может быть причина?</t>
  </si>
  <si>
    <t>Нет это тюнер на вернулся у нас вот з дня назад у родителей так было,ездили в ремонт отдавали.</t>
  </si>
  <si>
    <t>Ольга Елфимова</t>
  </si>
  <si>
    <t>Белая Калитва</t>
  </si>
  <si>
    <t>14.07.2021 17:39</t>
  </si>
  <si>
    <t>Соседи, ударила молния в триколор тарелку … похоже … 2 приемника не включаются …. Телевизоры работают … ( не успели выключить из розетки …)это все ? Подскажите Мастера …</t>
  </si>
  <si>
    <t>14.07.2021 18:03</t>
  </si>
  <si>
    <t>На развитие беспилотного транспорта в России выделяется больше 800 млрд рублей.</t>
  </si>
  <si>
    <t>компонентами инфраструктуры, наличие системы точного позиционирования на основе спутниковых https://www.tadviser.ru/index.php/Спутниковая_связь_и_навигация  технологий и сети наземных станций, а также внедренная система цифровой модели дороги на основе высокоточных цифровых динамических дорожных карт.
Концепция также предполагает обучение и подготовку водителей ВАТС — или пользователей, если речь идет о полностью самостоятельной системе, не требующей участия оператора.
Человеческий фактор, как и прежде в традиционном вождении, по-прежнему сохраняет свою</t>
  </si>
  <si>
    <t>motor vehicle,car,vehicle,race car,city car,road,subcompact car,land vehicle,sedan,family car</t>
  </si>
  <si>
    <t>sports,track,race track</t>
  </si>
  <si>
    <t>14.07.2021 17:32</t>
  </si>
  <si>
    <t>Жаль, что тариф Единый вовсе нет возможности подключить, только дорогой единый ultra</t>
  </si>
  <si>
    <t>17:11</t>
  </si>
  <si>
    <t>14.07.2021 17:11</t>
  </si>
  <si>
    <t>Триколор ТВ Экспресс АМУ1 36.0°E Телеканал «Ювелирочка» открыт на 11977 R DVB-S2/8 PSK/ MPEG-4 SR 27500 Fec</t>
  </si>
  <si>
    <t>Радость какая....</t>
  </si>
  <si>
    <t>Недостатки: Нет
Установил на место, каналы,которые не работали, подключились,даже небольшой дождь не помеха</t>
  </si>
  <si>
    <t>Александр Р.</t>
  </si>
  <si>
    <t>14.07.2021 17:01</t>
  </si>
  <si>
    <t>В лес, по чернику. Сегодня чуть прохладнее, +29. Раннее утро, в лесу тишина и покой. Слепень вьется, но боится, так как</t>
  </si>
  <si>
    <t>Татьяна, да просто здесь так же, как и триста лет назадразвития никакого. При СССР был колхоз, да и нет его уже почти тридцать лет, были почта, магазин и медпункт, и даже библиотека. И нет ничего этого тоже 30 лет. Все!!! Живем в 17-19 веке. Вышка интернет есть где-то и на нас сигнал идет- вот это здорово✊!
Триколор- это счастье! Смотрим весь мирПро транспорт молчу, у всех свой собственный, иначе не выжить</t>
  </si>
  <si>
    <t>Elena Titova</t>
  </si>
  <si>
    <t>Вёска без цензуры и границ</t>
  </si>
  <si>
    <t>Подключал домашний интернет от мегафон, шляпа какая то. Это надо включить телевизор потом запустить это приложение мегафон тв на телевизоре, всё это ещё секунду,две грузится. Фигня короче. Обычная комнатная антенна и норм. Удобно бесплатно и без геморроя)</t>
  </si>
  <si>
    <t>Тимур Волосово</t>
  </si>
  <si>
    <t>Достоинства: хорошая цена, качественный корпус
Недостатки: особых недостатков нет, в европейской части РФ будет показывать даже с тарелкой 55см</t>
  </si>
  <si>
    <t>14.07.2021 16:28</t>
  </si>
  <si>
    <t>Ресивер 9305 и блокер</t>
  </si>
  <si>
    <t>Сподин Роман</t>
  </si>
  <si>
    <t>15.07.2021 01:32</t>
  </si>
  <si>
    <t>Может тарелка криво настроена? обращались к мастерам?</t>
  </si>
  <si>
    <t>Дина Шимонова</t>
  </si>
  <si>
    <t>16:08</t>
  </si>
  <si>
    <t>14.07.2021 16:09</t>
  </si>
  <si>
    <t>Александра, тарелку надо брать больше,тогда нет падения сигнала</t>
  </si>
  <si>
    <t>Екатерина Иванова</t>
  </si>
  <si>
    <t>16:03</t>
  </si>
  <si>
    <t>14.07.2021 16:08</t>
  </si>
  <si>
    <t>Станислав, вызовите мастера на настройку антенны при условии, что перед самой антенной нет деревьев или иных преград для приема сигнала со спутника</t>
  </si>
  <si>
    <t>16.07.2021 05:55</t>
  </si>
  <si>
    <t>Товарищи, будет ли работать такая связка?</t>
  </si>
  <si>
    <t>В триколор же флешки втыкаются Зачем тогда wdtv да ещё и удаленная от ТВ?</t>
  </si>
  <si>
    <t>Форумы автолюбителей: отзывы о автомобилях, мнения экспертов, обсуждение различных тем и предложений на автофоруме — АВТО.РУ &gt; Аудио-Видео дома</t>
  </si>
  <si>
    <t>Скорее всего какие-то проблемы с ресивером. Пишите в поддержку или зовите  мастера.</t>
  </si>
  <si>
    <t>Таисия Алексеевская</t>
  </si>
  <si>
    <t>Подключил сразу к ресиверу триколор всё прекрасно работает! Спасибо! Рекомендую этот товар!</t>
  </si>
  <si>
    <t>Константин</t>
  </si>
  <si>
    <t>Достоинства: За свои деньги просто отличный пульт!</t>
  </si>
  <si>
    <t>Юлия Р.</t>
  </si>
  <si>
    <t>14.07.2021 15:47</t>
  </si>
  <si>
    <t>Почему по Ярославлю вместо автобусов ездят маршрутки, но с другими номерами: ответ властей Транспортная реформа</t>
  </si>
  <si>
    <t>Дмитрий, Да что у меня всё какой-то лжи !!!то хотите уличить?? У меня обычная антенна триколор обычная подписка 1200 в год там нет никаких иностранных каналов если может они есть они на английском языке !!!</t>
  </si>
  <si>
    <t>Виктор Базанов</t>
  </si>
  <si>
    <t>Жесть Ярославль</t>
  </si>
  <si>
    <t>14.07.2021 16:12</t>
  </si>
  <si>
    <t>Рынок чат-ботов в России: крупнейшие игроки и клиентский опыт.</t>
  </si>
  <si>
    <t>/Продукт:Telegram  и WhatsApp https://www.tadviser.ru/index.php/Компания:WhatsApp . С помощью этой методики проведена оценка качества клиентского опыта в чатах 10 банков https://www.tadviser.ru/index.php/Банки , 5 телеком https://www.tadviser.ru/index.php/Телекоммуникации -операторов и 5 интернет-магазинов https://www.tadviser.ru/index.php/Статья:Интернет-торговля .
В исследование попали 10 банков из топ-15 рейтинга банков по востребованности среди розничных клиентов по версии Deloitte https://www2.deloitte.com/ru/ru/pages/research-center/articles</t>
  </si>
  <si>
    <t>plastic bottle,electronic device,payment card,finger,bottle</t>
  </si>
  <si>
    <t>14.07.2021 15:39</t>
  </si>
  <si>
    <t>Как я могу проверить балан триколора у себя</t>
  </si>
  <si>
    <t>Карина Неважно</t>
  </si>
  <si>
    <t>14.07.2021 15:38</t>
  </si>
  <si>
    <t>Как я могу проверить баланс у себя</t>
  </si>
  <si>
    <t>Как я могу проаерить балан триколора у себя</t>
  </si>
  <si>
    <t>14.07.2021 15:36</t>
  </si>
  <si>
    <t>Здравствуйте ,скажите я не могу посмотреть сколько денег еще на счету моего тр колора ,вы не можете посмотреть есть ли на балансе или надо пополнить счет?</t>
  </si>
  <si>
    <t>Достоинства: Простота настройки и управления(приобрёл впервые)
Недостатки: переходник 3 rca jack 3.5 не поставляется в комплекте,пришлось докупать,т.к телевизор на даче старый(а такие у большинства)
поставщик принял звонок и оперативно подключил мне телевидение в выходной день   в вечернее время(после 19:00)</t>
  </si>
  <si>
    <t>Виталий П.</t>
  </si>
  <si>
    <t>21.07.2021 01:09</t>
  </si>
  <si>
    <t>Пульт для триколора MRM-POWER ТВ GS8300N 6411</t>
  </si>
  <si>
    <t>Недостатки: оказался бракованный
деньги вернили сразу</t>
  </si>
  <si>
    <t>Юлия Ц.</t>
  </si>
  <si>
    <t>14.07.2021 15:09</t>
  </si>
  <si>
    <t>На ринге нет чудес. Есть отточенная до совершенства техника, удивительная ловкость, которая появилась вследствие упорных</t>
  </si>
  <si>
    <t>Скажите а матч премьер на триколоре  если подключить будет?</t>
  </si>
  <si>
    <t>Павел Кирин</t>
  </si>
  <si>
    <t>14.07.2021 14:50</t>
  </si>
  <si>
    <t>Александр Гичкин</t>
  </si>
  <si>
    <t>14:37</t>
  </si>
  <si>
    <t>14.07.2021 14:38</t>
  </si>
  <si>
    <t>Оборудование и вещание</t>
  </si>
  <si>
    <t>НТВ-ПЛЮС, здравствуйте подскажите пожалуйста, сегодня включил телевизор,а там одни каналы триколора,что с моими каналами НТВ+ куда пропали?</t>
  </si>
  <si>
    <t>Дмитрий Симонов</t>
  </si>
  <si>
    <t>НТВ-ПЛЮС</t>
  </si>
  <si>
    <t>14.07.2021 15:35</t>
  </si>
  <si>
    <t>Хорошая качественная вещь прослужит долго</t>
  </si>
  <si>
    <t>20Анжелика20</t>
  </si>
  <si>
    <t>14.07.2021 14:30</t>
  </si>
  <si>
    <t>Сегодня не работает телевизор, 20 программ. Хотелось бы знать, на долго ли???? Кто в курсе????</t>
  </si>
  <si>
    <t>Поставь Триколор и будет тебе счастье</t>
  </si>
  <si>
    <t>Михаил Капустин</t>
  </si>
  <si>
    <t>14.07.2021 13:43</t>
  </si>
  <si>
    <t>Вишенка, в сравнении с Триколором за 1500₽/мес (ранее была тв тарелка),
сейчас у нас МТС (тв+интернет и три сотовых номера за 950₽ в месяц).
Перебоев в сигнале нет. (У триколора в грозу и снегопад в норме пропадание сигнала)</t>
  </si>
  <si>
    <t>Александра Королёва</t>
  </si>
  <si>
    <t>14.07.2021 13:48</t>
  </si>
  <si>
    <t>Дмитрий, ну да только за спорт. Vip-кино,детский,ночной включены в базовый плюс</t>
  </si>
  <si>
    <t>Олег, за Базовый 1800 руб год А как Дополнительные пакеты 400 руб/ месяц?</t>
  </si>
  <si>
    <t>Екатерина, сброс на заводские настройки не помогает, ошибка 20. Интернет исправен</t>
  </si>
  <si>
    <t>Екатерина Глазунова</t>
  </si>
  <si>
    <t>14.07.2021 13:34</t>
  </si>
  <si>
    <t>За ответ, благодарю.
Помощь, это врядли, так как находясь на даче я не имею возможности смотреть Триколор, у меня по всем каналам пишет что "нет связи со спутником".
Если раньше основная приставка работала, а вторая периодически зависала, то после суток технических работ, и основная сказала нам до свидание. Всё показывает за счет того что у меня интернет проведён. Но, тут вопрос? За что я плачу Триколор? Если показывает не спутник, а интернет. Да, и провайдер не Триколор.</t>
  </si>
  <si>
    <t>Ольга Доронина</t>
  </si>
  <si>
    <t>А у нас со вчерашнего дня не показывает,  приёмник к интернету подключён, пишет ошибка 26</t>
  </si>
  <si>
    <t>14.07.2021 13:47</t>
  </si>
  <si>
    <t>А у нас уже года два проблема, начиналось с небольшого дождика. Знаю многие уже отказались от Триколор.</t>
  </si>
  <si>
    <t>Валентина Прозорова-(Сергиенко)</t>
  </si>
  <si>
    <t>14.07.2021 13:26</t>
  </si>
  <si>
    <t>Диана, я в 2019 году подключился,базовый плюс тариф.Плачу только за спорт</t>
  </si>
  <si>
    <t>paper product,text,document,software,symbol,diagram</t>
  </si>
  <si>
    <t>14.07.2021 13:32</t>
  </si>
  <si>
    <t>Наше ТВ – помойка. Бузовы и Губерниевы. Радужный Евро</t>
  </si>
  <si>
    <t>Я финал смотрел с муками , пока не нашёл в телеге казахстанский канал и нормально досмотрел. Правда там половину матча на тюрском, но ничего. А дома триколор, только на нете показывает, так сука заблокировали весь футбол</t>
  </si>
  <si>
    <t>Казак Православный</t>
  </si>
  <si>
    <t>Фабрика Футбола</t>
  </si>
  <si>
    <t>14.07.2021 13:29</t>
  </si>
  <si>
    <t>v2.4.0</t>
  </si>
  <si>
    <t>Марина Никитина</t>
  </si>
  <si>
    <t>12:23</t>
  </si>
  <si>
    <t>14.07.2021 12:24</t>
  </si>
  <si>
    <t>Комнатные антенны не тянут мы покупали и сдали</t>
  </si>
  <si>
    <t>Ирина Медникова</t>
  </si>
  <si>
    <t>Достоинства: Соответствие описанию
Недостатки: нет</t>
  </si>
  <si>
    <t>Виктория Г.</t>
  </si>
  <si>
    <t>11:56</t>
  </si>
  <si>
    <t>20.07.2021 21:09</t>
  </si>
  <si>
    <t>Разветвитель сплиттер HDMI 4К DAILYETECH , на 2 выхода с усилителем до 35m , черный</t>
  </si>
  <si>
    <t>Покупал для дублирования изображения с приставки триколор на 2 телевизора, работает как надо, изредка появляется проблема со звуком, он заикается, после отключения сплиттера от сети и подключения обратно работает как надо</t>
  </si>
  <si>
    <t>Разветвитель сплиттер HDMI 4К DAILYETECH  , на 2 выхода  с усилителем до 35m , черный</t>
  </si>
  <si>
    <t>11:48</t>
  </si>
  <si>
    <t>14.07.2021 11:48</t>
  </si>
  <si>
    <t>Алла, что за комнатная антенна?)</t>
  </si>
  <si>
    <t>11:37</t>
  </si>
  <si>
    <t>14.07.2021 11:46</t>
  </si>
  <si>
    <t>Триколор, все нормально</t>
  </si>
  <si>
    <t>Евгений Швидкий</t>
  </si>
  <si>
    <t>14.07.2021 11:34</t>
  </si>
  <si>
    <t>Нет сигнала надпись на экране</t>
  </si>
  <si>
    <t>14.07.2021 11:33</t>
  </si>
  <si>
    <t>Комнатная антена и 20 каналов бесплатно,всё остальное через интернет проще,смысла триколор неувидели,хоть и пробовали первый год подключать</t>
  </si>
  <si>
    <t>Алла Мацнева</t>
  </si>
  <si>
    <t>Триколор, сингнала нету</t>
  </si>
  <si>
    <t>14.07.2021 11:29</t>
  </si>
  <si>
    <t>Наталья, это не сложно. Современный ТВ - это как смартфон, но очень большой  Или приставка - один раз воткнул и пользуешься ТВ. Попросите кого-нибудь помочь</t>
  </si>
  <si>
    <t>Игорь Устинович</t>
  </si>
  <si>
    <t>Сестрорецк</t>
  </si>
  <si>
    <t>14.07.2021 11:25</t>
  </si>
  <si>
    <t>Зачем Вам тарелка? У нас 6 или 7 провайдеров интернета (и ТВ). Есть тарифы, где за 1000 рублей можно получить и ТВ, и интернет, и мобильные телефоны всех родственников оплачивать!</t>
  </si>
  <si>
    <t>14.07.2021 11:23</t>
  </si>
  <si>
    <t>Наталья, скажу Вам больше - по интернету и ТВ можно посмотреть бесплатно</t>
  </si>
  <si>
    <t>А зачем тарелка? Смарт ТВ. И смотри что хочешь. Инет всё равно подключаете  .</t>
  </si>
  <si>
    <t>Владимир Круглов</t>
  </si>
  <si>
    <t>14.07.2021 11:17</t>
  </si>
  <si>
    <t>Триколор, от антенны идет один провод он входит в основной блок, от него уже идет витая пара на второй блок.</t>
  </si>
  <si>
    <t>Егор Головченко</t>
  </si>
  <si>
    <t>Вольск</t>
  </si>
  <si>
    <t>14.07.2021 11:11</t>
  </si>
  <si>
    <t>6 необычных летних блюд, которые можно приготовить с детьми! 1. Варенье из кабачков. Нам нужны: 1 кг кабачков, 0,5 кг</t>
  </si>
  <si>
    <t>Телеканалы Триколор ТВ, ну так они об этом так старательно умалчивают, продолжая на своем сайте подключать абонентов. Хотя да, при выборе оборудования можно понять, что только через интернет, антенны отсутствуют.</t>
  </si>
  <si>
    <t>Достоинства: легко устанавливается, поймал 30 каналов, но стоит на даче усилитель к антенн на улице
Недостатки: для меня очень маленький 15×4 пульт
посмотрим сколько прослужит</t>
  </si>
  <si>
    <t>Марина Р.</t>
  </si>
  <si>
    <t>display device,electronic device,black hair,television</t>
  </si>
  <si>
    <t>14.07.2021 11:05</t>
  </si>
  <si>
    <t>Ахмед, хорошо показывает. ))) Остальное по интернету можно посмотреть.</t>
  </si>
  <si>
    <t>Наталья Салатова</t>
  </si>
  <si>
    <t>14.07.2021 11:03</t>
  </si>
  <si>
    <t>Ахмед, антенна столько стоила. Дальше бесплатно. ))))</t>
  </si>
  <si>
    <t>14.07.2021 10:56</t>
  </si>
  <si>
    <t>Вишенка, домашняя антенна цена около 1000. 20 каналов, хватает.</t>
  </si>
  <si>
    <t>14.07.2021 10:15</t>
  </si>
  <si>
    <t>Триколор нет сигнала. Это у всех?</t>
  </si>
  <si>
    <t>у меня все нормально, вокзальная</t>
  </si>
  <si>
    <t>Александр Рыбаков</t>
  </si>
  <si>
    <t>Сиверский.нет</t>
  </si>
  <si>
    <t>Гатчина</t>
  </si>
  <si>
    <t>14.07.2021 10:09</t>
  </si>
  <si>
    <t>Добрый день. Скажите до каких пор будет ошибка 10 , постоянно приходится перезагружать  блок приемник. То есть если выключен основной приемник больше часа возникает данная ошибка даже на вторичном. На сайтах пишут что эта ошибкой ваша компания принуждает к замене оборудования, но я не хочу его менять. А сама ошибка устранима путём перезагрузки основного блока ( ВКЛ. Выкл. Питания блока) все рекомендуют Роспотребнадзор обратиться за не полноценное предоставление услуг со стороны оператора. Данная ошибка уже на протяжении года возникает. Прошу ответить на данный вопрос.</t>
  </si>
  <si>
    <t>20.07.2021 20:17</t>
  </si>
  <si>
    <t>гос.служб/ военных (у соседей были неприятные прецеденты с китайским оборудованием). Установил за пару часов, позже немного подправлял места расположения оборудования. Результат ОДНОЗНАЧНО есть! В доме связи вообще не было, с усилителем появилась стабильная голосовая связь на всех основных операторах связи (МТС, Мегафон, Теле2/Ростелеком). На МТС и Мегафоне появился слабенький, но работающий 3G интернет (об этом раньше и не мечтали). В общем за такую цену комплект полностью себя оправдал! Рекомендую. Единственное, нужно выбрать правильное место для внутренней (раздающей) и внешней (приемной) антенн (для этого полезно знать направление расположения ближайшей вышки/станции). Я подбирал постепенно, пробуя связь при расположении оборудования в разных местах. Пользуемся пару месяцев, результатом в целом довольны!!!</t>
  </si>
  <si>
    <t>Максим</t>
  </si>
  <si>
    <t>building,wood,floor,plywood</t>
  </si>
  <si>
    <t>14.07.2021 09:22</t>
  </si>
  <si>
    <t>Триколор, но может в будущем такой вариант будет?</t>
  </si>
  <si>
    <t>14.07.2021 09:04</t>
  </si>
  <si>
    <t>Все заработало, видимо и правда профилактика была</t>
  </si>
  <si>
    <t>Лена Зубкова</t>
  </si>
  <si>
    <t>09:03</t>
  </si>
  <si>
    <t>Жаль что тариф Единый нельзя подключить на месяц.</t>
  </si>
  <si>
    <t>14.07.2021 09:02</t>
  </si>
  <si>
    <t>В Кезево все в порядке</t>
  </si>
  <si>
    <t>Анатолий Привалов</t>
  </si>
  <si>
    <t>20.07.2021 21:07</t>
  </si>
  <si>
    <t>Блок питания (сетевой адаптер) универсальный 12V/2A (5,5*2,1 мм) комплект - 5 штук</t>
  </si>
  <si>
    <t>Достоинства: Идеально подходит для ресиверов Триколор
Недостатки: Заказываю второй раз черного цвета, присылают постоянно белого!!!</t>
  </si>
  <si>
    <t>Михаил Ф.</t>
  </si>
  <si>
    <t>У нас в Солянке и триколор и цифровое показывает отлично</t>
  </si>
  <si>
    <t>Любовь Самарина ( Григорьева)</t>
  </si>
  <si>
    <t>Зеленогорск</t>
  </si>
  <si>
    <t>08:11</t>
  </si>
  <si>
    <t>14.07.2021 08:11</t>
  </si>
  <si>
    <t>такая же фигня</t>
  </si>
  <si>
    <t>Андрей Никитин</t>
  </si>
  <si>
    <t>Сиверский</t>
  </si>
  <si>
    <t>14.07.2021 07:59</t>
  </si>
  <si>
    <t>У меня в новосиверской выдает информацию, что нет сигнала.
А с когда они профилактику проводят?
Первый раз такое.
Всегда работал отлично.</t>
  </si>
  <si>
    <t>07:48</t>
  </si>
  <si>
    <t>14.07.2021 07:55</t>
  </si>
  <si>
    <t>Триколор, да я его месяцами не включаю.А вы из за часа кипишь поднимаете.Все хочу отключить,да альтернативы нет.</t>
  </si>
  <si>
    <t>Нина Кулешова</t>
  </si>
  <si>
    <t>14.07.2021 07:30</t>
  </si>
  <si>
    <t>Уважаемые абоненты "Триколор ТВ" Ежеквартальная профилактика 14 июля 2021 года с 02:00 до 11:00 по московскому времени</t>
  </si>
  <si>
    <t>Фу славу богу.А то я подумал почему многие каналы нет сигнала.Думал приемник сломался</t>
  </si>
  <si>
    <t>Сергей Лобушков</t>
  </si>
  <si>
    <t>14.07.2021 07:24</t>
  </si>
  <si>
    <t>Показывает,но не все....профилактика.Живу в Межно.</t>
  </si>
  <si>
    <t>Светлана Ярцева</t>
  </si>
  <si>
    <t>14.07.2021 07:19</t>
  </si>
  <si>
    <t>07:09</t>
  </si>
  <si>
    <t>14.07.2021 07:09</t>
  </si>
  <si>
    <t>Триколор, не показывают только телеканалы с приставкой HG, на экране отображается - нет сигнала. Остальные каналы показывают без помех и искажений.</t>
  </si>
  <si>
    <t>Александр Яценко</t>
  </si>
  <si>
    <t>Южа</t>
  </si>
  <si>
    <t>14.07.2021 06:25</t>
  </si>
  <si>
    <t>Не могу войти по ID. При вводе приписывает префикс номера телефона.
v2.5.0</t>
  </si>
  <si>
    <t>Алексей Дашук</t>
  </si>
  <si>
    <t>05:23</t>
  </si>
  <si>
    <t>14.07.2021 06:27</t>
  </si>
  <si>
    <t>На передаче "Рожденные в СССР" на телеканале Ностальгия. Владимир спасибо! Я знал что будет хорошо, но не ожидал что</t>
  </si>
  <si>
    <t>В "триколоре" нет этого канала Вчера искал . 989 каналов , а "Ностальгии" нет...</t>
  </si>
  <si>
    <t>Yuri  Iniakin</t>
  </si>
  <si>
    <t>Виктор Горячев</t>
  </si>
  <si>
    <t>14.07.2021 17:22</t>
  </si>
  <si>
    <t>Нашёлся хоть один смелый в партии Яблоко – это Алексей Садомовский, который может сказать примерно следующее: Явлинский</t>
  </si>
  <si>
    <t>Mark Galperin</t>
  </si>
  <si>
    <t>https://scontent.fblq2-1.fna.fbcdn.net/v/t39.30808-6/fr/e15/q75/217404413_4163666007055372_3585563444913974798_n.jpg?_nc_cat=106&amp;ccb=1-3&amp;_nc_sid=dbeb18&amp;_nc_ohc=h4ykGsRDYWYAX9f7q0c&amp;_nc_ad=z-m&amp;_nc_cid=0&amp;_nc_ht=scontent.fblq2-1.fna&amp;oh=a7a0b74f3c7e968bd773b7eef4c9f204&amp;oe=60F3553A</t>
  </si>
  <si>
    <t>04:34</t>
  </si>
  <si>
    <t>14.07.2021 07:15</t>
  </si>
  <si>
    <t>Вера Федорова: Замечательно вчера Евгений Ройзман в эфире "Эха Москвы" сказал: "Алексей Навальный по своим масштабам, по</t>
  </si>
  <si>
    <t>Vjacheslav Titov</t>
  </si>
  <si>
    <t>https://scontent-ssn1-1.xx.fbcdn.net/v/t39.30808-6/fr/e15/q75/217392779_4163563357065637_5347127370029728320_n.jpg?_nc_cat=105&amp;ccb=1-3&amp;_nc_sid=dbeb18&amp;_nc_ohc=fh8tkFuVFq4AX-zTtb_&amp;_nc_ad=z-m&amp;_nc_cid=0&amp;_nc_ht=scontent-ssn1-1.xx&amp;oh=054fc883660b6fb95dd4a3ce20d5cf3a&amp;oe=60F29F58</t>
  </si>
  <si>
    <t>02:23</t>
  </si>
  <si>
    <t>14.07.2021 02:23</t>
  </si>
  <si>
    <t>Меня в полне устраивает приемник 9305 и менять не буду сколько бы не звонили с триколора нс счет обмена. Летом смотрим  на даче зимой в квартире. Одного понять не могу зачем  приемник подключать через интернет. На это есть ноутбук, смотри , что хочешь если  есть сеть. Придерживаюсь к классике это  приемник- тарелка - телевизор, а интернет у каждого есть в кармане в смартфоне!!!</t>
  </si>
  <si>
    <t>Олег Александров</t>
  </si>
  <si>
    <t>14.07.2021 02:22</t>
  </si>
  <si>
    <t>Full HD Телевизор LG 32LM6350PLA 32"</t>
  </si>
  <si>
    <t>Достоинства: Небольшой телевизор с FHD. Возможность работы с модулем триколор без отдельных приемников. Два антенных входа: спутник и обысный. Из смарт функций-работает кинопоиск HD, мне это важно. Очень классный пульт, который наклоном двигает курсор. Модель 2019 года, т.е. должен играть DTS звук. В моделях от 2020г эту возможность убрали. Нормально прицептлся к скрытой wifi 5Ггц.
Недостатки: Матрица средняя, большеватый корпус. Модели от 2020г стройнее.
Телевизор для начинающего энтузиаста или туда, где нет требований по супер качеству: на</t>
  </si>
  <si>
    <t>13.07.2021</t>
  </si>
  <si>
    <t>23:47</t>
  </si>
  <si>
    <t>Блок питания для ресивера Триколор 12В 2А</t>
  </si>
  <si>
    <t>Достоинства: Работает 
Недостатки: Нет</t>
  </si>
  <si>
    <t>13.07.2021 23:22</t>
  </si>
  <si>
    <t>Новая акция. Приемник за 1990 и пакет Единый Ультра HD. Итого 4500 за все + услуги дилера вообще-то 5 тысяч как минимум.</t>
  </si>
  <si>
    <t>Алексей, поменять не получиться. Мне бы просто приобрести. Новый, не дорого.</t>
  </si>
  <si>
    <t>Александр Устюжанин</t>
  </si>
  <si>
    <t>Камбарка</t>
  </si>
  <si>
    <t>15.07.2021 01:40</t>
  </si>
  <si>
    <t>Горите в аду
20 минут убил чтобы понять как оплатить на  смарт тв или в личном кабинете на пк тариф Триколор тв онлайн. Его нет в списке доступных и где найти непонятно</t>
  </si>
  <si>
    <t>Konst_Elf</t>
  </si>
  <si>
    <t>23:10</t>
  </si>
  <si>
    <t>Алексей, блин. ‍♂️ Я не спрашивал что транслирует. Я спросил, где такой взять?</t>
  </si>
  <si>
    <t>Александр, Более 200 каналов, в том числе в формате сверхвысокой четкости Ultra HD, доступ к более 10 000 фильмов и сериалов в онлайн-сервисе и современный UHD-приёмник всего за 1999 рублей!</t>
  </si>
  <si>
    <t>Александр, Новый цифровой UHD-приёмник модели GS B623L / GS B523L, который можно подключить через спутник или интернет.</t>
  </si>
  <si>
    <t>13.07.2021 23:05</t>
  </si>
  <si>
    <t>Всем здравствуйте, подскажите, есть ли в Кивеннапе проводной интернет или ТВ. Или каким способом можно существенно</t>
  </si>
  <si>
    <t>Иван, у меня Триколор никогда нормально не работал  Тарелку и её расположение меняли дважды. Поэтому ТВ только через интернет. Это к слову о локациях. Где-то один провайдер работает хорошо, где-то плохо</t>
  </si>
  <si>
    <t>Ксения Рублёва</t>
  </si>
  <si>
    <t>ЖК Кивеннапа-Север #1</t>
  </si>
  <si>
    <t>13.07.2021 23:01</t>
  </si>
  <si>
    <t>Соседи,добрый день!Подскажите пожалуйста,по ТВ,кроме связьмонтаж,какие ещё есть варианты?Спасибо!</t>
  </si>
  <si>
    <t>Александр, тоже за триколор. Жаль только что России 1 там нету.</t>
  </si>
  <si>
    <t>Елена Далберг</t>
  </si>
  <si>
    <t>Подслушано Колтуши</t>
  </si>
  <si>
    <t>13.07.2021 22:53</t>
  </si>
  <si>
    <t>Кто может отремонтировать ресивер Триколор? У него с питанием что-то!!!</t>
  </si>
  <si>
    <t>Блок питания новый купите</t>
  </si>
  <si>
    <t>Евгений Лобанов</t>
  </si>
  <si>
    <t>Подслушано в Кировграде ♔</t>
  </si>
  <si>
    <t>Кировград</t>
  </si>
  <si>
    <t>22:49</t>
  </si>
  <si>
    <t>13.07.2021 23:03</t>
  </si>
  <si>
    <t>Триколор, вы 4 раз в год проверяете. мало вам проверки. решили время увеличить</t>
  </si>
  <si>
    <t>Сергей Кирюшкин</t>
  </si>
  <si>
    <t>Росташи</t>
  </si>
  <si>
    <t>14.07.2021 08:04</t>
  </si>
  <si>
    <t>GS B527 и GS B528 UHD приставки</t>
  </si>
  <si>
    <t>nik56 писал(а):по миниджеку(тюльпаны) всё ок ,....ну смотрят по нему теперь ,....
Та абонентам Триколора не привыкать по UHD ресиверу смотреть с "тюльпанами", а до этого по ВЧ  
Самый "травоядный" и нетребовательный телезритель у оператора ...</t>
  </si>
  <si>
    <t>Телеспутник • Главная страница &gt; Приемное оборудование для Триколор-ТВ</t>
  </si>
  <si>
    <t>Крутой отечественный дрэг-рейсинг — "Наши гонки"</t>
  </si>
  <si>
    <t>Помню по телеку когда подключили триколор была такая реклама</t>
  </si>
  <si>
    <t>Вадим Витальевич</t>
  </si>
  <si>
    <t>Sonchyk</t>
  </si>
  <si>
    <t>14.07.2021 00:55</t>
  </si>
  <si>
    <t>Некоторые каналы уже не показывают.</t>
  </si>
  <si>
    <t>Переходите на триколор за 1500 в год, около 300 каналов. Третья часть из которых региональная пое@отень и рессивер 5000 минимум, а то  и 10000. А что не сказали свою сумму во всеуслышанье, кишка тонка?</t>
  </si>
  <si>
    <t>Sedoi</t>
  </si>
  <si>
    <t>IPTV от Mr.DeniZ'a</t>
  </si>
  <si>
    <t>13.07.2021 22:07</t>
  </si>
  <si>
    <t>Может у кого завалялась приставка на каналы?</t>
  </si>
  <si>
    <t>Ирина. у меня тоже триколор на два телевизора.</t>
  </si>
  <si>
    <t>Алла Смирнова</t>
  </si>
  <si>
    <t>Подсказано Пестово - справочная</t>
  </si>
  <si>
    <t>Пестово</t>
  </si>
  <si>
    <t>14.07.2021 16:21</t>
  </si>
  <si>
    <t>Радиостанции Питер FM и Популярная классика доступны в Триколоре - Новости радио OnAir.ru</t>
  </si>
  <si>
    <t>С июля 2021 года абоненты мультиплатформенного оператора цифровой среды Триколор получили возможность принимать радиостанции Питер FM и Популярная Классика.
Эти радиостанции созданы M10MEDIA - федеральным радиохолдингом из Санкт-Петербурга. В Триколоре уже доступны другие продукты творческого коллектива – Радио Ваня и Радио для Двоих.
Партнерство между двумя крупными вещателями дает возможность более 12 000 000 абонентов Триколора слушать разнообразный контент, доступный до этого в других средах вещания: эфирной и цифровой.
Питер FM - это</t>
  </si>
  <si>
    <t>onair.ru</t>
  </si>
  <si>
    <t>14.07.2021 04:03</t>
  </si>
  <si>
    <t>CoolMask @ 13.07.21, 23:34  /forum/index.php?act=findpost&amp;pid=107971741 Ройте в сторону разработчиков приложения, не реализовали такой функционал
А, ну тогда ладно, остальное то всё робит, думал тока у меня такой баг</t>
  </si>
  <si>
    <t>13.07.2021 23:09</t>
  </si>
  <si>
    <t>ЭТО УЖЕ НЕ ТВОЙ ДОМ! Страшные истории на ночь.Страшилки на ночь.</t>
  </si>
  <si>
    <t>Страшная история… И ЕБ*НАЯ АНТЕННА ТРИКОЛОРА</t>
  </si>
  <si>
    <t>Андрей Жданов</t>
  </si>
  <si>
    <t>WorldBegemotKot † Страшные истории †</t>
  </si>
  <si>
    <t>Doctor RU @ 13.07.21, 18:56  /forum/index.php?act=findpost&amp;pid=107968228 На X96 mini не нажимаются цифры с пульта чтоб включить определённый канал, куда рыть? неудобно
Ройте в сторону разработчиков приложения, не реализовали такой функционал.</t>
  </si>
  <si>
    <t>CoolMask</t>
  </si>
  <si>
    <t>13.07.2021 21:23</t>
  </si>
  <si>
    <t>Знающие люди подскажите. Смотрю триколор. Приёмник сторонний. Есть проблема, последнее время часть HD каналов не показывает, пишет нет сигнала. Часть, но не все UltraHD тоже самое. Такая ерунда происходит не всегда, но последнее время все чаще. На пути к тарелке растут кусты, может быть из-за них? Кабель визуально проверил - целый.</t>
  </si>
  <si>
    <t>Станислав Субботин</t>
  </si>
  <si>
    <t>14.07.2021 02:49</t>
  </si>
  <si>
    <t>Поменять пушку если давно стоит,  или кабель .</t>
  </si>
  <si>
    <t>Наталья Прохорова (Богданова)</t>
  </si>
  <si>
    <t>13.07.2021 22:40</t>
  </si>
  <si>
    <t>А как же Спутниковый интернет от триколор ? от МТС  ?  или это что то другое ?</t>
  </si>
  <si>
    <t>NickName</t>
  </si>
  <si>
    <t>13.07.2021 21:14</t>
  </si>
  <si>
    <t>@Artur30117910 @chachulecka @zaikaorit247 @MINZDRAV_RF Возможно.. Я уж лет 10, наверное, как отключил постоянно глючащую тарелку триколора, а обычной антенны и не было.. Сейчас смарт-тв, на котором чаще всего ютуб.</t>
  </si>
  <si>
    <t>Безумный Точильщик</t>
  </si>
  <si>
    <t>Разветвитель HDMI DSP-2PH4-03, HD19F /2x19F, 1 компьютер-2 монитора, каскадируемый, Full-HD, 3D, 1.4v</t>
  </si>
  <si>
    <t>Достоинства: Цена и качество!
Недостатки: Нет.
Брал для раздачи сигнала с ресивера триколор на два TV, качеством передаваемого сигнала очень доволен. Могу рекомендовать к приобретению.</t>
  </si>
  <si>
    <t>Харьков Юрий</t>
  </si>
  <si>
    <t>Разветвитель HDMI  DSP-2PH4-03, HD19F /2x19F, 1 компьютер-2 монитора, каскадируемый, Full-HD, 3D, 1.4v</t>
  </si>
  <si>
    <t>14.07.2021 12:52</t>
  </si>
  <si>
    <t>Товар пришёл на следующий день после заказа, всё работает рекомендую. Спасибо</t>
  </si>
  <si>
    <t>нужно смотреть тарелку!</t>
  </si>
  <si>
    <t>SKORPION )</t>
  </si>
  <si>
    <t>14.07.2021 02:45</t>
  </si>
  <si>
    <t>НАШЛИ ЛЕТАТЕЛЬНЫЙ АППАРАТ</t>
  </si>
  <si>
    <t>Всё  Васильевич  теперь  у вас 5 джи интернет  и триколор  на халяву.</t>
  </si>
  <si>
    <t>Женя Зиборов</t>
  </si>
  <si>
    <t>MOTO 46</t>
  </si>
  <si>
    <t>13.07.2021 19:32</t>
  </si>
  <si>
    <t>подскажите пожалуйста, а где можно оставить заявку на подключение интернета(оптоволокна) через интернет не смогу? и где</t>
  </si>
  <si>
    <t>Если оптоволокно подключишь, то триколор тебе уже не нужен.</t>
  </si>
  <si>
    <t>Александр Камышанов</t>
  </si>
  <si>
    <t>Ответы Крыловской</t>
  </si>
  <si>
    <t>Азов</t>
  </si>
  <si>
    <t>13.07.2021 19:43</t>
  </si>
  <si>
    <t>Нет сигнала уже часа два,. И нет списка регионов. Пишет обратится в техподдержку.</t>
  </si>
  <si>
    <t>Танька В-Танке</t>
  </si>
  <si>
    <t>19:17</t>
  </si>
  <si>
    <t>13.07.2021 19:18</t>
  </si>
  <si>
    <t>Новый блок питания купить и всё.</t>
  </si>
  <si>
    <t>Артём Дорганов</t>
  </si>
  <si>
    <t>Подслушано в Кушве ♔</t>
  </si>
  <si>
    <t>Кушва</t>
  </si>
  <si>
    <t>13.07.2021 19:17</t>
  </si>
  <si>
    <t>Здравствуйте. У вас какая модель?</t>
  </si>
  <si>
    <t>Сергей Береснев</t>
  </si>
  <si>
    <t>Подслушано в Верхнем Тагиле ♔</t>
  </si>
  <si>
    <t>13.07.2021 19:12</t>
  </si>
  <si>
    <t>❗️Уважаемые пользователи Триколора! Во избежание столкновений со случаями интернет-мошенничества при оплате услуг</t>
  </si>
  <si>
    <t>Здравствуйте. Две недели назад оплатила триколор, пакет Детский на месяц. Деньги висят на личном счёте, каналы не подключаются. Можно проверить что произошло и почему не получается оплатить подписку с личного счета?</t>
  </si>
  <si>
    <t>Molly Scott</t>
  </si>
  <si>
    <t>13.07.2021 19:11</t>
  </si>
  <si>
    <t>Светлана, так дело в том, что у нас с приемником всё было в порядке, мы его проверили у знакомых - триколор отключил сигнал думая, что мы сразу побежим покупать новый (настойчиво стали нам предлагать модели и оформить покупку в кредит), а когда мы припугнули судом с выплатой морального ущерба, в тот же день приемник включился и заработал.</t>
  </si>
  <si>
    <t>13.07.2021 19:09</t>
  </si>
  <si>
    <t>Здравствуйте. У нас антенна триколор и сигнал стал часто теряться... Раньше только в плохую погоду, когда тучи, ветер, дождь... А сейчас каждый день глючит... Может кто подскажет, что делать... Спасибо</t>
  </si>
  <si>
    <t>Канский Сплетник</t>
  </si>
  <si>
    <t>Не только триколор,вообще цифровые каналы смотреть не возможно,постоянно то сыпятся,то не сигнала.</t>
  </si>
  <si>
    <t>Валерий Ковалев</t>
  </si>
  <si>
    <t>14.07.2021 04:04</t>
  </si>
  <si>
    <t>На X96 mini не нажимаются цифры с пульта чтоб включить определённый канал, куда рыть? неудобно</t>
  </si>
  <si>
    <t>13.07.2021 18:53</t>
  </si>
  <si>
    <t>Триколор. И нахер всех авантюристов.</t>
  </si>
  <si>
    <t>Александр Петров</t>
  </si>
  <si>
    <t>ПОЧТИ ПОСТОЯННО ТАКАЯ ЕРУНДА.МЫ РЕШИЛИ БОЛЬШЕ  ПРОСТО НЕ ПЛАТИТЬ БОЛЬШЕ ВСЕ РАВНО СМОТРЕТЬ НЕ ЧЕГО.</t>
  </si>
  <si>
    <t>наташа наташа</t>
  </si>
  <si>
    <t>15.07.2021 01:38</t>
  </si>
  <si>
    <t>pangs8300n, А  стандарном 320 вместе с радио,проверять сейчас не буду накрыла гроза сигнал прыгает.....</t>
  </si>
  <si>
    <t>Shark72 писал(а):https://telesputnik.ru/forum/viewtopic.php?p=2480273#p2480273
"Щедрость" Триколора не имеет границ  Рассчитывают, что кто-то на подобное поведëтся?   Ладно бы на полгода или год, более-менее стимуляция, но месяц бесплатного просмотра-это нечто 
Это не щедрость,это дешёвый рекламный трюк.Своего рода посыл к правительству..Мы всегда рядом.</t>
  </si>
  <si>
    <t>rusnik</t>
  </si>
  <si>
    <t>Такая же ерунда . Ошибка 0 или 10</t>
  </si>
  <si>
    <t>Оксана Васильева-Макарова</t>
  </si>
  <si>
    <t>Фаначет</t>
  </si>
  <si>
    <t>13.07.2021 18:26</t>
  </si>
  <si>
    <t>Бери сторонний ресиваер</t>
  </si>
  <si>
    <t>Виктор Куркин</t>
  </si>
  <si>
    <t>musical instrument,electronic device,electronic instrument,computer hardware</t>
  </si>
  <si>
    <t>13.07.2021 21:55</t>
  </si>
  <si>
    <t>Есть же в листе спутник каналы триколор</t>
  </si>
  <si>
    <t>13.07.2021 18:06</t>
  </si>
  <si>
    <t>Блок сгорел. Но это не точно)</t>
  </si>
  <si>
    <t>Raz Dva</t>
  </si>
  <si>
    <t>Подслушано в Невьянске ♔</t>
  </si>
  <si>
    <t>13.07.2021 18:03</t>
  </si>
  <si>
    <t>Инет в доме есть ?</t>
  </si>
  <si>
    <t>13.07.2021 18:00</t>
  </si>
  <si>
    <t>Так проверьте блок питания может он навернулся , купите другой и все</t>
  </si>
  <si>
    <t>Андрей Крылов</t>
  </si>
  <si>
    <t>Подслушано в Красноуральске ♔</t>
  </si>
  <si>
    <t>Верхняя Тура</t>
  </si>
  <si>
    <t>13.07.2021 17:58</t>
  </si>
  <si>
    <t>Татьяна, а если позвать другого мастера? Интересно, что скажет) У нас после сервиса приемник как новенький.</t>
  </si>
  <si>
    <t>Светлана Орлова</t>
  </si>
  <si>
    <t>Не только у вас  у нас тоже частенько теряется сигнал</t>
  </si>
  <si>
    <t>Сузикова Марина</t>
  </si>
  <si>
    <t>И интернет настраивал через тарелку</t>
  </si>
  <si>
    <t>13.07.2021 18:20</t>
  </si>
  <si>
    <t>Главное всё ещё работает</t>
  </si>
  <si>
    <t>ewa2</t>
  </si>
  <si>
    <t>13.07.2021 17:22</t>
  </si>
  <si>
    <t>У меня тоже тоже много рессов,и модуль нтв+,триколор</t>
  </si>
  <si>
    <t>13.07.2021 17:59</t>
  </si>
  <si>
    <t>17:13</t>
  </si>
  <si>
    <t>Федя, у них же сейчас снова 4К в Базовом пакете</t>
  </si>
  <si>
    <t>Антон Гаращук</t>
  </si>
  <si>
    <t>Уссурийск</t>
  </si>
  <si>
    <t>Работая Установщиком "наигрался" со Всеми ресами .. по сей день дома штук 20-ть разных валяется в том числе и 4К .. все руки не доходят их выбросить .. предпочтение отдаю Флагманам .. но там Ценник от 10 тысяч и Выше .. а если Ваш ТВ более менее современный то берите CAM-модуль !!! и заморочек нет с лишними пультами .. проводами и прочим</t>
  </si>
  <si>
    <t>Ресы НТВшные да такие же как у Телекарты .. у Трико поинтереснее будут! А МТС ресы вообще полный шлак (( ..</t>
  </si>
  <si>
    <t>Только что "разрушителей мифов" смотрел на 2×2.
P.S. Ручным поиском, как обычно, 381 канал ловится.</t>
  </si>
  <si>
    <t>13.07.2021 17:00</t>
  </si>
  <si>
    <t>3 месяца не показывают телеканалы с приставкой HG</t>
  </si>
  <si>
    <t>13.07.2021 17:38</t>
  </si>
  <si>
    <t>Приложение сырое, аж все руки мокрые!! ☹️. Скачал и сразу начал производить оплату через приложение, шесть раз произвел и никак!!!!!???? Оооо просит обновлении! А может денежки...... 
v2.5.0</t>
  </si>
  <si>
    <t>Людмила Некрасова</t>
  </si>
  <si>
    <t>16:43</t>
  </si>
  <si>
    <t>Каналы закодированы...Профилактику раньше обещанного (14 июля) запустили что ли??
Личный кабинет тоже не работает..</t>
  </si>
  <si>
    <t>13.07.2021 16:36</t>
  </si>
  <si>
    <t>MTV Россия просто необходим!!! Триколор единственный провайдер платного тв не имеющий данный телеканал, который по прежнему востребован среди молодой аудитории</t>
  </si>
  <si>
    <t>Игорь Голуб</t>
  </si>
  <si>
    <t>Донецк</t>
  </si>
  <si>
    <t>Анон</t>
  </si>
  <si>
    <t>Наталья, ага триколор ТВ. Все каналы ловит</t>
  </si>
  <si>
    <t>Алексей Ползиков</t>
  </si>
  <si>
    <t>Падший Ангел</t>
  </si>
  <si>
    <t>13.07.2021 16:34</t>
  </si>
  <si>
    <t>Одной из лучших новинок прошлой недели, по мнению наших подписчиков, стал трек BTS Permission To Dance "Просто</t>
  </si>
  <si>
    <t>MTV Россия, давайте все вместе нажмём на Триколор, пусть они уже включат в свой пакет наконец то MTV! От этого будет большой сплошной плюс всем и оператору тв, зрителям что давно ждут и каналу дополнительная аудитория</t>
  </si>
  <si>
    <t>MTV Россия</t>
  </si>
  <si>
    <t>Достоинства: качество исполнения, универсальность, доставка
Всё отлично, для ресивера Huavee подошёл</t>
  </si>
  <si>
    <t>Александр К.</t>
  </si>
  <si>
    <t>13.07.2021 16:23</t>
  </si>
  <si>
    <t>Как подключить Wi-Fi к приёмнику? С модулем управления сделать это просто! Он объединяет устройства умного дома и раздаёт Wi-Fi в приёмник. Купить модуль можно за 299 руб. по промокоду TRICOLOR2021 в интернет-магазине Триколора или на Ozon 
Подробнее: https://bit.ly/3ySBnu1</t>
  </si>
  <si>
    <t>13.07.2021 18:35</t>
  </si>
  <si>
    <t>Как подключить Wi-Fi к приёмнику? С модулем управления сделать это совсем просто!
Он не только объединяет все устройства умного дома в одну систему, но и раздаёт Wi-Fi в приёмник. А приобрести модуль можно всего за 299 руб. по промокоду TRICOLOR2021 в интернет-магазине Триколора или на Ozon 
Подключив приёмник к интернету, вы получите новые возможности 
✓ Дистанционное управление системой «Триколор Умный Дом».
✓ Доступ к сервисам управления просмотром: пауза, перемотка, просмотр передач из архива.
✓ Тысячи фильмов и сериалов онлайн-сервиса «Триколор Кино и ТВ».
 Подробности акции по ссылке https://clck.ru/VGVn2</t>
  </si>
  <si>
    <t>https://scontent-lga3-2.xx.fbcdn.net/v/t1.6435-9/p960x960/214677058_4081434031910836_6166062824284558526_n.png?_nc_cat=100&amp;ccb=1-3&amp;_nc_sid=730e14&amp;_nc_ohc=qjlX8LzEwQEAX-iRVjc&amp;_nc_ad=z-m&amp;_nc_cid=0&amp;_nc_ht=scontent-lga3-2.xx&amp;oh=7efc0dfdd3d4f91cbbffdc8f6e49b436&amp;oe=60F1E6A4</t>
  </si>
  <si>
    <t>13.07.2021 16:39</t>
  </si>
  <si>
    <t>Как подключить Wi-Fi к приёмнику? С модулем управления сделать это совсем просто! Он не только объединяет все устройства</t>
  </si>
  <si>
    <t>Как подключить Wi-Fi к приёмнику? С модулем управления сделать это совсем просто!
Он не только объединяет все устройства умного дома в одну систему, но и раздаёт Wi-Fi в приёмник. А приобрести модуль можно всего за 299 руб. по промокоду TRICOLOR2021 в интернет-магазине Триколора или на Ozon 
Подключив приёмник к интернету, вы получите новые возможности 
✓ Дистанционное управление системой «Триколор Умный Дом».
✓ Доступ к сервисам управления просмотром: пауза, перемотка, просмотр передач из архива.
✓ Тысячи фильмов и сериалов онлайн-сервиса «Триколор Кино и ТВ».
 Подробности акции по ссылке https://ok.me/Q83k</t>
  </si>
  <si>
    <t>13.07.2021 15:58</t>
  </si>
  <si>
    <t>Интернет в ЖК Южная Акватория.</t>
  </si>
  <si>
    <t>для интернета норм скайнет. для тв пока пакт или триколор используем</t>
  </si>
  <si>
    <t>Станислав Борисов</t>
  </si>
  <si>
    <t>ЛСР ЖК Южная Акватория и Паруса группа дольщиков</t>
  </si>
  <si>
    <t>13.07.2021 15:31</t>
  </si>
  <si>
    <t>Какая модель приёмника будет предложена за 1990? С поддержкой Ultra HD?</t>
  </si>
  <si>
    <t>15:11</t>
  </si>
  <si>
    <t>14.07.2021 00:15</t>
  </si>
  <si>
    <t>Бесплатные каналы в приемниках Триколор, МТС, Телекарта и НТВ Плюс? Секретные функции Diseq</t>
  </si>
  <si>
    <t>Тема так и не раскрыта у кого сколько и каких бесплатных каналов? МТС, Телекарта или Триколор и НТВ Плюс, есть 4 антенны на участке, хочу собрать со всех, всё что есть бесплатного. Мне их хватит.</t>
  </si>
  <si>
    <t>Anri Falcon</t>
  </si>
  <si>
    <t>13.07.2021 15:04</t>
  </si>
  <si>
    <t>Триколор ТВ у всех показывает?</t>
  </si>
  <si>
    <t>Влогу показывает</t>
  </si>
  <si>
    <t>Юрий Петров</t>
  </si>
  <si>
    <t>Подслушано в Кормовище (16+)</t>
  </si>
  <si>
    <t>Матвеево</t>
  </si>
  <si>
    <t>13.07.2021 15:12</t>
  </si>
  <si>
    <t>Доброго дня всем. Хочу обратится к пользователям триколор. Встречал кто такую ошибку на сайте триколор с оплатой? Я со вчерашнего дня не могу пополнить счёт. Хотя триколор утверждал что сбоев нет. Но у них сайт обновился недавно, наверняка остались неполадки.</t>
  </si>
  <si>
    <t>Роман Воронков</t>
  </si>
  <si>
    <t>paper product,text,software,document,diagram,symbol</t>
  </si>
  <si>
    <t>13.07.2021 15:03</t>
  </si>
  <si>
    <t>Лысьва</t>
  </si>
  <si>
    <t>14.07.2021 17:06</t>
  </si>
  <si>
    <t>Достоинства: Цена
Недостатки: Нет
Предыдущий конвертор проработал почти 3 года, вышел из строя после сильной грозы. По сути, это расходный материал. Зачем покупать конвертор у официального представителя НТВ+ за 1200 руб, если можно купить такой же на Озоне за 739 руб.</t>
  </si>
  <si>
    <t>Вадим К.</t>
  </si>
  <si>
    <t>13.07.2021 14:53</t>
  </si>
  <si>
    <t>берите всегда тот что вышел недавно и есть положительные и отрицательные отзывы</t>
  </si>
  <si>
    <t>14.07.2021 17:03</t>
  </si>
  <si>
    <t>Достоинства: хорошая зарядка, быстро заряжает. 
Недостатки: нет</t>
  </si>
  <si>
    <t>Александр, это тот что ставится в телевизор и заменяет приемник?</t>
  </si>
  <si>
    <t>Алексей Жуков</t>
  </si>
  <si>
    <t>13.07.2021 14:36</t>
  </si>
  <si>
    <t>Комментатор Стогниенко о телеправах на трансляцию футбольных турниров ⚽️</t>
  </si>
  <si>
    <t>Анатолий, я не пользуюсь данным телевидением. Я пользуюсь Триколор ТВ</t>
  </si>
  <si>
    <t>Роман Шестаков</t>
  </si>
  <si>
    <t>Сборная России: ЕВРО-2020 | РПЛ</t>
  </si>
  <si>
    <t>Любинский</t>
  </si>
  <si>
    <t>13.07.2021 20:24</t>
  </si>
  <si>
    <t>AI Marketing кэшбэк пирамида / СКАМ Finiko на 25 миллиардов рублей</t>
  </si>
  <si>
    <t>Привет, сделай видео про МОШШЕЙНИЧЕСКОГО провайдера спутникого оператора триколор тв, который очень хорошо разводит пенсионеров на нормальные бабки.</t>
  </si>
  <si>
    <t>ZACE</t>
  </si>
  <si>
    <t>Denis LeadER TV</t>
  </si>
  <si>
    <t>подскажите пожалуйста, а где можно оставить заявку на подключение интернета(оптоволокна) через интернет не смогу? и где можно купить тарелку триколор с приемником? спасибо . анонимно</t>
  </si>
  <si>
    <t>13.07.2021 14:37</t>
  </si>
  <si>
    <t>С прошлого месяца не показывает, по актуальное, заводские настройки сбрасывал 2 раза, ключи активации высылал, оплачено до 24.08. Надоело…</t>
  </si>
  <si>
    <t>Дмитрий Рогов</t>
  </si>
  <si>
    <t>sports equipment,personal computer,computer,electronic device,display device,software,text,scoreboard,screen,laptop</t>
  </si>
  <si>
    <t>games</t>
  </si>
  <si>
    <t>Лучший вариант это модуль.</t>
  </si>
  <si>
    <t>Александр Вебер</t>
  </si>
  <si>
    <t>14.07.2021 04:34</t>
  </si>
  <si>
    <t>Андрей Илларионов об Алексее Навальном. Он делает хорошие вещи. Он делает ролики, рассказывает о коррупции тех или иных</t>
  </si>
  <si>
    <t>13.07.2021 13:45</t>
  </si>
  <si>
    <t>Почему не запускается ни один канал? Стоит Триколор Онлайн ТВ v. 2.3.724 для ATV - com.gsgroup.tricoloronline.202724 раньше запускались все каналы. Сегодня поновой авторизовался всё отображается, но не запускаются ни каналы, ни кино. Какую версию посоветуете, запускаю через VPN.</t>
  </si>
  <si>
    <t>anarita</t>
  </si>
  <si>
    <t>13.07.2021 13:35</t>
  </si>
  <si>
    <t>Триколор, прошла неделя.Когда появится канал MTV 80 s?</t>
  </si>
  <si>
    <t>13.07.2021 14:56</t>
  </si>
  <si>
    <t>CTC Kids появился на спутнике Astra 5B 31.5°E</t>
  </si>
  <si>
    <t>стс кидс ты че появился в ростелекоме хреноме а потом в триколоре тв в 4:3</t>
  </si>
  <si>
    <t>АМОГУС!!!!!</t>
  </si>
  <si>
    <t>Супутникове Телебачення</t>
  </si>
  <si>
    <t>13:17</t>
  </si>
  <si>
    <t>13.07.2021 13:55</t>
  </si>
  <si>
    <t>Вот там идёт речь про клиентов Триколора, а остальные?</t>
  </si>
  <si>
    <t>Ну я подозреваю, что те кто берет от них сигнал эта проблема их также коснётся.</t>
  </si>
  <si>
    <t>Kaneki</t>
  </si>
  <si>
    <t>Чат о провайдерах IPTV</t>
  </si>
  <si>
    <t>13.07.2021 13:17</t>
  </si>
  <si>
    <t>Где берут приёмник за 1990?</t>
  </si>
  <si>
    <t>13.07.2021 12:53</t>
  </si>
  <si>
    <t>У кого ИНТЕРНЕТ от ТРИКОЛОРА? Как вам??</t>
  </si>
  <si>
    <t>Настя, сейчас интернет если есть мобильная связь, то абон плата от 250 рублей, а ну как скажите сколько абон плата у триколора и скорость какая?</t>
  </si>
  <si>
    <t>Дмитрий Абушинов</t>
  </si>
  <si>
    <t>Поможем друг другу|Калмыкия</t>
  </si>
  <si>
    <t>13.07.2021 12:52</t>
  </si>
  <si>
    <t>Вика, у меня тоже с приемником была проблема. Через сервис все быстро решили, так как сидеть без связи не вариант)</t>
  </si>
  <si>
    <t>Настя Бредихина</t>
  </si>
  <si>
    <t>13.07.2021 12:50</t>
  </si>
  <si>
    <t>Дмитрий, у нас триколор дешевле всего выходит.. хотя у знакомых и другие операторы, но не так выгодно все равно.</t>
  </si>
  <si>
    <t>13.07.2021 12:49</t>
  </si>
  <si>
    <t>Когда появиться фильм знаки</t>
  </si>
  <si>
    <t>13.07.2021 12:57</t>
  </si>
  <si>
    <t>Во как! У жены с карты списали оплату без её ведома. Триколор на меня оформлен. Законно это вообще?</t>
  </si>
  <si>
    <t>Ого! У нас никогда такого не было. А в поддержку обращались?</t>
  </si>
  <si>
    <t>Ринат Иванов</t>
  </si>
  <si>
    <t>13.07.2021 12:31</t>
  </si>
  <si>
    <t>Друзья, обращаю Ваше внимание, чтобы Вы никогда не пользовались для оплаты за ТРИКОЛОР сайтом Триколор.оплата - интернет</t>
  </si>
  <si>
    <t>Очень странная ситуация. А вы на какой номер звонили? Тоже недавно обращалась с технической проблемой, мне все быстро решили. Может, лучше им на почту написать?</t>
  </si>
  <si>
    <t>Светлана Иванова</t>
  </si>
  <si>
    <t>Проблемный Советск</t>
  </si>
  <si>
    <t>13.07.2021 12:24</t>
  </si>
  <si>
    <t>Подскажите есть ли контакты кто проводит беспроводной интернет в деревнях??как то была реклама здесь раньше,но уже не</t>
  </si>
  <si>
    <t>Нам делали ребята с триколор который на рынке !! Все работает изумительно мы очень довольны ( интернет не триколор другой оператор)</t>
  </si>
  <si>
    <t>Лина Хапкова</t>
  </si>
  <si>
    <t>Спроси  | Трубчевск</t>
  </si>
  <si>
    <t>Трубчевск</t>
  </si>
  <si>
    <t>14.07.2021 05:23</t>
  </si>
  <si>
    <t>Отличный сервис. Знающие и улыбчивые сотрудники</t>
  </si>
  <si>
    <t>Владимир ЛАПИН</t>
  </si>
  <si>
    <t>Тосно</t>
  </si>
  <si>
    <t>13.07.2021 12:51</t>
  </si>
  <si>
    <t>Дермо глюченное.уже неделю пытаюсь пополнить счёт.толку ноль
v2.5.0</t>
  </si>
  <si>
    <t>Anatolji Bobrenyv</t>
  </si>
  <si>
    <t>13.07.2021 12:32</t>
  </si>
  <si>
    <t>#322 ОПЯТЬ УДАЛЕНИЕ РОЛИКА. ПОДПИШИТЕСЬ НА Будильник 7.0 Что будет осенью. Предупреждение.</t>
  </si>
  <si>
    <t>Триколор подарит россиянам бесплатный просмотр ТВ и кино за прививку от COVID-19</t>
  </si>
  <si>
    <t>Ромзан Гелиев</t>
  </si>
  <si>
    <t>Будильник Кому не всё равно 6.0</t>
  </si>
  <si>
    <t>13.07.2021 19:10</t>
  </si>
  <si>
    <t>Новости будущего</t>
  </si>
  <si>
    <t>1:38 антенну на голову нужно было с эмблемой триколор</t>
  </si>
  <si>
    <t>us82100</t>
  </si>
  <si>
    <t>ОВОД</t>
  </si>
  <si>
    <t>16.07.2021 12:48</t>
  </si>
  <si>
    <t>Салон Триколор ТВ</t>
  </si>
  <si>
    <t>Очень обаятельная девушка.</t>
  </si>
  <si>
    <t>Александр Нифонтов</t>
  </si>
  <si>
    <t>Сергиев Посад</t>
  </si>
  <si>
    <t>13.07.2021 11:53</t>
  </si>
  <si>
    <t>Все устраивает
v2.5.0</t>
  </si>
  <si>
    <t>Andrey Vak</t>
  </si>
  <si>
    <t>15.07.2021 04:47</t>
  </si>
  <si>
    <t>Кста, могли бы купить права на показ кубка России по футболу на ранних стадиях, не думаю, что они супер дорого сто́ят.</t>
  </si>
  <si>
    <t>13.07.2021 11:36</t>
  </si>
  <si>
    <t>Триколор, часто пишет "нет доступа" на старых приемниках.</t>
  </si>
  <si>
    <t>Дария Вильгельм</t>
  </si>
  <si>
    <t>Меняли приемник. Через три года он вышел из строя. Когда мне его меняли, оказалось, что они мне его не зарегистрировали... И он ни разу не обновлялся... По обмену дали, не нормальный приемник, а более меньшую коробочку... Ровно в половину..
Короче, я не довольна качеством обслуживания. Кстати, ещё три года назад с меня взяли 700 рублей за вызов. Не знаю конечно положено это или нет. Просто опыт с не зарегистрированным приемником, наложился...</t>
  </si>
  <si>
    <t>Ольга Бурмистрова</t>
  </si>
  <si>
    <t>13.07.2021 11:03</t>
  </si>
  <si>
    <t>Триколор, на других каналов всё отлично. Проблема только на этом канале со звуком, с картинкой нормально.</t>
  </si>
  <si>
    <t>Оксана Королева</t>
  </si>
  <si>
    <t>Плесецк</t>
  </si>
  <si>
    <t>13.07.2021 11:15</t>
  </si>
  <si>
    <t>Так а почему не работает сегодня?</t>
  </si>
  <si>
    <t>10:54</t>
  </si>
  <si>
    <t>У всех ли канал "Калейдоскоп" показывает с ужасным звуком?</t>
  </si>
  <si>
    <t>13.07.2021 22:17</t>
  </si>
  <si>
    <t>Загородный монтаж с участием Keenetic Runner 4G_КоПСС</t>
  </si>
  <si>
    <t>@Vladimir Levkin просто меня интересует этот вопрос. Мне надо ставить антену, а молниезащиты нету. Просто в триколор (хоть антена висит значительно ниже самой высокой точки) уже ловила привет (со слов отца) и ресивер был убит. Сейчас роль громоотвода выполняет старая тв антена, но что то мне кажется надо искать другое решение.</t>
  </si>
  <si>
    <t>Aleksandr Vinogradov</t>
  </si>
  <si>
    <t>13.07.2021 10:18</t>
  </si>
  <si>
    <t>Друзья,куда обратиться?не работает триколор второй месяц нет сигнала ,что это может быть ?</t>
  </si>
  <si>
    <t>Катюша, спасибо , обновили ,асе окей работает ,всем спасибо за консультации .</t>
  </si>
  <si>
    <t>Татьяна Васильева</t>
  </si>
  <si>
    <t>Подслушано Хвойная</t>
  </si>
  <si>
    <t>13.07.2021 10:32</t>
  </si>
  <si>
    <t>Добрый день! Если обменять приставку, новая будет на 2 телевизора?</t>
  </si>
  <si>
    <t>Ирина Зайкова</t>
  </si>
  <si>
    <t>Мураши</t>
  </si>
  <si>
    <t>13.07.2021 09:38</t>
  </si>
  <si>
    <t>добрый день. подскажите пожалуйста а потоки каналов Большой эфир от Триколор ТВ больше не идут на IPTV PLAYER?</t>
  </si>
  <si>
    <t>Нужен рабочий iptv плейлист?</t>
  </si>
  <si>
    <t>Николай Юрик</t>
  </si>
  <si>
    <t>13.07.2021 11:35</t>
  </si>
  <si>
    <t>Кто-нибудь пользуется TV BOX-ом, пример X96, Х96 PLUS или ему подобным, как все работает, скоростей Турецкого инета хватает? Триколор по инету в Турции запускали?</t>
  </si>
  <si>
    <t>Все прекрасно работает, если интернет нормальный подключите.</t>
  </si>
  <si>
    <t>Vladimir T</t>
  </si>
  <si>
    <t>ТУРЦИЯ | форум</t>
  </si>
  <si>
    <t>08:46</t>
  </si>
  <si>
    <t>13.07.2021 08:53</t>
  </si>
  <si>
    <t>белый красный белый триколор?)</t>
  </si>
  <si>
    <t>Да хз. Это российский. В беларуси запрещены все спутниковые каналы</t>
  </si>
  <si>
    <t>★☬[TΞCH]☬★</t>
  </si>
  <si>
    <t>WARFRAME</t>
  </si>
  <si>
    <t>08:34</t>
  </si>
  <si>
    <t>20.07.2021 20:22</t>
  </si>
  <si>
    <t>Достоинства: Работает, много функций.
Недостатки: нет.
Поменяла старый ресивер на этот. Нужно было перенести старый действующий контракт на новый ресивер. Связалась по вотсап. Ответили оперативно, все перенастроили за 5 минут, и сразу появилось изображение. Очень довольна. Спасибо!</t>
  </si>
  <si>
    <t>06:39</t>
  </si>
  <si>
    <t>/forum/index.php?act=findpost&amp;pid=107953246  amarkov175,
подойдет любая
советую Х2 или Х3 на прошивках Ugoos</t>
  </si>
  <si>
    <t>PRaetorian13</t>
  </si>
  <si>
    <t>05:10</t>
  </si>
  <si>
    <t>13.07.2021 09:14</t>
  </si>
  <si>
    <t>Хороший приёмник</t>
  </si>
  <si>
    <t>Nik Julianna</t>
  </si>
  <si>
    <t>03:51</t>
  </si>
  <si>
    <t>13.07.2021 06:08</t>
  </si>
  <si>
    <t>Ну и чтобы два раза не вставать. Последний пост на эту тему.  Венедиктов утверждает, что Явлинский сам устроил себе</t>
  </si>
  <si>
    <t>03:12</t>
  </si>
  <si>
    <t>13.07.2021 03:12</t>
  </si>
  <si>
    <t>Триколор, больше похоже на пустой звук, ваше: "Ваши пожелания и замечания будут переданы в ответственный отдел для использования в дальнейшей работе." видимо вряд ли что то решат, так как MTV Russia ответили что хотят вещать у вас в пакете, но вы их выключили, теперь и MTV Hits прекратил вещание и оставшийся MTV 90 это абсолютно не нужный каналов повторов старья у вас есть, а актуальный и востребованный MTV Россия вы не можете включить, учитывая что каналы одного холдинга Viacom cbs, в чём сложность то? Если бы Вы реально углубились бы в эту</t>
  </si>
  <si>
    <t>Анастасия Ворошилова</t>
  </si>
  <si>
    <t>02:55</t>
  </si>
  <si>
    <t>13.07.2021 02:56</t>
  </si>
  <si>
    <t>Триколор, так знаем что не входит, был же зачем убрали? писали в редакцию канала, они отвечают что канал вышел из Вашего пакета по Вашей инициативе и они всячески за! то что бы вещать в вашем пакете, а так выходит вы и MTV Россия убрали, а он основной и не заменимый, и MTV Hits убрали, MTV 90's вещает не понятно для чего и кого, не логично бы его заменить на MTV Russia там и 90 и 80 и новые клипы, как русские, так и заграничные + отличные программы и концерты которые мы пропускаем!!!</t>
  </si>
  <si>
    <t>02:43</t>
  </si>
  <si>
    <t>13.07.2021 03:02</t>
  </si>
  <si>
    <t>Триколор, а что по поводу MTV Россия</t>
  </si>
  <si>
    <t>01:33</t>
  </si>
  <si>
    <t>Облачное видеонаблюдение с динамическим ip. Что выбрать?</t>
  </si>
  <si>
    <t>Здравствуйте. Имеется помещение с интернетом. Роутер. Динамисеский IP.
Нужно поставить две-три камеры. Запись должна вестись на видеорегистратор, находящийся в этом же помещении. Но при необходимости нужно просматривать видео удаленно, без удаленной записи. Какой сервис лучше выбрать? И как лучше реализовать? 
В голову пришла такая схема:
Камеры подключаю к роутеру, и беру тариф например в триколоре на облачное хранение.
И к этому же роутеру подключаю регистратор, который локально пишет изображение. Правильна ли эта схема или можно придумать лучше? Будет ли регистратор писать две камеры через один порт, или обязательно требуется чтоб для каждой камеры был свой порт регистратора?
спасибо заранее за ответы</t>
  </si>
  <si>
    <t>Павел Нагорный</t>
  </si>
  <si>
    <t>Ответы@Mail.Ru: Все категории &gt; Офисная техника</t>
  </si>
  <si>
    <t>Отличный приёмник</t>
  </si>
  <si>
    <t>Galee777</t>
  </si>
  <si>
    <t>01:00</t>
  </si>
  <si>
    <t>Стоп коронавирус: За прививку от ковида дарят месяц бесплатного просмотра кино и сериалов</t>
  </si>
  <si>
    <t>аналогичный доступ в онлайн-сервисе kino.tricolor.tv https://www.kp.ru/go/https://kino.tricolor.tv/  либо через приложение «Триколор Кино и ТВ» на мобильных устройствах и Smart TV.Акция проходит при поддержке интернет-ресурса стопкоронавирус.рф https://www.kp.ru/go/http://стопкоронавирус.рф .Фото: bigstockНынешняя социальная инициатива Триколора – не первая. Когда началась пандемия коронавируса, оператор первым предоставил услуги собственного колл-центра для создания в Санкт-Петербурге единой горячей линии 122, где отвечали на звонки встревоженных</t>
  </si>
  <si>
    <t>kp.ru</t>
  </si>
  <si>
    <t>building,text,window</t>
  </si>
  <si>
    <t>presentation,business,management,news</t>
  </si>
  <si>
    <t>00:48</t>
  </si>
  <si>
    <t>15.07.2021 13:53</t>
  </si>
  <si>
    <t>Блок питания Блок питания 12B/2A, Блок питания для Триколор ТВ светодиодных лент камер видеонаблюдения</t>
  </si>
  <si>
    <t>Все работает!</t>
  </si>
  <si>
    <t>Ригина</t>
  </si>
  <si>
    <t>00:40</t>
  </si>
  <si>
    <t>13.07.2021 01:15</t>
  </si>
  <si>
    <t>Все хорошо работает все нравиться спасибо провайдеру.</t>
  </si>
  <si>
    <t>ალექსი Sbogov</t>
  </si>
  <si>
    <t>00:31</t>
  </si>
  <si>
    <t>Кстати, ещё одно пожелание. Поменяйте картинки на "Футбольном" на те, которые используются в ЕПГ "Нашего спорта". Как хорошо на "Нашем спорте". Сразу понятно, где женский футбол, где ФНЛ, и какие финты ушами в ЕПГ "Футбольного". Для каналов "Большого эфира", может, тоже полезней были бы логотипы конкретных турниров, чем просто картинка с площадкой по виду спорта. Вообще, идеально было бы в картинке не только логотип турнира, но и логотипы играющих команд, но и это неплохое начало. Ну и слово "футбол" в ЕПГ "футбольного", может, и не самое</t>
  </si>
  <si>
    <t>13.07.2021 00:41</t>
  </si>
  <si>
    <t>/forum/index.php?act=findpost&amp;pid=107953502  Jbaz, купите просто CAM модуль Триколор 4К. Я забил на шаринг, хотя пользовался им 10 лет, сейчас на 2 новых ТВ взял фирменные модули. Качество на ТВ отличное, у меня тоже U7QF.</t>
  </si>
  <si>
    <t>KPP</t>
  </si>
  <si>
    <t>15.07.2021 02:17</t>
  </si>
  <si>
    <t>Где смотреть UFC 18 июля: Махачев — Мойзес, прямая трансляция</t>
  </si>
  <si>
    <t>несколько других интересных противостояний.
https://vk.com/video_ext.php?oid=-180706688&amp;id=456246719&amp;hash=827935adabe00992&amp;hd=2 Где смотреть UFC 18 июля: Махачев — Мойзес Прелимы начнутся в 2:00 по московскому времени в ночь 18 июля, основной кард стартует в 5:00 МСК. Главный бой вечера Махачев — Мойзес ориентировочно в 7:30 по Москве.
Все турниры UFC можно смотреть на UFC Fight Pass. Также прямые трансляции будут организованы на телеканале UFC TV (есть в линейке Ростелеком и Триколор), на сервисах Wink и more.tv.
Где смотреть UFC на постсоветском</t>
  </si>
  <si>
    <t>metaratings.ru</t>
  </si>
  <si>
    <t>sports equipment,muscle,boxing glove,boxing equipment,chest</t>
  </si>
  <si>
    <t>boxing ring,competition,individual sports,sports,championship,sport venue</t>
  </si>
  <si>
    <t>12.07.2021</t>
  </si>
  <si>
    <t>12.07.2021 23:59</t>
  </si>
  <si>
    <t>Евро близится к завершению, а на смену ему приходит #ЛучшаяЛигаМира ⚽️ С 10 июля смотри новый сезон Олимп-Первенства</t>
  </si>
  <si>
    <t>Сложно ответить..но есть самое главное, улучшить качество приложения</t>
  </si>
  <si>
    <t>Владимир Сукочев</t>
  </si>
  <si>
    <t>Всем привет. Подскажите пожалуйста, хочу купить андроид поставку для данной программы. Подписка триколор есть. Андроид приставка любая подойдёт? Или обязательно нужно, чтобы был сертифицированный андроид с поддержкой DRM? Посоветуйте пожалуйста, какую приставку взять?</t>
  </si>
  <si>
    <t>Хорошее качество, работает стабильно, крупные значки в меню
Со временем крышка ослабла (где устанавливается карта)
Добрый вечер.
Пишу свой отзыв о спутниковом ресивере General Satellite U510 Триколор ТВ.
Приобретен он более пять лет назад.
Данный ресивер уже старой модели. Обновление периодически появляется, выполняю. Переключение каналов — быстрое. Работает стабильно, качество изображения хорошее. Очень нравится, что в меню значки крупные, возможна сортировка по категориям. Поиск каналов быстрый. Крышка, где устанавливается карта уже</t>
  </si>
  <si>
    <t>13.07.2021 03:11</t>
  </si>
  <si>
    <t>Мы вон всем бесплатно меняем оборудование триколор, абонентов почти 15 мнл, человек только платит за год, так там процессор последнего поколения со встроенной памятью и индификатором</t>
  </si>
  <si>
    <t>Arthur Volosach</t>
  </si>
  <si>
    <t>LeoMining | Chat</t>
  </si>
  <si>
    <t>12.07.2021 22:15</t>
  </si>
  <si>
    <t>Кабельное тнт, пятница, стс, рен тв. Сколько дней уже такая фигня...что днем, что вечером. Может примите уже какие - то</t>
  </si>
  <si>
    <t>Купите триколор</t>
  </si>
  <si>
    <t>Татьяна Кузьмина</t>
  </si>
  <si>
    <t>ТИПИЧНАЯ ОНЕГА</t>
  </si>
  <si>
    <t>Онега</t>
  </si>
  <si>
    <t>12.07.2021 22:17</t>
  </si>
  <si>
    <t>Отличное приложение!!!
v2.5.0</t>
  </si>
  <si>
    <t>Виталий Пантелеев</t>
  </si>
  <si>
    <t>13.07.2021 01:56</t>
  </si>
  <si>
    <t>То есть оператор хочешь сказать не режет канал?</t>
  </si>
  <si>
    <t>а тарелка использовалась для приёма сигнала с 6 спутников с ямала 3 спутников экспресс 80 гр триколор нтв +  мтс  радуга и ещё какой то не помню</t>
  </si>
  <si>
    <t>Рустам Чарыев</t>
  </si>
  <si>
    <t>AVStream</t>
  </si>
  <si>
    <t>13.07.2021 05:13</t>
  </si>
  <si>
    <t>Новинка 2020 года GS B621L от Триколор! Секретное подключение ко второму телевизору</t>
  </si>
  <si>
    <t>Здравствуйте подскажите пожалуйста,тариф Единный ультра hd будет показывать на Фулл hd качестве или так же как обычный Единный в Hd,я понимаю добавятся Ультра hd каналы,а вот остальные ?</t>
  </si>
  <si>
    <t>АБЗЫЙ Матросов</t>
  </si>
  <si>
    <t>Достоинства: Всё оперативно подключилось и настроилось
Привезли GS B623L</t>
  </si>
  <si>
    <t>Комплект спутникового телевидения Триколор ТВ Ultra HD GS B621</t>
  </si>
  <si>
    <t>Достоинства: Богатый комплект поставки 
Недостатки: До сих пор ждём когда нам активируют доступ к Каналам. Отправили в Вотсапп данные прршло уже более 4х часов. Ответа нет</t>
  </si>
  <si>
    <t>Дмитрий А.</t>
  </si>
  <si>
    <t>13.07.2021 07:57</t>
  </si>
  <si>
    <t>GS-6301HD</t>
  </si>
  <si>
    <t>возможно картоприемник "закривел", возможно карта. но скорее всего микросхема. обслуживающая работу картоприемника  вероятность 3 проц на 0,5 пороц и 96,5 проц соответственно
нужен донор - пишите в личку - дам новую плату на обмен, но думаю. жить этому ресиверу до февраля 2022, хотя просчитать действия триколора нереально</t>
  </si>
  <si>
    <t>12.07.2021 21:14</t>
  </si>
  <si>
    <t>СофияЛаки ТВ</t>
  </si>
  <si>
    <t>За бесполезное навязывание обновлений!
v2.4.0</t>
  </si>
  <si>
    <t>Alexander</t>
  </si>
  <si>
    <t>12.07.2021 20:41</t>
  </si>
  <si>
    <t>Что происходит в Боровичах с цифровым сигналом тв? Два месяца уже пропадает сигнал с 16.00 интервал промежутка 5-10</t>
  </si>
  <si>
    <t>Триколор кажет.</t>
  </si>
  <si>
    <t>Роман Смолкин</t>
  </si>
  <si>
    <t>Боровичи - самое интересное для вас!</t>
  </si>
  <si>
    <t>Боровичи</t>
  </si>
  <si>
    <t>12.07.2021 20:28</t>
  </si>
  <si>
    <t>Сегодня получил вторую дозу вакцины, наконец начал 5G ловить. А то после первой дозы только Триколор-ТВ брало...</t>
  </si>
  <si>
    <t>Александр Холмогоров</t>
  </si>
  <si>
    <t>12.07.2021 20:18</t>
  </si>
  <si>
    <t>Ок
v2.5.0</t>
  </si>
  <si>
    <t>Алексанр Грачев</t>
  </si>
  <si>
    <t>12.07.2021 20:13</t>
  </si>
  <si>
    <t>Здравствуйте. Подскажите, пожалуйста, почему перестали показывать каналы на kino.tricolor.tv ? Пишут, что просмотр</t>
  </si>
  <si>
    <t>Олег, помогло!Спасибо огромное!</t>
  </si>
  <si>
    <t>Сергей Юров</t>
  </si>
  <si>
    <t>Донской</t>
  </si>
  <si>
    <t>14.07.2021 12:31</t>
  </si>
  <si>
    <t>Я отказываюсь от нее</t>
  </si>
  <si>
    <t>12.07.2021 19:39</t>
  </si>
  <si>
    <t>❗️ Внимание: 14 июля пройдут плановые профилактические работы ❗️
С 02:00 до 11:00 (мск) будет приостановлено вещание некоторых спутниковых каналов. Каналы, транслируемые через интернет, будут работать в обычном режиме, поэтому вы сможете продолжить их просмотр в онлайне в рамках вашего пакета 
 На сайте kino.tricolor.tv. Просто авторизуйтесь по данным Личного кабинета или по номеру телефона.
 В приложении «Триколор Кино и ТВ» на мобильном устройстве или Smart TV.
 Или подключив приёмник к интернету.</t>
  </si>
  <si>
    <t>13.07.2021 02:59</t>
  </si>
  <si>
    <t>https://scontent-nrt1-1.xx.fbcdn.net/v/t1.6435-9/e15/q75/p960x960/217053911_4079167515470821_3133746385139377749_n.jpg?_nc_cat=110&amp;ccb=1-3&amp;_nc_sid=730e14&amp;_nc_ohc=ZKqZPJmiN_0AX9eWMNK&amp;_nc_ad=z-m&amp;_nc_cid=0&amp;_nc_ht=scontent-nrt1-1.xx&amp;oh=b30fccd4541ed0cb9b653382ed44d43b&amp;oe=60F0E1A9</t>
  </si>
  <si>
    <t>18:58</t>
  </si>
  <si>
    <t>12.07.2021 19:20</t>
  </si>
  <si>
    <t>Надо исправить!!Вот если интернет плохо ловит,а тут при входе ваша обнова не даёт в приложение зайти
v2.5.0</t>
  </si>
  <si>
    <t>Слава Горовенко</t>
  </si>
  <si>
    <t>12.07.2021 18:59</t>
  </si>
  <si>
    <t>Кстати да, словил такой же глюк.  Зайди в личный кабинет на  официальном сайте или через приложение Мой триколор, раздел Мои устройства и удали ненужные. у меня там были старый телефон и комп. Я удалил все, теперь заработало. и на телефоне и на компьютере</t>
  </si>
  <si>
    <t>Пульт универсальный DVB-T2+3 для приставок (ресиверов) триколор, rexant, supra, selenga, сигнал, эфир и тд.</t>
  </si>
  <si>
    <t>Достоинства: Цена
Недостатки: Все кнопки перепутаны</t>
  </si>
  <si>
    <t>Юлия Т.</t>
  </si>
  <si>
    <t>12.07.2021 18:20</t>
  </si>
  <si>
    <t>это пиратские каналы триколор их не добавит</t>
  </si>
  <si>
    <t>12.07.2021 18:18</t>
  </si>
  <si>
    <t>Триколор, ведь это интернет площадки,  их не сложно создавать в приложении ч конечно про ваше я молчу, оно у вас очень не желательно, да и у билайна тв , тоже, приходится подключать другие онлайн платформы,  где есть качественные и удобные приложения.</t>
  </si>
  <si>
    <t>18:09</t>
  </si>
  <si>
    <t>12.07.2021 18:09</t>
  </si>
  <si>
    <t>Триколор, а так  сложно добавить?</t>
  </si>
  <si>
    <t>12.07.2021 18:03</t>
  </si>
  <si>
    <t>Здравствуйте. Подскажите, пожалуйста, почему перестали показывать каналы на kino.tricolor.tv ? Пишут, что просмотр доступен по подписке. Но я уже подписан на пакет "Единый" (который в телевизоре со спутника функционирует в нормальном режиме), а дополнительная подписка для онлайн-просмотра вроде не нужна. Авторизовывался и по номеру ID, и по номеру телефона - всё равно ничего не работает. Такая проблема у всех или только у меня? Заранее спасибо за помощь.
Смотреть фильмы в онлайн кинотеатре в хорошем качестве. Смотреть кино в HD качестве на «Триколор Кино..
http://kino.tricolor.tv</t>
  </si>
  <si>
    <t>12.07.2021 18:22</t>
  </si>
  <si>
    <t>Приложение хорошее. Все просто и понятно.
v2.4.0</t>
  </si>
  <si>
    <t>Анатолий Данилов</t>
  </si>
  <si>
    <t>12.07.2021 17:35</t>
  </si>
  <si>
    <t>Триколор, смотрю везде перерывы в вещании. Наподобие евроспортов могут делать передачи на этих каналах в ближайшем будущем?</t>
  </si>
  <si>
    <t>Рашид Кеккезов</t>
  </si>
  <si>
    <t>12.07.2021 18:04</t>
  </si>
  <si>
    <t>Лучше нового может быть только новое за полцены 
Меняй свой старый приёмник за 1999 рублей при подключении на год «Единого Ultra» (18+) и получи комплект с новым UHD-оборудованием 
Тебя ждут сотни каналов, в том числе в 4К-формате, тысячи фильмов и сериалов, а также возможность смотреть Триколор на 5 устройствах одновременно!
Новый приёмник можно подключить через спутник или интернет и пользоваться сразу после получения без замены антенны 
Подробности по ссылке: https://clck.ru/W3NzN</t>
  </si>
  <si>
    <t>17:23</t>
  </si>
  <si>
    <t>13.07.2021 21:29</t>
  </si>
  <si>
    <t>✅
Шик и блеск ✨ доволен очень ✅</t>
  </si>
  <si>
    <t>DaudBek</t>
  </si>
  <si>
    <t>12.07.2021 17:29</t>
  </si>
  <si>
    <t>Алексей, всё это бесплатно делается</t>
  </si>
  <si>
    <t>12.07.2021 18:54</t>
  </si>
  <si>
    <t>Просто не пойму вот ставят триколор (спутниковое ТВ). Он же сигнал со спутника берет? Или это рекламный ход?</t>
  </si>
  <si>
    <t>ну во первых, тв - это односторонняя связь. То есть у вас тв только принимает сигнал со спутника, поэтому это организовать сильно проще, чем например двухсторонний канал. 
во-вторых, по  той же причине, спутнику не нужно "запоминать" и уж тем более - "держать связь" с абонентом. То есть он просто льет поток, а тарелка снизу этот поток "ловит". 
чтобы совершать звонки и двухстороннюю передачу данных, нужно немного другое оборудование. Да, его можно поставить и на спутник (что и сделал старлинк), но получается дороговато, строить вышки, в том числе, с магистральным подключением - выгоднее и эффективнее.</t>
  </si>
  <si>
    <t>Egor Popovskiy</t>
  </si>
  <si>
    <t>Project Russia Community</t>
  </si>
  <si>
    <t>12.07.2021 17:06</t>
  </si>
  <si>
    <t>Роман Сергиян</t>
  </si>
  <si>
    <t>Минеральные Воды</t>
  </si>
  <si>
    <t>12.07.2021 17:25</t>
  </si>
  <si>
    <t>Мне не нужны обновления, почему меня заставляют это делать?!
v2.5.0</t>
  </si>
  <si>
    <t>Владимир Осиов</t>
  </si>
  <si>
    <t>17:04</t>
  </si>
  <si>
    <t>Если со спутника по идее я могу подключится к там смотреть его где угодно. А на деле нет. Почему?</t>
  </si>
  <si>
    <t>Триколор - там в одну сторону сигнал идет. Раньше был "полуспутниковый" интернет, когда со спутника идет входящий канал, а исходящий - он раньше был "тоньше", шел к провайдеру по мобильному или по меди телефонной.</t>
  </si>
  <si>
    <t>Dmitriy Chernyak</t>
  </si>
  <si>
    <t>Ivan Litovchenko</t>
  </si>
  <si>
    <t>12.07.2021 21:45</t>
  </si>
  <si>
    <t>Подскажите триколор ТВ приставку включаеш она показывает и через несколько секунд выключается сама потом включается сама</t>
  </si>
  <si>
    <t>Проблема в проводе была.</t>
  </si>
  <si>
    <t>Олег Петрович Зверев</t>
  </si>
  <si>
    <t>Телемастерская</t>
  </si>
  <si>
    <t>12.07.2021 16:58</t>
  </si>
  <si>
    <t>У кого Триколор показывает? У нас даже не настроить, пишет "нет сигнала".</t>
  </si>
  <si>
    <t>Федеральные каналы Триколор вообще практически не принимает. Бывает оооочень поздно показывает. С чем связано тоже не можем понять? Переход на цифру?</t>
  </si>
  <si>
    <t>Надежда Харченко</t>
  </si>
  <si>
    <t>Садоводство Назия</t>
  </si>
  <si>
    <t>12.07.2021 17:08</t>
  </si>
  <si>
    <t>Сможешь угадать, какие факты о «Всероссийской лиге юмора» правдивые?  1. Победитель лиги юмора получит сладкую сумму с</t>
  </si>
  <si>
    <t>Мне ночные каналы</t>
  </si>
  <si>
    <t>12.07.2021 16:50</t>
  </si>
  <si>
    <t>Кто не любит Xbox Series S, ТОТ НЕ ШАРИТ ЗА Xbox Series S ) ПОЧЕМУ ХЕЙТЯТ XBOX SERIES S ? | СОНИБОИ НЕДОВОЛЬНЫ XBOX</t>
  </si>
  <si>
    <t>Мне вообще не нравится series s почему? Потому что разрешение экрана низкий в 860-1080р графон убогий, трассировка лучей есть? ну конечно НЕТ, места около 200-300гб это очень мало, игры идут в 30 Фпс это морально устарело ужас. Дизайн прям какой-то радиоприёмник, размер куда очень маленький как ресивер от Триколор. В сто раз лучше уж series x купить.</t>
  </si>
  <si>
    <t>Герман Иванов</t>
  </si>
  <si>
    <t>GPX</t>
  </si>
  <si>
    <t>12.07.2021 16:46</t>
  </si>
  <si>
    <t>Генетическая особь тоже добавте фильм</t>
  </si>
  <si>
    <t>12.07.2021 16:34</t>
  </si>
  <si>
    <t>зря вы Таттелеком игнорите, второй год на ютубе сижу, триколор выкинул</t>
  </si>
  <si>
    <t>Игорь Низамов</t>
  </si>
  <si>
    <t>12.07.2021 16:28</t>
  </si>
  <si>
    <t>Илья, дилер по любому что нибудь урвет себе на пропитание. Проверка приемника и перенос данных нас новый приемник. Вот вам и услуги дилера.</t>
  </si>
  <si>
    <t>12.07.2021 15:46</t>
  </si>
  <si>
    <t>Бесплатный просмотр ТВ и кино за заботу о здоровье!  Получите месяц просмотра ТВ, кино и сериалов от «Триколора»</t>
  </si>
  <si>
    <t>Вот когда появляются подобные акции доверие опять падает ‍♀️</t>
  </si>
  <si>
    <t>Алина Погорелова</t>
  </si>
  <si>
    <t>СтопКоронавирус.РФ</t>
  </si>
  <si>
    <t>14.07.2021 12:53</t>
  </si>
  <si>
    <t>Пульт подошёл всё отлично</t>
  </si>
  <si>
    <t>15:30</t>
  </si>
  <si>
    <t>14.07.2021 02:09</t>
  </si>
  <si>
    <t>Тюнер спутниковый ресивер триколор ТВ есть</t>
  </si>
  <si>
    <t>У нас не ловит</t>
  </si>
  <si>
    <t>ЮСУФЖОН</t>
  </si>
  <si>
    <t>Настройка антенна.Кардшаринг</t>
  </si>
  <si>
    <t>Альберт Мавлютов</t>
  </si>
  <si>
    <t>12.07.2021 22:52</t>
  </si>
  <si>
    <t>Спутниковое ТВ</t>
  </si>
  <si>
    <t>[quote name="guraoleg1996" date="08.07.21, 23:23" post=107876692]
Разве там есть что смотреть на Eutelsat 9 и Eutelsat 19, там же всё или платное/кодированное или не по русски?
[/quote
90 и 13 градусы где есть бесплатные каналы на русском!!!
Добавлено 12.07.2021, 15:33:
[quote name="Rive80" date="28.05.21, 00:26" post=107008559]
Есть ресивер GS B621L на Триколоре с проблемой: отзывается на команды с пульта только первые 2-5 минут после жёсткого ребута. Дальше перестает реагировать на пульт, остаётся на том канале, на какой успели переключить.
замени блок питатания или замени беременные кондеры на нем и все!!!это же Китай!!!</t>
  </si>
  <si>
    <t>Радиолох65</t>
  </si>
  <si>
    <t>4PDA &gt; Другое</t>
  </si>
  <si>
    <t>Андрей, да там очень много каналов. И везде нету вещания. Если там показывают только матчи ФНЛ и детско-юношеские матчи то да смотреть не на что</t>
  </si>
  <si>
    <t>12.07.2021 15:26</t>
  </si>
  <si>
    <t>Рашид, Я так понял , там только онлайн трансляции , а так как матчи играются не каждый день , вот и нет вещания . Правда там и смотреть то особо не на что , ФНЛ и Детско-юношеский чемпионат , по крайней по первым двум</t>
  </si>
  <si>
    <t>12.07.2021 15:09</t>
  </si>
  <si>
    <t>Доброго всем дня! Вопрос для клиентов Ростелекома. Если у вас были проблемы с отсутствием интернета по причинам</t>
  </si>
  <si>
    <t>Елена, я с Флекса и не уходила,у меня было телевидение Ростелеком‍♂️,это было кошмарно...и регулярно,у иеня с Флексом таких пооблем нет,я в телевидение от тарелки Триколор поставили приёмник на второй телевизор и всё</t>
  </si>
  <si>
    <t>Лариса Гарчу</t>
  </si>
  <si>
    <t>Электроугли Online</t>
  </si>
  <si>
    <t>12.07.2021 15:10</t>
  </si>
  <si>
    <t>Санал, насчёт канала сваты не знаю,но сериал сваты прописался на канале дом кино</t>
  </si>
  <si>
    <t>Тимур Мусалаев</t>
  </si>
  <si>
    <t>Моздок</t>
  </si>
  <si>
    <t>12.07.2021 15:22</t>
  </si>
  <si>
    <t>Супер триколор ☝️☝️
v2.5.0</t>
  </si>
  <si>
    <t>Max Catro</t>
  </si>
  <si>
    <t>12.07.2021 14:44</t>
  </si>
  <si>
    <t>У меня 3 ТВ и два приемника. Смогу я подключить 3 ТВ при обмене на этот 1 супер приемник, если сказано в рекламе, что возможно подключить до 5 устройств?</t>
  </si>
  <si>
    <t>Елена Летягина</t>
  </si>
  <si>
    <t>Пульт универсальный RM-L1285 для телевизоров PHILIPS TV, не требует настройки</t>
  </si>
  <si>
    <t>Работает, даже триколором управляет</t>
  </si>
  <si>
    <t>Роман П.</t>
  </si>
  <si>
    <t>12.07.2021 16:51</t>
  </si>
  <si>
    <t>Триколор и стопкоронавирус.рф запустили акцию «Прививайся»</t>
  </si>
  <si>
    <t>пространство развлечений и сервисов для всей семьи, доступное с любого устройства, в любом месте и вне зависимости от времени. Наряду с ТВ, которое можно смотреть как через спутник, так и в интернете, оператор предлагает клиентам передовые digital-сервисы и услуги, включая онлайн-кинотеатр, умный дом, видеонаблюдение и спутниковый интернет. По итогам 2020 года общая база Триколора составила 12,257 млн домохозяйств, в том числе 10,3 млн подписчиков HDTV. По итогам 1 квартала 2021 года база UHD-клиентов превысила отметку в 300 тыс.
АНО «Национальные</t>
  </si>
  <si>
    <t>presentation,business</t>
  </si>
  <si>
    <t>14:02</t>
  </si>
  <si>
    <t>21.07.2021 08:05</t>
  </si>
  <si>
    <t>Триколор Комплект спутникового интернета Scorpio-i AЗССС SkyEdgeII-c-0,76/Ka с опорой</t>
  </si>
  <si>
    <t>Добрый день! Сожалеем, что Вам пришлось столкнуться с такой ситуацией. Комплекты аналогичны по функционалу, отличия только конструктивные. Если присутствуют неисправности в работе оборудования, Вы можете оставить заявку на возврат согласно правилам Wildberries. Надеемся, что не разочаруем Вас в дальнейшем!</t>
  </si>
  <si>
    <t>14.07.2021 00:14</t>
  </si>
  <si>
    <t>Не соответствует описанию,плюс брачный терминал в комплекте!</t>
  </si>
  <si>
    <t>Huawei Vision S [HarmonyOS]</t>
  </si>
  <si>
    <t>/forum/index.php?act=findpost&amp;pid=107942007  Sser888, Fry!tv https://4pda.to/forum/index.php?showtopic=934096  , интересен тем, что большое количество потоков на каждый канал с разных источников. Какой-нибудь да работает.
Wink / okko, etc по подписке.
Приложение от вашего оператора моб связи, - основные каналы бесплатно + плюшки.
Тарелка Триколор/МТС/НТВ и др или их интернет версии.
Общая или квартирная dtv антенна + приставка, что шла в подарок.
А в предустановленной смотрёшке не было трансляции?
Мне кажется, это не совсем тыква...</t>
  </si>
  <si>
    <t>studio-line</t>
  </si>
  <si>
    <t>12.07.2021 13:55</t>
  </si>
  <si>
    <t>В Магадане нашли пакеты для мусора в цветах российского триколора и с символикой Кремля Горожан настолько возмутили эти</t>
  </si>
  <si>
    <t>Лидия, разве на одном пакете все цвета разом?Они используются по одному</t>
  </si>
  <si>
    <t>Людмила Кашина</t>
  </si>
  <si>
    <t>Комсомольская правда - KP.RU</t>
  </si>
  <si>
    <t>12.07.2021 17:30</t>
  </si>
  <si>
    <t>Триколор будет работать только с прошитой приставкой и то до следующего обновления со стороны оператора</t>
  </si>
  <si>
    <t>Пользуюсь 4 года триколором. Ничего не прошивал. Что я делаю не так?</t>
  </si>
  <si>
    <t>Andy</t>
  </si>
  <si>
    <t>Инета хватает</t>
  </si>
  <si>
    <t>Привезу, буду пробовать, а на счет Триколора, имел ввиду, на ТВ Бокс/Андройд или Смарт/Андройд, устанавливаешь прогу Триколор, вводишь свой Ай-Ди/Пароль и пользуешься Триколором, сама приставка триколор уже не нужна.</t>
  </si>
  <si>
    <t>Владимир Александрович</t>
  </si>
  <si>
    <t>12.07.2021 13:30</t>
  </si>
  <si>
    <t>Всех устраивает работа фирмы Классика?</t>
  </si>
  <si>
    <t>Триколор тв и нтв плюс рулит.</t>
  </si>
  <si>
    <t>Евгений Туманов</t>
  </si>
  <si>
    <t>Черноголовка | Живи с умом!</t>
  </si>
  <si>
    <t>⚜️BoraBora⚜️</t>
  </si>
  <si>
    <t>13:06</t>
  </si>
  <si>
    <t>12.07.2021 13:06</t>
  </si>
  <si>
    <t>Не будет такие телеканалы на Триколор</t>
  </si>
  <si>
    <t>12.07.2021 12:45</t>
  </si>
  <si>
    <t>Поддерживаю комментарий, что Триколор так ,,подводит,, к покупке нового приемника. У нас так было дважды, когда припугнули, что имеем все положительные технические заключения и идем в суд - сразу все заработало и от нас ,,отстали,,</t>
  </si>
  <si>
    <t>12.07.2021 12:46</t>
  </si>
  <si>
    <t>Триколор, писал в личные сообщения, помощи не получил. Пару раз сказал про ошибку, пишут оплатить на вашем сайте. Чего я и делал</t>
  </si>
  <si>
    <t>12.07.2021 13:39</t>
  </si>
  <si>
    <t>Разнообразие премиального контента за доступные деньги</t>
  </si>
  <si>
    <t>. Через интернет зрителям доступны 170 телеканалов, а также просмотр более 10 тысяч фильмов и сериалов от крупнейших голливудских киностудий в
онлайн-сервисе https://kino.tricolor.tv/  Триколора.
Триколор решил не ограничивать обладателей пакета «Единый Ultra» и включил в подписку услугу «Мультирум», благодаря которой каналы со спутника становятся доступными сразу на двух телевизорах, а просмотр через интернет возможен на пяти разных устройствах.
Все вышеперечисленное разнообразие контента вкупе с возможностью просмотра во множестве сред</t>
  </si>
  <si>
    <t>electronic device,monitor,output device,text,display device,software,computer monitor</t>
  </si>
  <si>
    <t>presentation,design</t>
  </si>
  <si>
    <t>Триколор, да я здесь пытался оплатить. Пишет ошибка. Если хотите скрин покажу?</t>
  </si>
  <si>
    <t>12.07.2021 16:00</t>
  </si>
  <si>
    <t>UFC Вегас 31: Махачев — Мойзес. Хабиб ведёт своего преемника к титульнику. LIVE!</t>
  </si>
  <si>
    <t>недель до турнира он снялся из-за травмы.  Где смотреть турнир UFC Вегас 31 UFC Вегас 31: Махачев — Мойзес, когда начнётся бой Полный кард турнира UFC Вегас 31: Махачев — Мойзес Сначала старые Только важные Live Игорь Брагин  Где смотреть турнир UFC Вегас 31   Предварительный и основной кард, включающий главный бой  Ислама Махачева  и  Тиаго Мойзеса  , можно посмотреть на телеканале UFC ТВ, расположенном в сервисе Wink, который доступен на Ростелекоме, Триколоре и других платформах.
 Также турнир будет доступен в официальном приложении UFC Fight</t>
  </si>
  <si>
    <t>12.07.2021 12:24</t>
  </si>
  <si>
    <t>Добрый день. Не могу пополнить основной счёт триколор. Пишет произошла непредвиденная ошибка</t>
  </si>
  <si>
    <t>12.07.2021 11:58</t>
  </si>
  <si>
    <t>Вика, Приемник подключали к другой тарелке, всё норм.</t>
  </si>
  <si>
    <t>Юляшка Гуркина</t>
  </si>
  <si>
    <t>12.07.2021 11:52</t>
  </si>
  <si>
    <t>Сейчас многие отказываются от телевизоров, у некоторых уже давным давно нет его в доме. В связи с этим опрос Есть ли у</t>
  </si>
  <si>
    <t>Три штуки, на одном триколор, на втором интернет и просто 20 каналов - мне нравится, смотрю что хочу</t>
  </si>
  <si>
    <t>Ирина Татьянина</t>
  </si>
  <si>
    <t>Подслушано в Ермолаево</t>
  </si>
  <si>
    <t>Ермолаево</t>
  </si>
  <si>
    <t>12.07.2021 11:47</t>
  </si>
  <si>
    <t>А можно вопрос не по теме? Нтв плюс сохранит спутниковое вещание на Дальний Восток? Вопрос в связи с тем, что ваш конкурент, который всегда с вами на одних спутниках, вещает на ДВ только через интернет с этого месяца. Информацию об отсутствии Триколора подтвердили и в одной из владивостокских фирм по установке, предложив выбирать между НТВ плюс и Телекартой. И к слову, будут ли скидки по обмену оборудования для абонентов Триколора при переходе на НТВ плюс?</t>
  </si>
  <si>
    <t>12.07.2021 11:44</t>
  </si>
  <si>
    <t>Триколор, да подключен</t>
  </si>
  <si>
    <t>12.07.2021 11:41</t>
  </si>
  <si>
    <t>Триколор, в телегиде нету программы передач. Перерывы там идут. Круглосуточное вещание этих каналов когда возобновится?</t>
  </si>
  <si>
    <t>20.07.2021 23:12</t>
  </si>
  <si>
    <t>Достоинства: Быстро настроил
Недостатки: Нет
Хороший и удобный в использовании</t>
  </si>
  <si>
    <t>Андрей В.</t>
  </si>
  <si>
    <t>electronic device,smartphone,gadget,communication device</t>
  </si>
  <si>
    <t>Недавно поменял старый ресивер на новый UHD GS B626 L. А там увидел новые каналы наш спорт 1 наш спорт 2 и т.д которые не показывают. Когда начнут показывать эти каналы?</t>
  </si>
  <si>
    <t>12.07.2021 11:07</t>
  </si>
  <si>
    <t>Попробуйте поменять блок питания</t>
  </si>
  <si>
    <t>Наталья Ушакова</t>
  </si>
  <si>
    <t>Верзилово</t>
  </si>
  <si>
    <t>12.07.2021 10:57</t>
  </si>
  <si>
    <t>Елена, так это и есть сайт официального дилера. Но я, прождав 10 дней и не получив результата, в итоге получила отключение Триколора. Вот и заплатила повторно. А теперь я же и виновата, что заплатила повторно. Нужно было ждать до морковкиного заговенья.</t>
  </si>
  <si>
    <t>Надежда Торощина</t>
  </si>
  <si>
    <t>12.07.2021 10:51</t>
  </si>
  <si>
    <t>Лучшие добавить телеканал сваты через спутник в триколор ТВ</t>
  </si>
  <si>
    <t>12.07.2021 10:32</t>
  </si>
  <si>
    <t>Нет не планируется, смотрите в интернете!</t>
  </si>
  <si>
    <t>Александр Воронцов</t>
  </si>
  <si>
    <t>Ковров</t>
  </si>
  <si>
    <t>12.07.2021 10:31</t>
  </si>
  <si>
    <t>Все неполадки связанные с "нет сигнала "90% причина приемник, а ещё у триколора есть такая фишка если приёмнику более 3 лет они выключают сигнал для вынужденной замены приемника, у нас так было по 2 дня сидели без связи на приемнике.</t>
  </si>
  <si>
    <t>Вика Немнонова</t>
  </si>
  <si>
    <t>12.07.2021 10:29</t>
  </si>
  <si>
    <t>Шнур который идёт в приемник и в телевизор поменяйте местами</t>
  </si>
  <si>
    <t>12.07.2021 10:17</t>
  </si>
  <si>
    <t>12.07.2021 10:20</t>
  </si>
  <si>
    <t>Как влияет диаметр спутниковой антенны на качество сигнала.</t>
  </si>
  <si>
    <t>Не плохо влияет.</t>
  </si>
  <si>
    <t>12.07.2021 13:12</t>
  </si>
  <si>
    <t>Триколор дарит россиянам бесплатный просмотр ТВ и кино за заботу о здоровье и вакцинацию от COVID-19</t>
  </si>
  <si>
    <t>подарок месяц просмотра ТВ-каналов, кино и сериалов. Акция проходит при поддержке официального интернет-ресурса для информирования населения по вопросам коронавируса (COVID-19) стопкоронавирус.рф.
Для участия в акции достаточно пройти хотя бы первый этап вакцинации и оставить заявку до 15 августа 2021 года на сайте tricolor.tv, приложив фотографию удостоверяющего этот факт документа или QR-код.  Действующим клиентам Триколор подарит месяц просмотра каналов и фильмов через спутник и в онлайне. А те, кто не подписан на услуги оператора, получат</t>
  </si>
  <si>
    <t>10:13</t>
  </si>
  <si>
    <t>12.07.2021 10:16</t>
  </si>
  <si>
    <t>..ладно в пасмурную погоду и в дождь нормально не показывает, но уже две недели ясное небо, а сигнал как сыпался, так и сыплется, невозможно смотреть. Думаю, будем прощаться...</t>
  </si>
  <si>
    <t>Владимир Вакулин</t>
  </si>
  <si>
    <t>Исправьте
Почему нельзя сделать управление такое же как на телевизоре , к примеру: нельзя сделать на весь экран,  просмотр только на половину телефона, нет кнопки расширить ! Если исправите поставлю 5 звёзд! Apple 11</t>
  </si>
  <si>
    <t>Алексей:</t>
  </si>
  <si>
    <t>12.07.2021 10:05</t>
  </si>
  <si>
    <t>Убрать всю музыкальную парашу</t>
  </si>
  <si>
    <t>12.07.2021 09:58</t>
  </si>
  <si>
    <t>Ералаш лучше выключить!</t>
  </si>
  <si>
    <t>Алексей Данилов</t>
  </si>
  <si>
    <t>Ядрин</t>
  </si>
  <si>
    <t>12.07.2021 09:48</t>
  </si>
  <si>
    <t>канал Ералаш лучше включить!</t>
  </si>
  <si>
    <t>Кирилл Данилов</t>
  </si>
  <si>
    <t>12.07.2021 09:46</t>
  </si>
  <si>
    <t>Здравствуйте. Скажите, пожалуйста, планируются ли в составе Триколор в будущем два классных музыкальных канала: VIVA TV и Eurodance 90?</t>
  </si>
  <si>
    <t>Александр Нестеров</t>
  </si>
  <si>
    <t>black hair,finger</t>
  </si>
  <si>
    <t>fun,friendship,games</t>
  </si>
  <si>
    <t>09:36</t>
  </si>
  <si>
    <t>12.07.2021 16:42</t>
  </si>
  <si>
    <t>https://telesputnik.ru/forum/viewtopic.php?p=2480273#p2480273
"Щедрость" Триколора не имеет границ  Рассчитывают, что кто-то на подобное поведëтся?   Ладно бы на полгода или год, более-менее стимуляция, но месяц бесплатного просмотра-это нечто</t>
  </si>
  <si>
    <t>12.07.2021 09:16</t>
  </si>
  <si>
    <t>@glebke чё ты там ржал?  я уже лет 15 ржу над идиотами с мтс тв - где нет нихуя...  обладая нтв+ и триколором..</t>
  </si>
  <si>
    <t>Antisocial Z</t>
  </si>
  <si>
    <t>08:33</t>
  </si>
  <si>
    <t>12.07.2021 08:41</t>
  </si>
  <si>
    <t>Тариф "Единый" спутникового оператора "Триколор ТВ" - Отличный тариф за свои деньги</t>
  </si>
  <si>
    <t>Много каналов в hd
Для меня их нет
Всем привет, хочу рассказать о этом пакете от кампании триколор Тв. Когда купил приёмник долго не мог определиться с каналами, но в итоге понял что именно он подходит мне идеально, так как за сумму 100 рублей в месяц лучше не найти. В этот пакет входят, все российские каналы, также каналы в hd качестве, но думаю не стоит их подключать если телевизор вам этого не позволяет, также в этот пакет не входит ничего лишнего, например фильмы для взрослых, для них необходимо ещё подключать тариф , но для семейного ты, это не обходимо, а так я очень рад что его подключил, и вам советую, но если вам необходимо много каналов то лучше подумать об другом пакете каналов.</t>
  </si>
  <si>
    <t>Doctor3025</t>
  </si>
  <si>
    <t>Тариф "Единый" спутникового оператора "Триколор ТВ"</t>
  </si>
  <si>
    <t>07:58</t>
  </si>
  <si>
    <t>12.07.2021 08:25</t>
  </si>
  <si>
    <t>Оплатив за 2 года вперёд можно было получить разные привилегии чуть ли не приёмник за пол цены. Фильмы по подписке можно было бесплатно смотреть. Теперь фильмы 10 летней давности место которым на помойке истории, за деньги! Позор! Подписка заканчивается 26.06.2021 г. а деньги списали 10.06.2021 г. Думаю надо переходить на НТВ + и сигнал у них со спутника при каждом чихе не проподает! А вам ПОЗОР!
v2.5.0</t>
  </si>
  <si>
    <t>Андрей Станкевич</t>
  </si>
  <si>
    <t>12.07.2021 08:32</t>
  </si>
  <si>
    <t>Народ!!! Я за триколор плачу примерно также</t>
  </si>
  <si>
    <t>Павел Петросян</t>
  </si>
  <si>
    <t>07:28</t>
  </si>
  <si>
    <t>Очень удобно!
v2.5.0</t>
  </si>
  <si>
    <t>Николай Протас</t>
  </si>
  <si>
    <t>21.07.2021 07:28</t>
  </si>
  <si>
    <t>Достоинства: Работает. Греется меньше чем радной. Покупали для триколоровской приставке. 
Недостатки: Упакован в вакумный пакетик. коробки не было. 
Надеюсь что проработает дольше чем радной.</t>
  </si>
  <si>
    <t>Андрей Н.</t>
  </si>
  <si>
    <t>06:55</t>
  </si>
  <si>
    <t>Интересно конечно, но 550 км и пинг 43?? Сложно сказать что это спутниковый интернет, скажи это триколор интернету или газпром.. там пинг 600+</t>
  </si>
  <si>
    <t>Asero Animenz</t>
  </si>
  <si>
    <t>05:57</t>
  </si>
  <si>
    <t>12.07.2021 06:16</t>
  </si>
  <si>
    <t>Не могу настроить каналы на телевизоре филипс + 2часа. Кто подскажет?</t>
  </si>
  <si>
    <t>Не могу настроить каналы +2 часа. Кто подскажет?</t>
  </si>
  <si>
    <t>05:55</t>
  </si>
  <si>
    <t>12.07.2021 05:56</t>
  </si>
  <si>
    <t>Здравствуйте. Скажите как приёмник GS B528 стоит его покупать?</t>
  </si>
  <si>
    <t>На телевизоре филипс не могу настоить каналы + 2 часа . Кто подскажет?</t>
  </si>
  <si>
    <t>05:54</t>
  </si>
  <si>
    <t>На телевизоре филипс не могу настроить каналы +2 часа. Подскажите как сделать?</t>
  </si>
  <si>
    <t>05:08</t>
  </si>
  <si>
    <t>Триколор и стопкоронавирус.рф запустили акцию "Прививайся"</t>
  </si>
  <si>
    <t>онлайне. А те, кто не подписан на услуги оператора, получат аналогичный доступ к контенту на сайте kino.tricolor.tv либо через приложение "Триколор Кино и ТВ" на мобильных устройствах и Smart TV. Акция проходит при поддержке официального интернет-ресурса для информирования населения по вопросам коронавируса стопкоронавирус.рф. Стоит отметить, что это не первая подобная инициатива оператора. Так, например, в 2020 году "Триколор" стал первой компанией, предоставившей услуги собственного кол-центра для создания в Санкт-Петербурге единой горячей линии</t>
  </si>
  <si>
    <t>Анастасия Раевская</t>
  </si>
  <si>
    <t>03:54</t>
  </si>
  <si>
    <t>12.07.2021 03:54</t>
  </si>
  <si>
    <t>Интернет вай-фай (12'000₽). Тел.: 8-923-000-85-86 Триколор ТВ=9999₽. НТВ+=7000₽. 8-960-965-35-36</t>
  </si>
  <si>
    <t>Александр, 12000. Скорость отличная, т.к. используется внешняя антенна.</t>
  </si>
  <si>
    <t>Александр Тютюнников</t>
  </si>
  <si>
    <t>Подслушано в Табунском районе</t>
  </si>
  <si>
    <t>03:50</t>
  </si>
  <si>
    <t>12.07.2021 15:34</t>
  </si>
  <si>
    <t>Настройка триколор ТВ</t>
  </si>
  <si>
    <t>есть приложения на смартфон для поиска спутника. у соседей нет чтоль тарелок? на юг она направлена. тарелка маленькая и капризная могут и деревья мешать и что угодно</t>
  </si>
  <si>
    <t>Алексей Кузнецов</t>
  </si>
  <si>
    <t>Экспресс Аму 1 поймать практически не получилось. В одной точке какой то попадал сигнал и все, потом даже повторно поймать не смог. Тарелку только вчера купил, а ничего пока совсем не получается</t>
  </si>
  <si>
    <t>Роман Сергеевич</t>
  </si>
  <si>
    <t>12.07.2021 17:46</t>
  </si>
  <si>
    <t>Здравствуйте. Может и такая проблема вам знакома? Не можем выйти из детского режима. При нажатии кнопки Меню появляется предложение выйти из детского режима и кнопки Выйти и Отмена. При нажатии Выйти (и при Отмене тоже) предложение пропадает, но приемник остается в детском режиме. Настроить приемник невозможно, так как из-за детского режима нет доступа в меню. Как можно выйти из детского режима?
Модель оборудования: GS b210
Версия ПО: нет возможности посмотреть, так как нет доступа к меню.
В инструкции рекомендуют ввести пароль, но окошко для ввода пароля не появляется.</t>
  </si>
  <si>
    <t>Tk89181392234 Кабанова</t>
  </si>
  <si>
    <t>00:54</t>
  </si>
  <si>
    <t>21.07.2021 20:57</t>
  </si>
  <si>
    <t>Новая модель! Смарт ТВ-приставка Smotreshka Box 317 + подписка на 270+ ТВ-каналов и 4 онлайн-кинотеатра</t>
  </si>
  <si>
    <t>Достоинства: отличная приставка. раньше были сбои с триколором постоянно, а теперь все здорово. 
Недостатки: нет</t>
  </si>
  <si>
    <t>00:28</t>
  </si>
  <si>
    <t>13.07.2021 08:04</t>
  </si>
  <si>
    <t>халява на триколоре (как добавить 263 бесплатных канала на триколоре GS8300M)  trikolorda bepul</t>
  </si>
  <si>
    <t>Да я его знаю рессивер.</t>
  </si>
  <si>
    <t>Егор Миронов</t>
  </si>
  <si>
    <t>Тачаев Сергей</t>
  </si>
  <si>
    <t>12.07.2021 06:01</t>
  </si>
  <si>
    <t>А они сделали прямые эфиры на Смартах? Вроде же не было</t>
  </si>
  <si>
    <t>Вот и не могу проверить))) Благо, в каком-то другом приложении (Винк вроде) трансляция Р1 шла нормально + еще есть второй телек, к которому тарелка Триколора подключена</t>
  </si>
  <si>
    <t>Igor Cherkasov</t>
  </si>
  <si>
    <t>00:01</t>
  </si>
  <si>
    <t>12.07.2021 01:40</t>
  </si>
  <si>
    <t>2500 за триколор окупаются с когда люди жалуются на интернет траснляции</t>
  </si>
  <si>
    <t>Comandante Ge</t>
  </si>
  <si>
    <t>VZHICONF</t>
  </si>
  <si>
    <t>11.07.2021</t>
  </si>
  <si>
    <t>12.07.2021 01:13</t>
  </si>
  <si>
    <t>Да я вот сейчас и спутниковые интернеты смотрю, там скорость до 1мбит на отдачу. Только у газпрома для юрлиц нашёл тариф с якобы до 10мбит на отдачу. Пока грустно.</t>
  </si>
  <si>
    <t>Я себя на даче поставил спутник туда-сюда от Триколора. На отдачу довольно нестабильно. Если только ставить сервер с буфером минут на 5-10. И довольно большой пинг.</t>
  </si>
  <si>
    <t>Andrey Sever</t>
  </si>
  <si>
    <t>11.07.2021 23:16</t>
  </si>
  <si>
    <t>«Триколор Кино и ТВ» для Android TV</t>
  </si>
  <si>
    <t>На FAN последние дни стала рандомно выскакивать ошибка 64 (запрещено правообладателем). До этого после вала проблем вроде более-менее устаканилось, и вот, опять глюки, только в новом обличье.</t>
  </si>
  <si>
    <t>Денис Ардабьевский</t>
  </si>
  <si>
    <t>12.07.2021 13:32</t>
  </si>
  <si>
    <t>только интернет и возможность платить за это «ВСЁ» ежемесячно.
Но есть одна проблема, Вы хотите «весь мировой кинематограф….   недорогой», такого не бывает даже в мечтах 
Загадка почему Вы написали это здесь в ветке Триколор (бюджетного оператора) у которого максимально дорогой пакет стоит 2500 в год, в пакете 90 процентов фильмовых каналов собственного производства и даже если подключить все пакеты оператора невозможно получить « весь мировой кинематограф- по максимуму»</t>
  </si>
  <si>
    <t>Egoist</t>
  </si>
  <si>
    <t>13.07.2021 01:49</t>
  </si>
  <si>
    <t>Люди, а где вы нынче футбол смотрите? ....... #большиебуквыуходитеужескорееневозможножетакорать</t>
  </si>
  <si>
    <t>Изольда Костина  ээ. Посмотрела. У нас приставка Swisscom. На ней канал есть BBC Sport…  а на Триколоре на Матч ТВ? Или интернет трансл может есть Матч ТВ</t>
  </si>
  <si>
    <t>Ekaterina Kiseleva</t>
  </si>
  <si>
    <t>Izolda Kostina</t>
  </si>
  <si>
    <t>12.07.2021 02:32</t>
  </si>
  <si>
    <t>Искренне ненавижу канал Россия 1. Бракоделы. Спасибо за испорченный вечер. Чтоб вам бюджетные миллиарды поперек горла</t>
  </si>
  <si>
    <t>на триколоре да))) а вот интернет платформы для России1 и  Смотрим.ру чет не задались - криворукие программеры состряпали сайты</t>
  </si>
  <si>
    <t>Лия Огородникова</t>
  </si>
  <si>
    <t>Oleg  Ewsiukov</t>
  </si>
  <si>
    <t>13.07.2021 03:03</t>
  </si>
  <si>
    <t>Повесил и настроил сам тарелку МТС. Уров.93,Качес.50</t>
  </si>
  <si>
    <t>НТВ+ и Триколор нормально с ним настраиваются а настройка МТС удел сильных духом. Спутник, по моему, еще ниже чем Триколоровско-НТВшный, так еще и поляризацию ловить надо.</t>
  </si>
  <si>
    <t>ALOD</t>
  </si>
  <si>
    <t>11.07.2021 22:32</t>
  </si>
  <si>
    <t>@wylsacom А ТВ нет тарелки?) смотрю по Триколор, все прекрасно)</t>
  </si>
  <si>
    <t>Koval Sergey</t>
  </si>
  <si>
    <t>12.07.2021 02:18</t>
  </si>
  <si>
    <t>У нас триколор ТВ 300</t>
  </si>
  <si>
    <t>у нас хз скок</t>
  </si>
  <si>
    <t>а</t>
  </si>
  <si>
    <t>Дети маминых подруг</t>
  </si>
  <si>
    <t>у нас по стандарту 20 каналов</t>
  </si>
  <si>
    <t>ЛуНа</t>
  </si>
  <si>
    <t>11.07.2021 22:16</t>
  </si>
  <si>
    <t>@wylsacom Сука просто треш, обосонного триколора нет, на телике этот ебучий смотрим вообще не грузит, с телефона смотрю.</t>
  </si>
  <si>
    <t>Roma</t>
  </si>
  <si>
    <t>11.07.2021 22:52</t>
  </si>
  <si>
    <t>*,€~$+2@2##*#@
v2.4.0</t>
  </si>
  <si>
    <t>Александр Пызин</t>
  </si>
  <si>
    <t>11.07.2021 21:59</t>
  </si>
  <si>
    <t>Паша, вот вот, меня уже бесить начинает этот Триколор. Каналы уже начинают плохо показывать,точнее качество сигнала низкое стало. Пора отказываться от них. hd каналы пропали некоторые</t>
  </si>
  <si>
    <t>Эдуард Жилин</t>
  </si>
  <si>
    <t>11.07.2021 21:58</t>
  </si>
  <si>
    <t>Татьяна, пока без проблем все работает как часы. Будут проблемы и я уйду. Ну пока по факту лучший интернет по скорости в нашем районе. То что на симках билайн мегафон мтс это мягко говоря шляпа. 10 лет на  них просидел. И цена вай фай модема того же б/у можно за рубль полтора купить и радоваться раз нет доступа к нормальному интернету. После всех этих модемов скорость как пуля по сравнению с модемами с сим картой, еще и за пятнашку</t>
  </si>
  <si>
    <t>Александр Ватутин</t>
  </si>
  <si>
    <t>21:54</t>
  </si>
  <si>
    <t>12.07.2021 18:11</t>
  </si>
  <si>
    <t>Здравствуйте. Может и такая проблема вам знакома? Не можем выйти из детского режима. При нажатии кнопки Меню появляется предложение выйти из детского режима и кнопки Выйти и Отмена. При нажатии Выйти (и при Отмене тоже) предложение пропадает, но приемник остается в детском режиме. Настроить приемник невозможно, так как из-за детского режима нет доступа в меню. Как можно выйти из детского режима?
Модель оборудования: GS b210
Версия ПО: нет возможности посмотреть, так как нет доступа к меню.</t>
  </si>
  <si>
    <t>11.07.2021 21:52</t>
  </si>
  <si>
    <t>Татьяна, Я же написала не в приемнике дело.</t>
  </si>
  <si>
    <t>12.07.2021 00:24</t>
  </si>
  <si>
    <t>Какой-то умник клево антенну поставил, просто заснял, кск забавно у людей ТВ из земли ловится)</t>
  </si>
  <si>
    <t>Я недавно ваще двбт2 на триколор поймал</t>
  </si>
  <si>
    <t>Nikita</t>
  </si>
  <si>
    <t>21:46</t>
  </si>
  <si>
    <t>11.07.2021 21:47</t>
  </si>
  <si>
    <t>В приемнике</t>
  </si>
  <si>
    <t>Татьяна Федотова</t>
  </si>
  <si>
    <t>11.07.2021 21:46</t>
  </si>
  <si>
    <t>Тогда все выключите  и там еще есть карта вытащить и потом вставить</t>
  </si>
  <si>
    <t>11.07.2021 21:44</t>
  </si>
  <si>
    <t>Татьяна, В апреле оплатила</t>
  </si>
  <si>
    <t>21:39</t>
  </si>
  <si>
    <t>Добрый вечер. Подскажите, а каковы сроки проведения данной акции? И поясните, у меня сейчас подключен пакет Единый мульти и стоит комплект оборудования для 2-х телевизоров. Подписку я продлил недавно (в июне). Вопросы следующие, участвуют ли в данной акции комплекты оборудования для двух ТВ и могу ли я обменять это оборудование на новый комплект оборудования, так же для просмотра на двух ТВ? Во сколько мне это обойдется: 1999р. (за обмен) + 2500р. (за тариф) и все, я смогу смотреть на 2-х ТВ? Или что-то мне нужно ещё доплатить? Могу ли я деньги за оплаченный, недавно, пакет перенести в счёт оплаты нового или при обмене и оплаты нового тарифа эти деньги сгорят?</t>
  </si>
  <si>
    <t>Александр Толмачев</t>
  </si>
  <si>
    <t>Станислав, ООО, нет. Есть сяоми. Купили попробовать андроид ТВ. Более не хочу.</t>
  </si>
  <si>
    <t>Евгений Николаев</t>
  </si>
  <si>
    <t>Евгений, потерпите не много. Скоро GS приемники поднимут в цене, а китайские телевизоры 4к на оборот упадут, вот тогда и будет Вам счастье.</t>
  </si>
  <si>
    <t>Пульт подошёл. Работает отлично. Спасибо!!</t>
  </si>
  <si>
    <t>11.07.2021 20:46</t>
  </si>
  <si>
    <t>Кто там на заднем плане</t>
  </si>
  <si>
    <t>Сергей, триколор рен тв :) от инопланетянин</t>
  </si>
  <si>
    <t>Andrey Yakushev</t>
  </si>
  <si>
    <t>Trash Story</t>
  </si>
  <si>
    <t>11.07.2021 20:53</t>
  </si>
  <si>
    <t>Если так посмотреть то 99 баксов это дорого для России. При нынешней цене доллара в ≈70 р. абоненская плата около 7к р. а оборудование 35к. Если с оборудование ещё можно понять, то ежемесячный платёж я не понимаю. Несмотря на цену это все равно лучше чем наш аналог триколор тв в 20мб за ≈3.5к</t>
  </si>
  <si>
    <t>Денис Сёмин</t>
  </si>
  <si>
    <t>11.07.2021 20:28</t>
  </si>
  <si>
    <t>Полностью готовый к установке комплект Триколор ТВ ~40м кабеля в комплекте - 2000₽ Цифровой ТВ приёмник, новый -</t>
  </si>
  <si>
    <t>Зачем тарелка без ресивера ?</t>
  </si>
  <si>
    <t>Николай Мосягин</t>
  </si>
  <si>
    <t>БУ Строй Кинг | Кингисепп</t>
  </si>
  <si>
    <t>20:17</t>
  </si>
  <si>
    <t>11.07.2021 23:41</t>
  </si>
  <si>
    <t>Ребят, всем привет, кто сталкивался с такой делемой? Подключаю кабель от кабельного телевидения в телек, (реал) идёт</t>
  </si>
  <si>
    <t>Как вы не поймёте то Это не модуль встроен а ресивьер спутниковый  А модуль CL+ от оператора для разблокировки отдельно покупается у вашего оператора   Я триколор этот модуль за 3500 брал Сейчас цену не знаю</t>
  </si>
  <si>
    <t>Пэй Мэй</t>
  </si>
  <si>
    <t>КОМПЬЮТЕРНЫЕ СОВЕТЫ</t>
  </si>
  <si>
    <t>Достоинства: Хорошо всё 
Отлично работает</t>
  </si>
  <si>
    <t>Наталья К.</t>
  </si>
  <si>
    <t>На качество картинки - никак. На качество сигнала - от части влияет, особенно в плохую погоду. Потому вешая антенну 0,55 вы забиваете на расчёт на погоду. А вот с 0,8 у вас будет уверенный приём даже в грозу.</t>
  </si>
  <si>
    <t>11.07.2021 19:57</t>
  </si>
  <si>
    <t>Ремонт Триколор GS B521 КЗ ШИМ LNB</t>
  </si>
  <si>
    <t>Это был ресивер сломавшийся во время грозы. А Вы выключаете свою технику из розеток и отключаете от антенн, когда вокруг сверкают молнии?</t>
  </si>
  <si>
    <t>Размеры 80см-90см самый оптимальный вариант</t>
  </si>
  <si>
    <t>Антон Мосов</t>
  </si>
  <si>
    <t>22.07.2021 05:40</t>
  </si>
  <si>
    <t>Телевизор Hisense 43AE7400F 43"</t>
  </si>
  <si>
    <t>Достоинства: После доставки курьером проверил на работоспособность,подключив кабель интернета. Включил Ютюб и 4К ролик. Все достойно восхищения! Картинка, звук уже из коробки полностью  устраивает  меня! Жаль, но размер моей угловой тумбы под ТВ не достаточен для этого телевизора. Заказал стойку под его. Придёт,тогда и протестирую окончательно.
Итак -резюмирую! Телевизором доволен на 5 м минусом! Если бы не вонь его пластика, то вообще с плюсом бы было! А так, исправно работает! Картинка отличная! Из приложений пользуюсь только Ютубом. Остальной софт не востребован, ибо подкьючен "триколор" и ТВ бокс. Второй месяц пошёл как в работе. Запах почти прошёл!  Я доволен! Всем удачи!</t>
  </si>
  <si>
    <t>petruxa7761</t>
  </si>
  <si>
    <t>Если по простому, то при установке антенны 80см у клиента практически ни когда не пропадает сигнал ни в дождь ни в снег. Крайне редко если снег мокрый налипнет.</t>
  </si>
  <si>
    <t>Алексей Галинко</t>
  </si>
  <si>
    <t>Мурманская область</t>
  </si>
  <si>
    <t>Мончегорск</t>
  </si>
  <si>
    <t>19:39</t>
  </si>
  <si>
    <t>11.07.2021 19:40</t>
  </si>
  <si>
    <t>Кузнецов Николай Николаевич</t>
  </si>
  <si>
    <t>11.07.2021 18:55</t>
  </si>
  <si>
    <t>Добрый день. Сообщите пожалуйста кто знает телефон мастера, чтобы проверить антенну Триколор на предмет повреждений.</t>
  </si>
  <si>
    <t>Позвоните на горячую линию триколор, мне помогли не было сигнала или сделайте сброс приёмника на заводские настройки</t>
  </si>
  <si>
    <t>Татьяна Камкина</t>
  </si>
  <si>
    <t>Главная лавочка Ягодного | Ягодное</t>
  </si>
  <si>
    <t>12.07.2021 13:04</t>
  </si>
  <si>
    <t>Друзья! Кому не лень, ответьте на пару вопросов: смотрите ли вы TV и если смотрите, то какие передачи, телефильмы?</t>
  </si>
  <si>
    <t>После того как мне провели оптоволоконный интернет кабель, продал спутниковую тарелку триколор за ненадобностью . Теперь смотрю только фильмы или конкретные передачи, например квартирный вопрос.</t>
  </si>
  <si>
    <t>Sergey Novikov</t>
  </si>
  <si>
    <t>Татьяна Стаценко</t>
  </si>
  <si>
    <t>11.07.2021 18:44</t>
  </si>
  <si>
    <t>Продам триколор тарелку. Самостоятельный демонтаж Плюс старый ресивер без пульта , если нужен Триколор Продам триколор</t>
  </si>
  <si>
    <t>Модель приемника? Карта в наличии?</t>
  </si>
  <si>
    <t>Отец Батя</t>
  </si>
  <si>
    <t>Объявления Тайшет</t>
  </si>
  <si>
    <t>Тайшет</t>
  </si>
  <si>
    <t>Прямо пропорционально</t>
  </si>
  <si>
    <t>11.07.2021 18:28</t>
  </si>
  <si>
    <t>Если кабель старый, и проходит через монтажную пену, значит в месте прохода провод сгнил</t>
  </si>
  <si>
    <t>Сергей Руденко</t>
  </si>
  <si>
    <t>Триколор, может GB S-211 подойдет ?</t>
  </si>
  <si>
    <t>Вера Сёмина</t>
  </si>
  <si>
    <t>Триколор, там представлены в вашем магазине новые модели пульта к новым современным приемникам , а нам нужен для старой модели .</t>
  </si>
  <si>
    <t>Триколор, Я про каналы Евроспорт1 и Евроспорт2,а не про фильмы и сериалы написал.</t>
  </si>
  <si>
    <t>Алексей Широков</t>
  </si>
  <si>
    <t>Балезино</t>
  </si>
  <si>
    <t>13.07.2021 03:01</t>
  </si>
  <si>
    <t>Как РОСТЕЛЕКОМ обманывает клиентов  ОТЗЫВЫ</t>
  </si>
  <si>
    <t>лучшее заключать договор чисто на голый тариф то есть тариф интернета такая-то скорость такая-то плата в месяц а всё остальное вай-фай тв которое лучше купить отдельно оборудование у того же Триколора а у интернет провайдера будет только одна услуга которую вам будут оказывать то есть доступ в сеть интернет за определённую твёрдую оплату за каждый месяц на определённой скорости.</t>
  </si>
  <si>
    <t>Михаил Камынин</t>
  </si>
  <si>
    <t>Игорь Колпаков</t>
  </si>
  <si>
    <t>11.07.2021 18:42</t>
  </si>
  <si>
    <t>А что в америке до 2018 спутникового интернета не было , они чего там вообще дикие , у меня спутниковый интернет от триколор уже лет пять на даче отлично работает , какие в дупло 99 доларов , за 2000 рублей всё удовольствие . Я на селигере видел МТС овскую тарелку в кемпере на базе газели , так хозяин ещё вай-фай раздавал</t>
  </si>
  <si>
    <t>Boris Zoeberg</t>
  </si>
  <si>
    <t>Площадь поверхности захвата Сигнала</t>
  </si>
  <si>
    <t>11.07.2021 16:39</t>
  </si>
  <si>
    <t>Добрый день! Кто может подключить спутниковое телевидение Триколор, в Дунае? Есть Контакты?</t>
  </si>
  <si>
    <t>Я сам делал
Посмотрите как у соседей тарелка направлена.
Потом точно докрутить по месту, там шкала есть при настройке</t>
  </si>
  <si>
    <t>Юрий Маринин</t>
  </si>
  <si>
    <t>Дунай Сады онлайн</t>
  </si>
  <si>
    <t>16:37</t>
  </si>
  <si>
    <t>11.07.2021 16:37</t>
  </si>
  <si>
    <t>Новая форма наших парней! До начала матча осталось всего лишь 1,5 часа. Липчане уже на стадионе!</t>
  </si>
  <si>
    <t>Ну или на триколор ТВ, канал футбольный!</t>
  </si>
  <si>
    <t>Николай Неплюев</t>
  </si>
  <si>
    <t>ФК Металлург/Липецк</t>
  </si>
  <si>
    <t>Здравствуйте При включении ресивера появляется такая рамка. Каналов нет. Ресивер накрылся? Приёмник GS-8304.</t>
  </si>
  <si>
    <t>Скажите, пожалуйста, у меня такое безобразие, уже три недели не включаю ТВ, каналы показывают 0, сигнал идет</t>
  </si>
  <si>
    <t>Наиля Исламова</t>
  </si>
  <si>
    <t>13.07.2021 00:26</t>
  </si>
  <si>
    <t>Триколор ТВ ошибка boot</t>
  </si>
  <si>
    <t>Получилось! Спасибо! А то хотели вызывать мастера, менять приемники, карту....</t>
  </si>
  <si>
    <t>Светлана Екимова</t>
  </si>
  <si>
    <t>Mr11vlad11</t>
  </si>
  <si>
    <t>Влияет</t>
  </si>
  <si>
    <t>16:00</t>
  </si>
  <si>
    <t>11.07.2021 16:17</t>
  </si>
  <si>
    <t>Усиление сотовой связи в деревне, настройка спутниковой антенны Ямал | Владимир Цифровой | 58 серия</t>
  </si>
  <si>
    <t>Ребята привет! молодцы как всегда всё отлично,мне в свою очередь пришлось раньше тоже повозиться с этим спутником 90градус,а вот 75 и 80 проблем не было,потом перешол на 36 градус но не долго проработал этот триколор ТВ которых многих кинул ,сейчас всё тарелки поскидал нафиг ,был обвес из четырёх антен, теперь пригодилась только одна как раз от Ямала  для интернета тоже как в вашем видео установил на коньке дома ,только конечно лес переплюнуть мне не удалось ,но получить более менее результат мне удалось ,хоть и скорость не большая в районе 20мб/4мб,оператор Теле2 ,плачу 550р/месяц ⚒️.</t>
  </si>
  <si>
    <t>Валерий Шестернев</t>
  </si>
  <si>
    <t>Владимир Цифровой</t>
  </si>
  <si>
    <t>Чем больше и качество лучше!</t>
  </si>
  <si>
    <t>12.07.2021 13:58</t>
  </si>
  <si>
    <t>Ресивер Триколор ТВ перезагружается; Триколор ТВ перезапускается</t>
  </si>
  <si>
    <t>Первым шагом решения этой проблемы является проверка выходного напряжения внешнего блока питания.</t>
  </si>
  <si>
    <t>Дядя Фёдор</t>
  </si>
  <si>
    <t>Walter White</t>
  </si>
  <si>
    <t>Сергей Мокрушин</t>
  </si>
  <si>
    <t>14.07.2021 22:12</t>
  </si>
  <si>
    <t>Mobileplus Aудио-разветвитель AUX для 2 наушников Jack 3,5 mm Jack 3,5 мм, длина 0,250м (MJPD-11080).</t>
  </si>
  <si>
    <t>Нормальный такой разветвитель, все работает, контакты прочные. Мне надо было подсоединить к одной акустике два устройства - комп и ресивер триколор. Все работает. Есть, наверное, потери, но в случае с акустикой они почти не ощутимы. Можно брать!</t>
  </si>
  <si>
    <t>11.07.2021 15:06</t>
  </si>
  <si>
    <t>Уважаемые соседи, как у вас работает триколор? Мама жалуется, что на этой неделе, днем, постоянные помехи.</t>
  </si>
  <si>
    <t>Виктория, у нас именно днем, когда солнце. Сделали вывод, что как-то влияет, т.к. вечером все нормально. Но многие каналы вообще пропали.
Если у вас постоянно, то может деревья выросли и мешают? (Нас настройщик, когда антенну устанавливали предупреждал об этом)</t>
  </si>
  <si>
    <t>Ольга Бычаева</t>
  </si>
  <si>
    <t>Подслушано в Вырице</t>
  </si>
  <si>
    <t>11.07.2021 15:53</t>
  </si>
  <si>
    <t>Конор Макгрегор против Дастина Порье: видео боя на РЕН ТВ 11.07.21</t>
  </si>
  <si>
    <t>Конор Макгрегор против Дастина Порье: видео боя на РЕНТ ТВ 11.07.21
Стало известно, где можно посмотреть онлайн-трансляцию поединка Конора Макгрегора против Дастина Порье. Этот поединок будут транслировать на территории Российской Федерации.
Где и когда смотреть трансляцию боя Конора и Порье
Сражение ирландского спортсмена Конора Макгрегора против Дастина Порье наверняка соберет у экранов множество российских пользователей. Это совсем не удивляет, ведь Контор всегда мог устроить шоу и знает, что нужно, чтобы подогреть интерес зрителя к</t>
  </si>
  <si>
    <t>autosway.ru</t>
  </si>
  <si>
    <t>Путинцево</t>
  </si>
  <si>
    <t>11.07.2021 14:27</t>
  </si>
  <si>
    <t>Мне тоже хочется Eurosport 1 HD Eurosport 2HD. Вопрос назрел. Даже за отдельную плату.</t>
  </si>
  <si>
    <t>11.07.2021 14:12</t>
  </si>
  <si>
    <t>Уважаемые соседи( 52 км) ! Вопрос к тем у кого установлен ТРИКОЛОР. Напишите, как у вас обстоят дела с приемом каналов</t>
  </si>
  <si>
    <t>Наталья, наладили приём сигнала ?</t>
  </si>
  <si>
    <t>Алексей Сергеев</t>
  </si>
  <si>
    <t>52 км &amp; 55 км &amp; Посадников Остров &amp; Посадниково</t>
  </si>
  <si>
    <t>Триколор, Хорошие каналы и где они у вас?Только про 4к не говорите,меня бы устроило в простом формате,даже за отдельную плату,как матч футбол или матч-ремьер.</t>
  </si>
  <si>
    <t>11.07.2021 14:08</t>
  </si>
  <si>
    <t>Триколор, скажите пожалуйста почему все фильмы и сериалы платные на триколор ТВ интернет сделайте пожалуйста бесплатными фильмы-и-сериалы</t>
  </si>
  <si>
    <t>Павел Чепурных</t>
  </si>
  <si>
    <t>11.07.2021 13:30</t>
  </si>
  <si>
    <t>Здравствуйте! Тут есть мастера Триколор ТВ? Помогите подключить без приемника (CI+модуль) Село Чистое Поле(частный</t>
  </si>
  <si>
    <t>Добрый день, если телевизор имеет слот, модуль туда просто устанавливаете, подключает кабель от антенны и производите настройку согласно подсказкам мастера настройки.</t>
  </si>
  <si>
    <t>Сергей Трутнев</t>
  </si>
  <si>
    <t>Подслушано Линда</t>
  </si>
  <si>
    <t>Перевоз</t>
  </si>
  <si>
    <t>11.07.2021 13:41</t>
  </si>
  <si>
    <t>Очень удобно и все просто,спасибо что вы есть
v2.5.0</t>
  </si>
  <si>
    <t>Николай Воронков</t>
  </si>
  <si>
    <t>11.07.2021 13:14</t>
  </si>
  <si>
    <t>Почитал тут всякие комментарии и правильно пишут люди: стационарные спутники то должны еще и вокруг своей оси вращаться</t>
  </si>
  <si>
    <t>Андрей, даже так - рассеивается, а не отражается? Это ж какой силы должен быть передатчик? Зона покрытия - весь мир? И всё-таки, зачем направлять сигнал передатчика на экватор, чтобы он потом вернулся в Россию? Кроме того, зона покрытия телевидения Триколор ограничена. Как может рассеянный сигнал ловиться не везде?</t>
  </si>
  <si>
    <t>Анатолий Сивков</t>
  </si>
  <si>
    <t>Международное Общество Плоской Земли</t>
  </si>
  <si>
    <t>Чусовой</t>
  </si>
  <si>
    <t>11.07.2021 13:07</t>
  </si>
  <si>
    <t>Триколор, я просматриваю ваши каналы на мобильных устройствах за 1500 рублей не вводите людей в заблуждение.Нужно только скачать приложение и всего то</t>
  </si>
  <si>
    <t>Евгений Клюенков</t>
  </si>
  <si>
    <t>14.07.2021 12:54</t>
  </si>
  <si>
    <t>HUAYU Пульт Триколор GS- B212 (GS-B211)  для спутниковых ресиверов, приставок General Satellite</t>
  </si>
  <si>
    <t>Пульт хороший, все работает к покупке рекомендую.</t>
  </si>
  <si>
    <t>HUAYU Пульт  Триколор GS- B212 (GS-B211)   для спутниковых ресиверов, приставок  General Satellite</t>
  </si>
  <si>
    <t>11.07.2021 12:48</t>
  </si>
  <si>
    <t>Здравствуйте стоит он новый приёмник</t>
  </si>
  <si>
    <t>Триколор, наш спорт 10 и наш спорт 11 добавить и все матчи можно будет смотреть</t>
  </si>
  <si>
    <t>На 527 и 528 пульт плохо реагирует а 5210 летает</t>
  </si>
  <si>
    <t>Проблем нет</t>
  </si>
  <si>
    <t>5210хороший</t>
  </si>
  <si>
    <t>Если згорел приёмник тоже можно обменять</t>
  </si>
  <si>
    <t>Сергей Тулебаев</t>
  </si>
  <si>
    <t>Достоинства: Удобный,легкий
Пока еще не опробован</t>
  </si>
  <si>
    <t>Павел К.</t>
  </si>
  <si>
    <t>11.07.2021 12:21</t>
  </si>
  <si>
    <t>По сообщению правительства Сахалинской области, в четвертом квартале 2023 года на Курилах, на островах Кунашир и Итуруп,</t>
  </si>
  <si>
    <t>Комментарий к комментарию про про правильную информацию через спутниковые каналы.
Я так понимаю до сих пор в Японии нет полноценного иностранного ТВ вещания на русском языке, ориентированного именно на русского зрителя. Только в общем на английском для всего мира (можно посмотреть по спутнику, по тому же триколору).
Максимум только радиопередачи на русском языке от NHK WORLD Japan.
Как по мне, слабовато для какого-то воздействия.
Но может здесь есть проживающие на ДВ или те кто более в теме. Смогут рассказать есть ли "мозгополоскание" на радиоволнах для спорных и не очень территорий.</t>
  </si>
  <si>
    <t>Алексей Цесарский</t>
  </si>
  <si>
    <t>CatNews</t>
  </si>
  <si>
    <t>11.07.2021 12:29</t>
  </si>
  <si>
    <t>Тверь: с 10 июля не работает первая двадцатка каналов</t>
  </si>
  <si>
    <t>Светлана Кузнецова</t>
  </si>
  <si>
    <t>11.07.2021 12:11</t>
  </si>
  <si>
    <t>• Цифровой спутниковый приемник GS U510S и антенна - 1500р • Оригинальная кнопка на руль Kia Rio IV - 500р • Затирка</t>
  </si>
  <si>
    <t>Вячеслав, в офисе триколор, карта бесплатная, оплата по тарифам за год</t>
  </si>
  <si>
    <t>Саша Привалов</t>
  </si>
  <si>
    <t>Барахолка Ижевск Где Гай Стоят (ИГГС)</t>
  </si>
  <si>
    <t>11.07.2021 11:53</t>
  </si>
  <si>
    <t>Вячеслав, рабочий, от карты триколор. С иными способами его работы не разбирался</t>
  </si>
  <si>
    <t>11.07.2021 11:43</t>
  </si>
  <si>
    <t>Триколор, и многие ставят триколор не ради большего а ради 20 каналов. Потому что другое телевидение не ловит . И нафиг не надо платить 2500 за пару каналов которые они смотрят. И отказываются от триколор тв.</t>
  </si>
  <si>
    <t>Михаил Иванов</t>
  </si>
  <si>
    <t>11.07.2021 11:50</t>
  </si>
  <si>
    <t>Ети ресиверы пару лет поработают и ломаюстся кам модули.они ненадолго. лучше я уже перешол на него мне нравится удобно.</t>
  </si>
  <si>
    <t>А при обмене приемника на 4к новый 4к телевизор в подарок от вашей компании будет?</t>
  </si>
  <si>
    <t>11.07.2021 11:30</t>
  </si>
  <si>
    <t>Триколор,это не условия а постепеный скрытый  перевод всех абонентов на годовую оплату 2500 вместо 1500</t>
  </si>
  <si>
    <t>11.07.2021 11:25</t>
  </si>
  <si>
    <t>Триколор, ну и на фиг такое платное телевидение надо , мало того смотреть особо нечего , фильмы в основном одни и те же крутите , так еще и ограничения</t>
  </si>
  <si>
    <t>И годовой оплатой 2500 вместо 1500</t>
  </si>
  <si>
    <t>11.07.2021 11:57</t>
  </si>
  <si>
    <t>https://scontent-hel3-1.xx.fbcdn.net/v/t1.6435-9/p960x960/213732184_4075317859189120_9013658478256962192_n.png?_nc_cat=103&amp;ccb=1-3&amp;_nc_sid=730e14&amp;_nc_ohc=f55yVZRm2C8AX_WXWDR&amp;_nc_ad=z-m&amp;_nc_cid=0&amp;_nc_ht=scontent-hel3-1.xx&amp;_nc_rmd=160&amp;oh=1e4626a413f0477f3665c51c1e7cf6b4&amp;oe=60EFF898</t>
  </si>
  <si>
    <t>11.07.2021 11:15</t>
  </si>
  <si>
    <t>Добрый вечер. Подскажите, пожалуйста, какую антенну лучше купить:нтв плюс или триколор?</t>
  </si>
  <si>
    <t>Shuga Shuga</t>
  </si>
  <si>
    <t>Поселок Мга</t>
  </si>
  <si>
    <t>11.07.2021 17:54</t>
  </si>
  <si>
    <t>И что? Репитеры только операторы имеют право ставить</t>
  </si>
  <si>
    <t>Возможно имеют,но они ничего не сделают сертифицирлванному оборудованию,к примеру Триколор свои репитеры впаривает по тв и что,я его куплю,ко мне придут и скажут снимай? Да хер там.</t>
  </si>
  <si>
    <t>Недостатки: Не работает с моим устройством Ростелеком/gpon на 12V 1A, хотя в описании блока питания заявлено, что должен. 
Можно купить и с большим количеством ампер, чем необходимо устройству - вероятно не со всеми устройствами будет работать. Не работает с моим устройством Ростелеком/gpon на 12V 1A, хотя в описании блока питания заявлено, что должен. Предполагаю, что в устройстве может быть встроенная защита не только от напряжения.</t>
  </si>
  <si>
    <t>11.07.2021 11:09</t>
  </si>
  <si>
    <t>Вы прикалыеваетесь что ли ?</t>
  </si>
  <si>
    <t>11.07.2021 20:09</t>
  </si>
  <si>
    <t>Hisense U7QF Series [Vidaa U]</t>
  </si>
  <si>
    <t>KPP @ 10.07.21, 20:07  /forum/index.php?act=findpost&amp;pid=107912360 У меня 2 Hisense A6140 и U7QF с 4К модулями триколора
а можете потрогать антенный коннектор(F разъем), который подключается к телеку? у меня он ощутимо теплый, градусов 35 на ощупь.
другие люди говорят, что 100% дело не в модуле. просто нет возможности взять на пробу другой модуль, а покупать и потом засолить его тоже не хочется</t>
  </si>
  <si>
    <t>dr.zorg82</t>
  </si>
  <si>
    <t>Отличная модель, как и 621 L</t>
  </si>
  <si>
    <t>У меня 528 модель,работает хорошо,проблем небыло</t>
  </si>
  <si>
    <t>10:49</t>
  </si>
  <si>
    <t>11.07.2021 10:49</t>
  </si>
  <si>
    <t>Андрей, сигнал Триколор приходит с экваториальной области купола. Где находится передатчик? Получается, где-то в районе антарктической стены?</t>
  </si>
  <si>
    <t>Проработал два дня и перестал , стали пропадать каналы</t>
  </si>
  <si>
    <t>Добрый день. Очень жаль, что у Вас возникли трудности с нашим товаром. Если у Вас приём эфирных цифровых каналов осуществляется на персональную эфирную антенну, то измените её направление так, чтобы добиться уровня сигнала 100%. После произведите сброс приемника до заводских настроек и согласно руководству пользователя осуществите настройку приемника в ручном режиме (согласно рекомендациям оператора цифрового телевидения в Вашем регионе). Если антенна отсутствует, то возможно, как раз таки она нужна, чтобы усилить сигнал. Убедитесь, что в</t>
  </si>
  <si>
    <t>Достоинства: Хороший конвертер.</t>
  </si>
  <si>
    <t>Наталья Д.</t>
  </si>
  <si>
    <t>11.07.2021 10:16</t>
  </si>
  <si>
    <t>Дорогая абонентская плата и скорость очень низкая. Такое ставят где вообще никаких вариантов нет и мобильной связи тоже нет.</t>
  </si>
  <si>
    <t>11.07.2021 10:01</t>
  </si>
  <si>
    <t>Состав подобран толково. Играть эта команда будет. Главным её аттракционом готов стать Ташаев. Гол с углового Маляров —</t>
  </si>
  <si>
    <t>По поводу трансляции, может кто не знает все матчи ФНЛ также транслирует телеканал Футбольный HD  который вроде входит в Триколор. Я например просто в спортивном пакете случайно нашел;) (у меня вроде и не Триколор;)</t>
  </si>
  <si>
    <t>Фрам Седов</t>
  </si>
  <si>
    <t>А я люблю команду «Ротор»</t>
  </si>
  <si>
    <t>11.07.2021 10:47</t>
  </si>
  <si>
    <t>Всё работает.
v2.5.0</t>
  </si>
  <si>
    <t>Эдуард Лысенко</t>
  </si>
  <si>
    <t>Достоинства: Хорошо упакован. Приемлемая цена
Недостатки: Не обнаружил 
Установил, все работает хороший конвертер.</t>
  </si>
  <si>
    <t>Сергей Г.</t>
  </si>
  <si>
    <t>11.07.2021 09:26</t>
  </si>
  <si>
    <t>Сергей, 621 лучше?</t>
  </si>
  <si>
    <t>Миша Калинин</t>
  </si>
  <si>
    <t>11.07.2021 09:14</t>
  </si>
  <si>
    <t>Смотрите полуфинал Уимблдонского турнира в Триколоре уже сегодня   Первый матч стартует в 15:30, грядёт долгое</t>
  </si>
  <si>
    <t>Триколор, Опять включил просмотр фильмов через интернет.Тревожный сигнал для вас!</t>
  </si>
  <si>
    <t>11.07.2021 09:11</t>
  </si>
  <si>
    <t>Триколор, Как с заявкой на канал "Дискотека ТВ"?Пол года прошло.</t>
  </si>
  <si>
    <t>К примеру, возьмём канал "Остросюжетного кино" и "Шокирующее". В повторах целыми годами "Штурм Белого дома" и "Анаконда".Задолбали уже всех "Изгоняющий дьявола" и на НСТ и на "Шокирующем".ХВАТИТ КРУТИТЬ "СВАТЫ"!</t>
  </si>
  <si>
    <t>11.07.2021 10:46</t>
  </si>
  <si>
    <t>ну да так то дешевле чем у Триколор ТВ во много раз сейчас про цены не знаю но помню что было 30 тысяч рублей за 30 гб интернета в 2018 году вроде бы</t>
  </si>
  <si>
    <t>Kildjek Lacraft</t>
  </si>
  <si>
    <t>08:55</t>
  </si>
  <si>
    <t>11.07.2021 08:55</t>
  </si>
  <si>
    <t>К 2030 году интернет будет работать по всей России. Вышки в посёлках построят операторы за свой счёт Россия собирается</t>
  </si>
  <si>
    <t>Александр, у маска интернет без ограничений. Никакой триколор этого дать не сможет</t>
  </si>
  <si>
    <t>Никита Краснов</t>
  </si>
  <si>
    <t>ITc | сообщество программистов</t>
  </si>
  <si>
    <t>11.07.2021 08:45</t>
  </si>
  <si>
    <t>Экс-чемпион UFC в легком весе Хабиб Нурмагомедов поздравил Дастина Порье с победой над Конором Макгрегором на UFC 264</t>
  </si>
  <si>
    <t>Бибип смотрел бой через ,,Триколор ТВ"?</t>
  </si>
  <si>
    <t>Марина-Гавриловна Штольц</t>
  </si>
  <si>
    <t>Новости Mail.ru</t>
  </si>
  <si>
    <t>14.07.2021 21:54</t>
  </si>
  <si>
    <t>4ПХ Кабель 0,5м HDMI 2.0 белый</t>
  </si>
  <si>
    <t>Как раз 50 см мне и нужно для приставки триколор, цена конечно же удивила, почти даром.</t>
  </si>
  <si>
    <t>11.07.2021 13:24</t>
  </si>
  <si>
    <t>лаМагра писал(а):а сколько там каналов?
20 каналов, и платить не надо.</t>
  </si>
  <si>
    <t>Cosmos</t>
  </si>
  <si>
    <t>11.07.2021 07:38</t>
  </si>
  <si>
    <t>Триколор, Из повторов.</t>
  </si>
  <si>
    <t>07:13</t>
  </si>
  <si>
    <t>11.07.2021 07:17</t>
  </si>
  <si>
    <t>У меня B 527 ресиверу год с горела передняя панель дисплея а так всё работает  нормально</t>
  </si>
  <si>
    <t>06:46</t>
  </si>
  <si>
    <t>11.07.2021 06:46</t>
  </si>
  <si>
    <t>Обзор цен на оборудование разных операторов спутникового ТВ. МТС вне конкуренции! https://internet-chastnyi-dom</t>
  </si>
  <si>
    <t>Вячеслав, насколько понимаю, ни один оператор не будет вам перенастраивать антенну бесплатно. Некачественная работа установщика - ваша проблема. У меня именно с МТС вообще установщик кинул, сказал, что да, старая антенна от Триколор на 0,55 потянет МТС. Разумеется, картинка начинала сыпаться чуть ли не при сильной облачности. И никакая настройка помочь не могла, в районе Новосибирска антенна 0,6 минимум для МТС. К счастью, сотрудники МТС четко объяснили, что ничего исправлять они не будут, поскольку не обязаны, а настроить и поменять антенну будет быстрее самостоятельно пригласив любого специалиста, который сотрудничает с их компанией :) К слову, у НТВ плюс и Триколор такая же политика.</t>
  </si>
  <si>
    <t>11.07.2021 12:46</t>
  </si>
  <si>
    <t>Погуглила. Смотрите. Результаты партии "Яблоко" на выборах в ГД. 2007 год - 1 108 985 голосов (1,59 %)   2011 год -</t>
  </si>
  <si>
    <t>Елена Захарова Потерял Ваш вопрос про факты: Я был постоянным слушателем радио "Эхо Москвы" с примерно 1995 года до 2015, когда закрыли "Эхо Москвы в Туле" и на "правой поляризации" в спутнике "Триколор". И был зрителем "Дождя" с момента создания до прекращения трансляции на спутнике "Триколор"
Я свидетель, как по лекалам большого зомбоящика, промывающего мозги за Путина, на этих станциях зомбировали аудиторию за Навального.
В частности в 2013 году малый змбоящик полгода активно с июня по декабрь промывал аудитрии мозги и лепил из Алексея</t>
  </si>
  <si>
    <t>Elena  Zaharova</t>
  </si>
  <si>
    <t>11.07.2021 05:58</t>
  </si>
  <si>
    <t>Триколор, неправда! Одни и те же фильмы из года в год.</t>
  </si>
  <si>
    <t>Дорога Перемен</t>
  </si>
  <si>
    <t>05:31</t>
  </si>
  <si>
    <t>11.07.2021 15:44</t>
  </si>
  <si>
    <t>ТРИКОЛОР DS-4G-Kit, ХВАТИТ ЛУКАВИТЬ!!! Усилитель сигнала мобильного интернета!! ЭТО ВОЗМОЖНО?</t>
  </si>
  <si>
    <t>в WiFi роуторе нет модема, модем в внешнем блоке:/</t>
  </si>
  <si>
    <t>Алексей Калинин</t>
  </si>
  <si>
    <t>11.07.2021 05:08</t>
  </si>
  <si>
    <t>"Триколор" повышает с 19-го июля стоимость просмотра "Детского" пакета до 1500 рублей за год (было 1200).</t>
  </si>
  <si>
    <t>Любовь, стоимость месячной подписки составит 250 рублей вместо прежних 200 рублей</t>
  </si>
  <si>
    <t>Александр Верховых</t>
  </si>
  <si>
    <t>Курагино Спутник Телевидение Спутниковое Эфирное</t>
  </si>
  <si>
    <t>04:44</t>
  </si>
  <si>
    <t>11.07.2021 05:14</t>
  </si>
  <si>
    <t>А сколько теперь будет стоить месяц просмотра детских каналов?</t>
  </si>
  <si>
    <t>Любовь Малюченко</t>
  </si>
  <si>
    <t>Черемшанка</t>
  </si>
  <si>
    <t>21.07.2021 00:31</t>
  </si>
  <si>
    <t>Достоинства: Хороший пульт ,все кнопки работают
Недостатки: Нет
Покупайте ,непожалееле</t>
  </si>
  <si>
    <t>елена ч.</t>
  </si>
  <si>
    <t>02:09</t>
  </si>
  <si>
    <t>11.07.2021 02:59</t>
  </si>
  <si>
    <t>Все отлично
v2.5.0</t>
  </si>
  <si>
    <t>Степан Багдасарян</t>
  </si>
  <si>
    <t>11.07.2021 00:31</t>
  </si>
  <si>
    <t>Опять не работает интернет от Ростелекома! Прошлым летом ждали исполнения заявки ДВА МЕСЯЦА! Причем, могут позвонить</t>
  </si>
  <si>
    <t>Лучше триколор раз в год 1800р чем ваша эта фигня!!!</t>
  </si>
  <si>
    <t>Ольга Шицова</t>
  </si>
  <si>
    <t>Подслушано Кулебаки</t>
  </si>
  <si>
    <t>Тайга</t>
  </si>
  <si>
    <t>10.07.2021</t>
  </si>
  <si>
    <t>10.07.2021 23:56</t>
  </si>
  <si>
    <t>Сергей, 621L</t>
  </si>
  <si>
    <t>23:45</t>
  </si>
  <si>
    <t>11.07.2021 13:46</t>
  </si>
  <si>
    <t>Конкурс на самого безрукого мужыка в деревне я сегодня выиграл. Установил антенну так, что сигнал спутника до неё не доходит никак. 
С горя нашёл в лыжном телевизоре приложение "Триколор" и теперь смотрю "Sleepless in Seattle"</t>
  </si>
  <si>
    <t>Валѣрій Васильѣвъ</t>
  </si>
  <si>
    <t>11.07.2021 03:44</t>
  </si>
  <si>
    <t>У меня билайн тв в тариф входит и на телек установил</t>
  </si>
  <si>
    <t>А я триколор смотрю. У родителей тарелка. Подписка до 5 устройств</t>
  </si>
  <si>
    <t>Николай</t>
  </si>
  <si>
    <t>Соседи 14 корпуса (Безымянная, 4)</t>
  </si>
  <si>
    <t>10.07.2021 23:33</t>
  </si>
  <si>
    <t>Ильшат, у триколора сейчас куда ниже цены, раз уж думаем, что Маск решил что-то новое внести)</t>
  </si>
  <si>
    <t>Александр Онучин</t>
  </si>
  <si>
    <t>10.07.2021 23:32</t>
  </si>
  <si>
    <t>Как подключиться к спутниковому интернету Илона Маска Starlink в России  Не так давно принадлежащая Илону Маску</t>
  </si>
  <si>
    <t>Не понимаю в чем проблема триколор поставить? Который в 7 раз дешевле?</t>
  </si>
  <si>
    <t>Алексей Бондарцев</t>
  </si>
  <si>
    <t>Apple blog</t>
  </si>
  <si>
    <t>23:31</t>
  </si>
  <si>
    <t>10.07.2021 23:31</t>
  </si>
  <si>
    <t>Виктор, в своё время триколор запускал спутниковый интернет. Там ежемесячная стоимость была значительно меньше, но из-за малого спроса проект закрыли. Макс же решил сразу на весь мир замахнуться</t>
  </si>
  <si>
    <t>10.07.2021 23:18</t>
  </si>
  <si>
    <t>10.07.2021 23:17</t>
  </si>
  <si>
    <t>У меня такая ситуация получилась год назад. Поспешила и оплату провела не на том сайте. Звонила, писала на эл.почту. На звонки и письма тоже перестали отвечать. В итоге, написала на сайт официального диллера. Помогли, вернули деньги.</t>
  </si>
  <si>
    <t>Елена Колеватова</t>
  </si>
  <si>
    <t>10.07.2021 22:59</t>
  </si>
  <si>
    <t>Эта рамка означает, что ресивер в заводских установках, нужно его просто настроить, следуя подсказкам на экране.</t>
  </si>
  <si>
    <t>Достоинства: сразу подключился, работает без проблем</t>
  </si>
  <si>
    <t>Юлия С.</t>
  </si>
  <si>
    <t>10.07.2021 22:47</t>
  </si>
  <si>
    <t>Класс
v2.4.0</t>
  </si>
  <si>
    <t>Ольга Семикозова</t>
  </si>
  <si>
    <t>22:28</t>
  </si>
  <si>
    <t>Достоинства: Рабочий CI+ модуль. 
Недостатки: Не обнаружено
Оператор Триколор ТВ (Еаропа). Продавец активировал карту доступа через несколько часов после отправки ему заполненного договора. 
Проверьте правильное время на телевизоре, иначе сервер Триколора будет вечно проверять актуальность их модуля и карты.
Карта доступа из комплекта тоже была просроченная (хоть и на 2 дня), но всё заработало, как и обещали.
30 дней бесплатно, потом нужно заплатить 1500р/год.</t>
  </si>
  <si>
    <t>10.07.2021 22:58</t>
  </si>
  <si>
    <t>Капец, в пакете триколора нет тв культура. докатились)</t>
  </si>
  <si>
    <t>Lenar</t>
  </si>
  <si>
    <t>10.07.2021 21:38</t>
  </si>
  <si>
    <t>#Интересные_факты
В Триколор ТВ есть 2 канала из пакета "Настрой Кино", но нету канала КИНОУЖАС, который должен транслироваться в базовом пакете. 
P.S. Отношения с Ред Медиа у них давно уже натянуты.</t>
  </si>
  <si>
    <t>10.07.2021 21:25</t>
  </si>
  <si>
    <t>Когда появиться радио раздел</t>
  </si>
  <si>
    <t>12.07.2021 01:31</t>
  </si>
  <si>
    <t>Достоинства: Нет
Недостатки: Заказала 2 штуки, но оба оказались неработающими. Подключала к ресиверам Триколор. Может быть именно к ним не подошли. 
Но хотелось бы отметить, что возврат был оформлен без проблем и деньги за покупку вернули очень быстро (буквально через несколько часов).</t>
  </si>
  <si>
    <t>Наталья Т.</t>
  </si>
  <si>
    <t>11.07.2021 06:26</t>
  </si>
  <si>
    <t>World Vision Foros Ultra / Foros Combo T2/S2[Другая]</t>
  </si>
  <si>
    <t>slawa_kh @ 10.07.21, 14:52  /forum/index.php?act=findpost&amp;pid=107907350 Крутил на 55, на 70, 75.
 Может чего упустил?
Да упустили  и поэтому не чего не найдёте ,.....и не только сегодня ,.....пока не замените конвертер ( круговой Триколор, НТВ + на 36* и 56*) а остальные спутники конвертер надо линейный ,.......меняйте конвертер и лучше антенну побольше диаметра.P.S  конвертер можно переделать на линейный ,.........но это уже другая история
Сообщение отредактировал mais56 //4pda.to/forum/index.php?showuser=6315985  - Вчера, 20:56</t>
  </si>
  <si>
    <t>mais56</t>
  </si>
  <si>
    <t>10.07.2021 20:47</t>
  </si>
  <si>
    <t>Приветствую всех! У меня такой вопрос к плоскоземельщикам. Дело в том, что на одном из стримов с участием Юры Тимовского</t>
  </si>
  <si>
    <t>У меня триколор. Лестницей чуть задел тарелку, и фсьо, пипец, картинка пропала. Пришлось вызывать мастеров.</t>
  </si>
  <si>
    <t>Вася Петров</t>
  </si>
  <si>
    <t>TM STUDIO - Сообщество Проснувшихся.</t>
  </si>
  <si>
    <t>10.07.2021 20:45</t>
  </si>
  <si>
    <t>v2.5.0</t>
  </si>
  <si>
    <t>ИЛЬЯ Баранов</t>
  </si>
  <si>
    <t>20:12</t>
  </si>
  <si>
    <t>10.07.2021 20:12</t>
  </si>
  <si>
    <t>10.07.2021 20:10</t>
  </si>
  <si>
    <t>очень просим мои фильмы пришлите пожалуйста только все части</t>
  </si>
  <si>
    <t>10.07.2021 21:07</t>
  </si>
  <si>
    <t>Ставил несколько раз спутниковый интернет от триколора... это был такой адский гемор... Скорость никакая, тарифы жутко дорогие, скорость явно меньше заявленной. пинг за 600 доходит. В Росси в принципе есть операторы с безлимитным интернетом для модема/роутера по адекватной цене, если плохо ловит 4G, то его без проблем можно усилить внешней антенной.</t>
  </si>
  <si>
    <t>Петр Кузнецов</t>
  </si>
  <si>
    <t>10.07.2021 19:54</t>
  </si>
  <si>
    <t>Обнови прошивку</t>
  </si>
  <si>
    <t>Андрей Меледин</t>
  </si>
  <si>
    <t>Нюксеница</t>
  </si>
  <si>
    <t>10.07.2021 19:38</t>
  </si>
  <si>
    <t>Прямая трансляция матча #ВелесЕнисей https://yandex.ru/efir?stream_channel=1538489371&amp;f=1 https://kino.tricolor</t>
  </si>
  <si>
    <t>Алексей, Триколор интернет.</t>
  </si>
  <si>
    <t>Дмитрий Жолобов</t>
  </si>
  <si>
    <t>ФК «Енисей» | Красноярск</t>
  </si>
  <si>
    <t>Достоинства: Работает хорошо</t>
  </si>
  <si>
    <t>10.07.2021 19:00</t>
  </si>
  <si>
    <t>Прямой эфир Конор Макгрегор - Дастин Порье 3 / Где, как и во сколько смотреть трансляцию UFC 264</t>
  </si>
  <si>
    <t>Скачай в плей маркете триколор тв там Рен ты</t>
  </si>
  <si>
    <t>Иоган Шмидт</t>
  </si>
  <si>
    <t>TRUE GYM MMA</t>
  </si>
  <si>
    <t>10.07.2021 21:33</t>
  </si>
  <si>
    <t>Ребята есть у кого штекер для ресивера триколор ?Дайте плиз проверить ресивер</t>
  </si>
  <si>
    <t>Aleks BlackMod</t>
  </si>
  <si>
    <t>Краснополянский чат</t>
  </si>
  <si>
    <t>10.07.2021 22:15</t>
  </si>
  <si>
    <t>Жители Красной Поляны</t>
  </si>
  <si>
    <t>10.07.2021 18:45</t>
  </si>
  <si>
    <t>Вот такой дизайн нам сделал мастер Триколор, ива мешала прохождению сигнала. Надеюсь,  к следующему году зарастёт</t>
  </si>
  <si>
    <t>Людмила Ефремова</t>
  </si>
  <si>
    <t>Черкасово</t>
  </si>
  <si>
    <t>plant,shrub,shrubland,grass,natural environment</t>
  </si>
  <si>
    <t>plantation,garden,field,meadow,landscape,botanical garden,nature</t>
  </si>
  <si>
    <t>Огромного спасибо, за пульт. Работает как часики. Ничуть не хлюпенький, как кто то  в отзыве написал. Буду 
Брать сама (тк детки его таскают) и советую всем, БЕРИТЕ НЕ ПОЖАЛЕЕТЕ..</t>
  </si>
  <si>
    <t>Яна</t>
  </si>
  <si>
    <t>10.07.2021 18:54</t>
  </si>
  <si>
    <t>Присутствуют тут владельцы gs623l? Уж очень сильно греется приёмник, даже в режиме ожидания. Под ним можно и яичницу</t>
  </si>
  <si>
    <t>У меняGS B621L тоже греется говорят так должно вопрос сколько так протянет</t>
  </si>
  <si>
    <t>Александр Морозов</t>
  </si>
  <si>
    <t>10.07.2021 18:33</t>
  </si>
  <si>
    <t>Болельщики калининградской «Балтики» могут посмотреть игру против «Факела» на спутниковом телеканале «Футбольный» и в</t>
  </si>
  <si>
    <t>Федор, у меня в гараже 1080 стояло как вкопанное на яндексе, на триколор 1080 смотрю там же без проблем, через приложение их</t>
  </si>
  <si>
    <t>Юрий Федорович</t>
  </si>
  <si>
    <t>ФК «Балтика» Калининградская область</t>
  </si>
  <si>
    <t>10.07.2021 18:28</t>
  </si>
  <si>
    <t>Димка, триколор тв наш спорт 6,отличная трансляция в отличии от яндекса, можно даже на телефон приложение скачать, я с телефона смотрю, без глюков совершенно</t>
  </si>
  <si>
    <t>10.07.2021 19:11</t>
  </si>
  <si>
    <t>Парни, где Фнл показывают у нас?</t>
  </si>
  <si>
    <t>Приложение Триколор Кино и ТВ</t>
  </si>
  <si>
    <t>alexD_nax</t>
  </si>
  <si>
    <t>пляжный чат FCDIN</t>
  </si>
  <si>
    <t>Достоинства: Подошел
Недостатки: Нет
Покупайте дешевле нет</t>
  </si>
  <si>
    <t>михаил я.</t>
  </si>
  <si>
    <t>10.07.2021 17:36</t>
  </si>
  <si>
    <t>Сегодня и завтра в 21:00 смотри новый выпуск «Всероссийской лиги юмора» из Екатеринбурга в онлайн-проекте «Большой эфир» по ссылке https://bit.ly/3k4RQXW. А с понедельника — в бесплатном приложении «Триколор Кино и ТВ» и веб-версии онлайн-сервиса: http://kino.tricolor.tv</t>
  </si>
  <si>
    <t>10.07.2021 17:32</t>
  </si>
  <si>
    <t>прикупите охладитель, или вентиляторы, не советую делать дырки в корпусе так как гарантия сгорает, если честно то советую его поменять на другую модель, на gs b523l</t>
  </si>
  <si>
    <t>10.07.2021 18:58</t>
  </si>
  <si>
    <t>Вытрем сопли и слёзы восхищения. Идея настолько не нова, отличие лишь в глобальном покрытии. Лишь масштаб. У нас что, спутникового интернета нет в РФ? Да полно провайдеров. Тот же триколор. Да скорость, да весь земной шар. 7,5 тыс в месяц??? А нахера он мне такой нужен. И комплект почти за сорокет! А, скорость... Вокруг прям все ценители скорости и мегаторопыги :-) Большинству эта скорость скачивания нафиг не нужна. А посмотрев на цену ответ становится очевиден. Провальный в плане коммерции на нашей планетке проект. Покупателей будет мало и глобальность останется лишь на бумаге.</t>
  </si>
  <si>
    <t>Иван Фетисов</t>
  </si>
  <si>
    <t>17:18</t>
  </si>
  <si>
    <t>10.07.2021 17:52</t>
  </si>
  <si>
    <t>Сможешь угадать, какие факты о «Всероссийской лиге юмора» правдивые? 
1. Победитель лиги юмора получит сладкую сумму с шестью нолями 
2. По традиции все юмористы перед выходом на сцену обязаны испить молока из кубка.
3. После выступления комики Андрей, Саша и Сергей остаются убирать пивные бокалы за гостями 
4. Новые выпуски легендарного юмористического шоу выходят каждые выходные эксклюзивно в Триколоре.
Догадался, какие из этих фактов соответствуют действительности? Тогда пиши цифры с верными вариантами 
 Уже сегодня и завтра в 21:00 смотри новый выпуск «Всероссийской лиги юмора» из Екатеринбурга в онлайн-проекте «Большой эфир» по ссылке https://ok.me/9cnj! А с понедельника — в бесплатном приложении «Триколор Кино и ТВ» и веб-версии онлайн-сервиса по ссылке kino.tricolor.tv</t>
  </si>
  <si>
    <t>10.07.2021 18:36</t>
  </si>
  <si>
    <t>Сможешь угадать, какие факты о «Всероссийской лиге юмора» правдивые? 
1. Победитель лиги юмора получит сладкую сумму с шестью нолями 
2. По традиции все юмористы перед выходом на сцену обязаны испить молока из кубка.
3. После выступления комики Андрей, Саша и Сергей остаются убирать пивные бокалы за гостями 
4. Новые выпуски легендарного юмористического шоу выходят каждые выходные эксклюзивно в Триколоре.
Догадался, какие из этих фактов соответствуют действительности? Тогда пиши цифры с верными вариантами 
 Уже сегодня и завтра в 21:00 смотри новый выпуск «Всероссийской лиги юмора» из Екатеринбурга в онлайн-проекте «Большой эфир» по ссылке https://clck.ru/W35EK! А с понедельника — в бесплатном приложении «Триколор Кино и ТВ» и веб-версии онлайн-сервиса по ссылке kino.tricolor.tv</t>
  </si>
  <si>
    <t>https://scontent.fiev6-1.fna.fbcdn.net/v/t1.6435-9/p960x960/213048802_4073284609392445_3349773970570661953_n.png?_nc_cat=107&amp;ccb=1-3&amp;_nc_sid=730e14&amp;_nc_ohc=dKeBEhesF2MAX9m8yhU&amp;_nc_ad=z-m&amp;_nc_cid=0&amp;_nc_ht=scontent.fiev6-1.fna&amp;oh=76e81e9838eca4a1d8c7d745c847f92e&amp;oe=60EE5F6F</t>
  </si>
  <si>
    <t>10.07.2021 17:14</t>
  </si>
  <si>
    <t>Александр, ну,если у тебя уши,как антена триколор, то никакой разницы нет</t>
  </si>
  <si>
    <t>Дарья Ли</t>
  </si>
  <si>
    <t>Oh</t>
  </si>
  <si>
    <t>10.07.2021 20:53</t>
  </si>
  <si>
    <t>Есть возможность добавить триколоровские каналы "наш спорт"?? Футбольный спортивный и хоккейный уже есть из триколора, хотелось бы ещё и этот пакет</t>
  </si>
  <si>
    <t>Андрей Пономаренко</t>
  </si>
  <si>
    <t>10.07.2021 17:12</t>
  </si>
  <si>
    <t>Здравствуйте При включении ресивера появляется такая рамка. Каналов нет. Ресивер накрылся?</t>
  </si>
  <si>
    <t>Новый приёмник  ресивер</t>
  </si>
  <si>
    <t>Angrei Malevanni</t>
  </si>
  <si>
    <t>10.07.2021 17:50</t>
  </si>
  <si>
    <t>Замечательное приложение. Всё понятно, легко выполняется. Есть возможность загрузить сразу несколько телевизоров.
v2.5.0</t>
  </si>
  <si>
    <t>Анатолий Журавлев</t>
  </si>
  <si>
    <t>11.07.2021 02:32</t>
  </si>
  <si>
    <t>Достоинства: Работает с моделью ресивера GS-8308B 2014г.</t>
  </si>
  <si>
    <t>Dio Z.</t>
  </si>
  <si>
    <t>10.07.2021 16:53</t>
  </si>
  <si>
    <t>Евгений, GS-8304</t>
  </si>
  <si>
    <t>Евгений Романов</t>
  </si>
  <si>
    <t>10.07.2021 16:54</t>
  </si>
  <si>
    <t>Андрей, блок питания уже заменил.</t>
  </si>
  <si>
    <t>10.07.2021 15:51</t>
  </si>
  <si>
    <t>Первый матч сезона стартует уже через 90 минут, а мы начинаем традиционную предматчевую перекличку: какие города и</t>
  </si>
  <si>
    <t>На триколор где трансляция кто знает?</t>
  </si>
  <si>
    <t>Контин Ент</t>
  </si>
  <si>
    <t>ФК «Алания» | FC Alania</t>
  </si>
  <si>
    <t>10.07.2021 15:36</t>
  </si>
  <si>
    <t>Присутствуют тут владельцы gs623l?
Уж очень сильно греется приёмник, даже в режиме ожидания. Под ним можно и яичницу пожарить.
Причём приёмник-клиент отсутствует.
Блок питания по температуре нормальный.
Есть у кого такие проблемы?</t>
  </si>
  <si>
    <t>Дмитрий Салищев</t>
  </si>
  <si>
    <t>10.07.2021 15:22</t>
  </si>
  <si>
    <t>UFC 264: Порье — Макгрегор 3. Конор пообещал убить Дастина в октагоне. LIVE!</t>
  </si>
  <si>
    <t>телеканале Матч ТВ, расположенный в сервисе Wink, который доступен на Ростелекоме, Триколоре и других платформах.
Основной кард турнира UFC 264 Порье — Макгрегор 3 на российском ТВ также покажет РЕН ТВ.
15:06
Игорь Брагин https://www.championat.com/authors/91/1.html
Полный кард турнира UFC 264
Основной кард
Дастин Порье — Конор Макгрегор
Гилберт Бёрнс — Стивен Томпсон
Тай Туйваса — Грег Харди
Ирен Алдана — Яна Куницкая
Шон О'Мэлли — Крис Мотинью
Предварительный кард
Карлос Кондит — Макс Гриффин
Микель Перейра — Нико Прайс
Райан Холл — Илия Топурия</t>
  </si>
  <si>
    <t>14:52</t>
  </si>
  <si>
    <t>10.07.2021 18:12</t>
  </si>
  <si>
    <t>Сегодня пытался настроить. Небо чистое, жара. Крутил на 55, на 70, 75. Нашел на сайте точные координаты спутников - приставка стабильно показывает 86% , качество 0 и ничего. Ни одного канала. Снял кабель с антенны (проверить) — сигнал упал до 30. Когда был повернут по старому, на триколор - ловил платные и штук десять рекламных бесплатных. Намаялся и без толку. Тарелка стандартная триколор. Думал может через приложение dvb finder - то же самое. Сигнал 86-84 прыгает, закономерности при повороте не заметил. В итоге день настроек не удался. Я понимаю, что возможно нужно больше тарелку. Но как то платить много денег при отсутствии результата с этой - не хочется. Может чего упустил?</t>
  </si>
  <si>
    <t>slawa_kh</t>
  </si>
  <si>
    <t>10.07.2021 15:24</t>
  </si>
  <si>
    <t>LITTLE BIG - SEX MACHINE (Official Music Video)</t>
  </si>
  <si>
    <t>Я этот клип видел на 712 канале (музыкальном) который есть только на триколор ТВ</t>
  </si>
  <si>
    <t>Егор Трубилов</t>
  </si>
  <si>
    <t>Little Big</t>
  </si>
  <si>
    <t>14:48</t>
  </si>
  <si>
    <t>21.07.2021 07:14</t>
  </si>
  <si>
    <t>ТВ ресивер Триколор НВ-001 , черный</t>
  </si>
  <si>
    <t>Достоинства: Удобство без проводов
Недостатки: Малая ёмкость аккумуляторов</t>
  </si>
  <si>
    <t>Сергей П.</t>
  </si>
  <si>
    <t>Достоинства: Хороший блок, подошёл к ресиверу триколор 
Недостатки: Нет</t>
  </si>
  <si>
    <t>Анастасия Б.</t>
  </si>
  <si>
    <t>10.07.2021 14:12</t>
  </si>
  <si>
    <t>У Всех есть интернет?</t>
  </si>
  <si>
    <t>Триколор инет с лагами, Билайн стабильно на телефоне.</t>
  </si>
  <si>
    <t>Евгений Зарифов</t>
  </si>
  <si>
    <t>Персонажи Печоры</t>
  </si>
  <si>
    <t>Печора</t>
  </si>
  <si>
    <t>26.07.2021 18:28</t>
  </si>
  <si>
    <t>Конвертор HD ready круговой Circular GS SLIN-51E (Триколор, НТВ) на 1 вых</t>
  </si>
  <si>
    <t>Достоинства: цена
Недостатки: нет
проблем с подключением и работой антенны не возникло</t>
  </si>
  <si>
    <t>Алексей Ч.</t>
  </si>
  <si>
    <t>Конвертор HD ready круговой Circular GS SLIN-51E  (Триколор, НТВ) на 1 вых</t>
  </si>
  <si>
    <t>14.07.2021 20:46</t>
  </si>
  <si>
    <t>HUAYU Пульт Huayu GS-B212 для спутниковых ресиверов General Satellite, Триколор</t>
  </si>
  <si>
    <t>В рабочем состоянии, целый без повреждений.</t>
  </si>
  <si>
    <t>13:45</t>
  </si>
  <si>
    <t>11.07.2021 00:33</t>
  </si>
  <si>
    <t>Тормозит инет из-за Wink от ростелеком</t>
  </si>
  <si>
    <t>купить Триколор, отключить ТВ от Ростелекома</t>
  </si>
  <si>
    <t>Максим Храбров</t>
  </si>
  <si>
    <t>Ответы@Mail.Ru: Все категории &gt; Интернет</t>
  </si>
  <si>
    <t>Качество сигнала в дождь
Добрый день! Всем доволен, с вами лет 13, но вот как дождь или вьюга, сигнала не бывает.</t>
  </si>
  <si>
    <t>Ok-ей</t>
  </si>
  <si>
    <t>10.07.2021 13:32</t>
  </si>
  <si>
    <t>Продам спутниковую тарелку с приемником на 2 антенны за 1 тыс. Отдам тренажёр для ног . Отдам за шампусик 2 рулона</t>
  </si>
  <si>
    <t>Людмила, нужен ресивер, а пакет каналов покупаете какой хотите в Триколоре или МТС</t>
  </si>
  <si>
    <t>Наталия Бобринская</t>
  </si>
  <si>
    <t>13:28</t>
  </si>
  <si>
    <t>10.07.2021 13:34</t>
  </si>
  <si>
    <t>Попробуйте заменить блок питания на 12 вольт и не менее 2 ампер. И ещё уточните пожалуйста модель приёмника.</t>
  </si>
  <si>
    <t>Осоргино</t>
  </si>
  <si>
    <t>10.07.2021 13:19</t>
  </si>
  <si>
    <t>Триколор покажет матчи ФНЛ в прямом эфире! ▫Болельщики смогут увидеть матчи своих команд на спутниковом канале</t>
  </si>
  <si>
    <t>Блин... Лучше б на Матч ТВ показывали. Жаль.</t>
  </si>
  <si>
    <t>Данил Хомизов</t>
  </si>
  <si>
    <t>ФК «КАМАЗ»  | Набережные Челны</t>
  </si>
  <si>
    <t>Триколор, Зачем вводите людей в заблуждение,пишите что все матчи в прямом эфире,а показываете только два матча,остальные все в повторах,в следующие дни.</t>
  </si>
  <si>
    <t>10.07.2021 13:17</t>
  </si>
  <si>
    <t>Замечательно!
v2.4.0</t>
  </si>
  <si>
    <t>Николай Евдокимов</t>
  </si>
  <si>
    <t>10.07.2021 12:53</t>
  </si>
  <si>
    <t>А почему в программе передач на канале Футбольный нет расписания трансляций на 10 июля?</t>
  </si>
  <si>
    <t>10.07.2021 12:34</t>
  </si>
  <si>
    <t>Моих нету</t>
  </si>
  <si>
    <t>10.07.2021 16:57</t>
  </si>
  <si>
    <t>Доброго времени суток. Скажите пожалуйста у кого нибудь есть проблема с интернетом и телевидением от ростелекома 3 дня</t>
  </si>
  <si>
    <t>У меня интернет отличный, тв не подключали, пользуемся триколором</t>
  </si>
  <si>
    <t>Ольга Шарай (Бережная)</t>
  </si>
  <si>
    <t>Доска объявлений Урупского района</t>
  </si>
  <si>
    <t>10.07.2021 12:31</t>
  </si>
  <si>
    <t>Капец, самый бесполезный эфир...</t>
  </si>
  <si>
    <t>Дима Ярец</t>
  </si>
  <si>
    <t>10.07.2021 14:41</t>
  </si>
  <si>
    <t>И не найдёте. Вам нужно оборудование Триколора.</t>
  </si>
  <si>
    <t>А вот у меня глобал алания и там есть канал футбольный 
Это же тот,который нужен?</t>
  </si>
  <si>
    <t>Stas</t>
  </si>
  <si>
    <t>Мы — Алания! Чат</t>
  </si>
  <si>
    <t>10.07.2021 12:15</t>
  </si>
  <si>
    <t>«Енисей» - «Звезда-2005» ⭐ Трансляция:  В группе Суперлиги Вконтакте  На канале «Наш Спорт 3» сети Триколор ТВ:</t>
  </si>
  <si>
    <t>Суперлига, трансляция снова в эфире, скорее обновляйте страницу и включайте!</t>
  </si>
  <si>
    <t>Суперлига</t>
  </si>
  <si>
    <t>Че то поискал там этих каналов нет</t>
  </si>
  <si>
    <t>Group</t>
  </si>
  <si>
    <t>10.07.2021 12:09</t>
  </si>
  <si>
    <t>Жара! Тяжело не только живым но и технике Участились обращения с поломкой техники (телевизоров) от перегрева. Я,</t>
  </si>
  <si>
    <t>Здравствуйте. Вы принимаите оплату за Триколор?</t>
  </si>
  <si>
    <t>Карина Зимина</t>
  </si>
  <si>
    <t>Тоншаево и Тоншаевский район</t>
  </si>
  <si>
    <t>Тоншаево</t>
  </si>
  <si>
    <t>10.07.2021 21:30</t>
  </si>
  <si>
    <t>Если не удается даже поиск каналов сделать? Нажимаю поиск, выключается.</t>
  </si>
  <si>
    <t>free domm</t>
  </si>
  <si>
    <t>10.07.2021 11:27</t>
  </si>
  <si>
    <t>Евро близится к завершению, а на смену ему приходит #ЛучшаяЛигаМира! ⚽️ Смотри прямые трансляции всех матчей Олимп-Первенства Футбольной Национальной Лиги сезона 2021/2022 в Триколоре на телеканале «Футбольный» и в онлайн-сервисе по ссылке: https://bit.ly/36rB2SN
#нашспортздесь</t>
  </si>
  <si>
    <t>text,poster,ball,sports equipment</t>
  </si>
  <si>
    <t>sports,ball game,football,competition,sport venue</t>
  </si>
  <si>
    <t>10.07.2021 11:48</t>
  </si>
  <si>
    <t>Евро близится к завершению, а на смену ему приходит #ЛучшаяЛигаМира ⚽️
С 10 июля смотри новый сезон Олимп-Первенства России по футболу среди команд клубов Футбольной национальной лиги сезона 2021/2022 Мы покажем в прямом эфире все матчи каждого тура, а это значит, что ты всегда сможешь следить за играми любимой команды!
Смотри Олимп-ФНЛ 
 На телеканале «Футбольный» под номерами 609 (в Центре) или 610 (в Сибири) в общем списке каналов пакета «Единый»
 В онлайн-плеерах «Наш спорт» в приложении «Триколор Кино и ТВ» на мобильных устройствах и планшетах, телевизорах с функцией Smart TV
 В онлайн-сервисе по ссылке: https://ok.me/Nhmj.
#нашспортздесь</t>
  </si>
  <si>
    <t>Достоинства: со своими функциями справляется!</t>
  </si>
  <si>
    <t>Евро близится к завершению, а на смену ему приходит #ЛучшаяЛигаМира ⚽️
С 10 июля смотри новый сезон Олимп-Первенства России по футболу среди команд клубов Футбольной национальной лиги сезона 2021/2022 Мы покажем в прямом эфире все матчи каждого тура, а это значит, что ты всегда сможешь следить за играми любимой команды!
Смотри Олимп-ФНЛ 
 На телеканале «Футбольный» под номерами 609 (в Центре) или 610 (в Сибири) в общем списке каналов пакета «Единый»
 В онлайн-плеерах «Наш спорт» в приложении «Триколор Кино и ТВ» на мобильных устройствах и планшетах, телевизорах с функцией Smart TV
 В онлайн-сервисе по ссылке: https://clck.ru/W3Wn6 
#нашспортздесь</t>
  </si>
  <si>
    <t>https://scontent.fiev6-1.fna.fbcdn.net/v/t1.6435-9/e15/q75/p960x960/213382316_4072544939466412_5781862935166479811_n.jpg?_nc_cat=111&amp;ccb=1-3&amp;_nc_sid=730e14&amp;_nc_ohc=emq0itaOkTAAX9KSqGl&amp;_nc_ad=z-m&amp;_nc_cid=0&amp;_nc_ht=scontent.fiev6-1.fna&amp;oh=871e069188e3327a8f21dfec16119b7f&amp;oe=60EDC87E</t>
  </si>
  <si>
    <t>10.07.2021 12:19</t>
  </si>
  <si>
    <t>47ксна
v2.4.0</t>
  </si>
  <si>
    <t>Лорд Макенади</t>
  </si>
  <si>
    <t>10.07.2021 11:09</t>
  </si>
  <si>
    <t>Конечно законно, вы же карту сами привязали в кабинете и для автопродления</t>
  </si>
  <si>
    <t>Вот эту галочку при оплате картой в личном кабинете надо было убрать и проблем бы не было</t>
  </si>
  <si>
    <t>10.07.2021 11:25</t>
  </si>
  <si>
    <t>Конор Макгрегор против Дастина Порье: видео боя на РЕНТ ТВ 11.07.21</t>
  </si>
  <si>
    <t>Стало известно, где можно посмотреть онлайн-трансляцию поединка Конора Макгрегора против Дастина Порье. Этот поединок будут транслировать на территории Российской Федерации.
Где и когда смотреть трансляцию боя Конора и Порье
Сражение ирландского спортсмена Конора Макгрегора против Дастина Порье наверняка соберет у экранов множество российских пользователей. Это совсем не удивляет, ведь Контор всегда мог устроить шоу и знает, что нужно, чтобы подогреть интерес зрителя к поединку.
Матч можно будет посмотреть онлайн в России на телеканале «РЕН ТВ</t>
  </si>
  <si>
    <t>tverplanet.ru</t>
  </si>
  <si>
    <t>Павел Хоперсков</t>
  </si>
  <si>
    <t>10.07.2021 10:52</t>
  </si>
  <si>
    <t>Готовимся к «Текстильщику»  #РубисьЗаРотор Готовимся к «Текстильщику» Официальный сайт: https://rotor-vlg</t>
  </si>
  <si>
    <t>Андрей, на канале "Футбольный" в Триколоре будет прямая трансляция, если вы абонент. А можно еще через Smart TV на телике подключить приложение "Триколор Кино и ТВ", там тоже будет прямая трансляция бесплатно
Или тут https://kino.tricolor.tv/channels/watch/nash-sport-1/</t>
  </si>
  <si>
    <t>Мария Гришко</t>
  </si>
  <si>
    <t>СК «Ротор»</t>
  </si>
  <si>
    <t>10.07.2021 10:38</t>
  </si>
  <si>
    <t>Татьяна, писала и на ТРИКОЛОР. Такое впечатление, что они заодно, 2 же раза человек заплатит.</t>
  </si>
  <si>
    <t>10.07.2021 10:37</t>
  </si>
  <si>
    <t>Здравствуйте! Хотелось бы продолжить тему быстрого интернета по нечетной стороне Народной улицы. Сегодня мне звонили</t>
  </si>
  <si>
    <t>Юрий, и телефон, при подключении, говорили 1р......, в личном кабинете, телефон-стоимость 0стоит., телевизор, вообще жуть, нет ни одного нормального канала!ничего не соответствует!
Все закрыты, с оплатой!
Легче старенький триколор снова подключить!</t>
  </si>
  <si>
    <t>Людмила Попова</t>
  </si>
  <si>
    <t>Признавашки  - Новониколаевский</t>
  </si>
  <si>
    <t>Новониколаевский</t>
  </si>
  <si>
    <t>10:34</t>
  </si>
  <si>
    <t>10.07.2021 10:34</t>
  </si>
  <si>
    <t>Всех приветствую! А кто пользуется спутниковым тв на даче? Поделитесь, пожалуйста, каким, ну и впечатлениями от работы.</t>
  </si>
  <si>
    <t>Соглашусь со Станиславом, в дождь и снегопад не работает - "нет сигнала". Триколор</t>
  </si>
  <si>
    <t>Алёна Бурнасова</t>
  </si>
  <si>
    <t>10.07.2021 10:27</t>
  </si>
  <si>
    <t>Лучше бы на и на ютубе трансляции велись. На смарт тв теперь не посмотришь(</t>
  </si>
  <si>
    <t>Айрат Ахметзянов</t>
  </si>
  <si>
    <t>Пушкино</t>
  </si>
  <si>
    <t>10.07.2021 09:52</t>
  </si>
  <si>
    <t>Дмитрий, Грацци Рогацци</t>
  </si>
  <si>
    <t>land vehicle,race car,car,vehicle,motor vehicle,windshield</t>
  </si>
  <si>
    <t>sports,track,design,race track,automotive design,sport venue</t>
  </si>
  <si>
    <t>09:43</t>
  </si>
  <si>
    <t>10.07.2021 09:43</t>
  </si>
  <si>
    <t>Триколор, только в дождь бывает подтупливает</t>
  </si>
  <si>
    <t>Станислав Микитюк</t>
  </si>
  <si>
    <t>10.07.2021 21:10</t>
  </si>
  <si>
    <t>Прямая трансляция UFC 264. Где смотреть?</t>
  </si>
  <si>
    <t>https://www.sherdog.com/fighter/Brad-Tavares-33095  и другие.
Прямая трансляция шоу будет доступна на сервисах  Wink https://wink.rt.ru ,  UFC Fight Pass https://ufcfightpass.com/login ,  more.tv https://moretv.sport , спутниковом канале «Триколор». Также главные бои покажет телеканал  РЕН ТВ https://ren.tv/live . Начало шоу в 01.00 МСК, главные бои начнутся в 05.00 МСК. РЕН ТВ начнет трансляцию в 05.30 МСК.
В бою Порье-Макгрегор 3 компания  Parimatch https://z.cdn.adpool.bet/go?z=1330819977  отдает преимущество  Дастину Порье https://z.cdn</t>
  </si>
  <si>
    <t>sports,games</t>
  </si>
  <si>
    <t>10.07.2021 10:11</t>
  </si>
  <si>
    <t>ЕЛЕНА ВАЛЕРЬЕВНА</t>
  </si>
  <si>
    <t>10.07.2021 18:14</t>
  </si>
  <si>
    <t>soratniki-info (01:30)
Друзья, если кто знает, прошу ликбез. У меня триколор на даче спутниковый, какие действия нужны, чтобы на триколоре посмотреть?</t>
  </si>
  <si>
    <t>Crow</t>
  </si>
  <si>
    <t>10.07.2021 09:32</t>
  </si>
  <si>
    <t>Поставили триколор на телек и ебашите в тетрис</t>
  </si>
  <si>
    <t>Не́стор Іва́нович М̢̥͖̟а̭̲̣͔͢х̡͖͔н̡̞̟о̨̦͓͙̤̙</t>
  </si>
  <si>
    <t>2ch /vg/</t>
  </si>
  <si>
    <t>11.07.2021 04:57</t>
  </si>
  <si>
    <t>Спутниковое ТВ МТС</t>
  </si>
  <si>
    <t>Триколор бы поставил лучше</t>
  </si>
  <si>
    <t>Человек Гриб</t>
  </si>
  <si>
    <t>Конвертор LNB ПЛЮС С1 (для Триколор ТВ и НТВ ПЛЮС ). Высокий коэффициент усиления и шумоподавления!</t>
  </si>
  <si>
    <t>Достоинства: Качество
Отличный конвектор, брал в замен сгоревшего. Работает без помех.</t>
  </si>
  <si>
    <t>Марк С.</t>
  </si>
  <si>
    <t>07:33</t>
  </si>
  <si>
    <t>11.07.2021 00:25</t>
  </si>
  <si>
    <t>"Режим работы?!"
"Нет-нет, не слышали!"
В 17.30 уже закрыт, в 09.30 ещё не открыт.
Указанный режим работы 18.00-09.00</t>
  </si>
  <si>
    <t>GRF005</t>
  </si>
  <si>
    <t>Кушнаренково</t>
  </si>
  <si>
    <t>07:27</t>
  </si>
  <si>
    <t>Достоинства: Маленький, компактный, простая и быстрая установка, герметичный, главное что все работает. 
Недостатки: Пока не обнаружил
Купил для замены старого, вышедшего из строя конвертора Триколор. Быстро заменил, включил. Рекомендую.</t>
  </si>
  <si>
    <t>Алексей С.</t>
  </si>
  <si>
    <t>07:24</t>
  </si>
  <si>
    <t>10.07.2021 09:17</t>
  </si>
  <si>
    <t>МАЛЫШАРИКАМ 5 ЛЕТ: история создания сериала, бэкстейдж и интересные факты!</t>
  </si>
  <si>
    <t>Мне нравится канал тв-тв триколор тв и тв поиск инфоканал нтв плюс я люблю смотреть каналы</t>
  </si>
  <si>
    <t>Кузинатра</t>
  </si>
  <si>
    <t>10.07.2021 08:08</t>
  </si>
  <si>
    <t>Приложение не отправляет код для подтверждения регистрации. Не могу зайти в личный кабинет
v2.5.0</t>
  </si>
  <si>
    <t>Ashraf Dodn</t>
  </si>
  <si>
    <t>06:41</t>
  </si>
  <si>
    <t>10.07.2021 06:41</t>
  </si>
  <si>
    <t>У мння проверял, что не подключено. Сказал, что  сбой был. Они ведь по  но еру приемника проверчют подключение. Прокон ульт руйтесь с кем- нибудь из офиц альных триколоровских наших к ровских. Что делать. Может, посоветуют. Или нспишите пиетензию на этот сайт. Я в дороге. Не ловит инет. А может, это копия сайта. Обманка.</t>
  </si>
  <si>
    <t>Татьяна Олюнина</t>
  </si>
  <si>
    <t>11.07.2021 13:40</t>
  </si>
  <si>
    <t>Отзывы удаляются, в данном месте сплошное высасывание денег из клиента, очень не советую связываться с этой конторкой</t>
  </si>
  <si>
    <t>ИГОРЬ ШУТКИН</t>
  </si>
  <si>
    <t>10.07.2021 06:35</t>
  </si>
  <si>
    <t>Осталась всего неделя, чтобы получить шанс выиграть одну из трёх годовых подписок на пакет каналов «Единый Ultra» от</t>
  </si>
  <si>
    <t>У нас Сибирь. Очень хотелось бы увидеть этот канал в своём списке.</t>
  </si>
  <si>
    <t>Наталья Соболь</t>
  </si>
  <si>
    <t>Черепаново</t>
  </si>
  <si>
    <t>06:13</t>
  </si>
  <si>
    <t>10.07.2021 10:47</t>
  </si>
  <si>
    <t>Смотрю астраханские новости, это треш!!! Уважаемое руководство ГТРК Лотос и Астрахань24. Хоть немного будьте независимы</t>
  </si>
  <si>
    <t>Вячеслав Михайлов  фу как гадко про село,мы в селе вообще не смотрим местное телевидение,у нас у всех Триколор и МТС,а там нет местных новостей,отчего мы очень рады!!!</t>
  </si>
  <si>
    <t>Алевтина Бабчинская</t>
  </si>
  <si>
    <t>Карен Григорян</t>
  </si>
  <si>
    <t>Кировский</t>
  </si>
  <si>
    <t>06:07</t>
  </si>
  <si>
    <t>10.07.2021 07:23</t>
  </si>
  <si>
    <t>Вообще не врубаюсь, где люди, ужасы всякие, смотрят у нас. Я какой канал не включу; везде парнуха идёт. Может попробовать, кроме пакета: Русская ночь, на триколор - тв, что - ни - будь подключить? Хотя. Везде парнуха, ужасы, да боевики видать. Зачем платить больше тогда?</t>
  </si>
  <si>
    <t>Андрей Тимкин</t>
  </si>
  <si>
    <t>Юмор из сети. Лучшее.♛</t>
  </si>
  <si>
    <t>06:03</t>
  </si>
  <si>
    <t>10.07.2021 06:03</t>
  </si>
  <si>
    <t>Татьяна, так тоже звонила и требовала вернуть. Но мне мужик ответил, что услуга оказана, чек вы получили. Кроме этого ничего. И больше не отвечают.</t>
  </si>
  <si>
    <t>10.07.2021 05:59</t>
  </si>
  <si>
    <t>Надо приложен е  Трикодор установить.   Там Проще.</t>
  </si>
  <si>
    <t>10.07.2021 05:58</t>
  </si>
  <si>
    <t>Звонила, объяснила, что заплатила, а услуга не подключена. Там мужчина проверил и сказал, что деньги обратно переведут. Хотя я уж и не надеялась. Может, сотрудник совестливый попался. Это было уже полгода назад   я сайт не проверила, перечела. Потом второй раз платила.</t>
  </si>
  <si>
    <t>10.07.2021 05:57</t>
  </si>
  <si>
    <t>Триколор, почему не во всех регионах есть этот канал, у нас он отсутствует на прочь, 284 и следом 286</t>
  </si>
  <si>
    <t>10.07.2021 05:54</t>
  </si>
  <si>
    <t>Татьяна, как Вы их вернули  поделитесь. У меня не получилось. Один раз получилось дозвониться и дальше меня заблокировали.</t>
  </si>
  <si>
    <t>10.07.2021 05:31</t>
  </si>
  <si>
    <t>Куплю комнатную антенну для ТВ. Анонимно .</t>
  </si>
  <si>
    <t>ресивер Триколор с тарелкой недорого</t>
  </si>
  <si>
    <t>Владимир Романов</t>
  </si>
  <si>
    <t>[пгт.Кильмезь] ДОСКА ОБЪЯВЛЕНИЙ</t>
  </si>
  <si>
    <t>02:31</t>
  </si>
  <si>
    <t>10.07.2021 02:31</t>
  </si>
  <si>
    <t>Очень продуманный в детализации своей деревенский наив под Великим Устюгом.</t>
  </si>
  <si>
    <t>Vladimir, интернет по спутниковой Триколор ТВ антенне передаётся?</t>
  </si>
  <si>
    <t>Архитектурные излишества</t>
  </si>
  <si>
    <t>01:22</t>
  </si>
  <si>
    <t>10.07.2021 02:05</t>
  </si>
  <si>
    <t>Новое приложение вообще не скачивается, а запустить старое не дает. Все в стиле Триколор - клиент всегда крайний.
v2.4.0</t>
  </si>
  <si>
    <t>Алексей 34</t>
  </si>
  <si>
    <t>09.07.2021</t>
  </si>
  <si>
    <t>09.07.2021 23:52</t>
  </si>
  <si>
    <t>Я тоже случайно зпплатила. Но каналы не подклюсились. Они ден ги вернули.</t>
  </si>
  <si>
    <t>09.07.2021 23:03</t>
  </si>
  <si>
    <t>Какие могут быть претензии? Пакеты по отдельности это ж не триколор.</t>
  </si>
  <si>
    <t>Сергей Брюнин</t>
  </si>
  <si>
    <t>Не поверишь!</t>
  </si>
  <si>
    <t>К приставки не встал ноль эмоций</t>
  </si>
  <si>
    <t>10.07.2021 19:45</t>
  </si>
  <si>
    <t>Не проверила в описании, но кабель ооочень короткий. Обидно(.</t>
  </si>
  <si>
    <t>10.07.2021 06:06</t>
  </si>
  <si>
    <t>/forum/index.php?act=findpost&amp;pid=107896959  Blackman_68,
Она настроена на три колорские спутники. Мы ей хотим поймать бесплатные. Как я понял, нужно знать какой спутник и крутить на него
Добавлено 09.07.2021, 22:07:
Триколор приказал долго жить, решили попробовать это чудо</t>
  </si>
  <si>
    <t>/forum/index.php?act=findpost&amp;pid=107896927  slawa_kh, антена уже настроена на триколор? Или вы ей пытаетесь поймать спутники с открытыми каналами?</t>
  </si>
  <si>
    <t>Blackman_68</t>
  </si>
  <si>
    <t>09.07.2021 22:05</t>
  </si>
  <si>
    <t>Вам не надоело показывать одни и те же фильмы.? Сколько можно.</t>
  </si>
  <si>
    <t>09.07.2021 21:59</t>
  </si>
  <si>
    <t>Друзья, обращаю Ваше внимание, чтобы Вы никогда не пользовались для оплаты за ТРИКОЛОР сайтом Триколор.оплата - интернет магазин. Я воспользовалась, заплатила 26 июня за канал ЕДИНЫЙ 1800 рублей (кончалась подписка, вот и попалась). Сегодня 9 июля, ни ответа, ни привета. Зашла на страницу этой компании, почитала отзывы и всё как у меня - ругают, никто не отзывается положительно, всех дурят. Звонила на указанный номер,  тоже ругалась, но дядя мне не хамил, но сказал, что вам выдан чек и услуга оказана и перестал трубку брать, видимо заблокировал меня. Вот такая ситуация, хотя эти мошенники, по-другому назвать не могу, являются официальными дилерами ТРИКОЛОР.ТВ</t>
  </si>
  <si>
    <t>Denis Bragin</t>
  </si>
  <si>
    <t>09.07.2021 21:55</t>
  </si>
  <si>
    <t>09.07.2021 23:34</t>
  </si>
  <si>
    <t>Ебёнать маск закопался в плагиатчине, у триколора уже скока лет инэт    с тарелки) 7500р в месяц ахренеть можно)</t>
  </si>
  <si>
    <t>Илья Болотов</t>
  </si>
  <si>
    <t>Недостатки: Размер адаптера
Приёмник модели GS B211 заработал без проблем. Цена в 2 раза меньше, чем у барыг из «официальных» точек Триколора. Учитывайте размеры адаптера. Он весьма внушителен. Может занять соседние гнезда.</t>
  </si>
  <si>
    <t>Ратмир У.</t>
  </si>
  <si>
    <t>fashion accessory,cameras &amp; optics,watch,finger,electronic device,gadget,wrist,nail,analog watch,camera,smartphone,computer hardware</t>
  </si>
  <si>
    <t>11.07.2021 01:49</t>
  </si>
  <si>
    <t>Супер
Триколор и только триколор. Спасибо Вам что вы есть .</t>
  </si>
  <si>
    <t>Артур Телеев</t>
  </si>
  <si>
    <t>09.07.2021 21:47</t>
  </si>
  <si>
    <t>Этом году будет показывать английский лигу по футболу триколор?</t>
  </si>
  <si>
    <t>Юра, триколоре нет же такой канал</t>
  </si>
  <si>
    <t>Айрат Фассахов</t>
  </si>
  <si>
    <t>11.07.2021 04:31</t>
  </si>
  <si>
    <t>tsf-k,  а сколько там каналов?</t>
  </si>
  <si>
    <t>09.07.2021 20:49</t>
  </si>
  <si>
    <t>Новелла "BOЗДУШНЫE ЗAMКИ", 17 серия   Предыдущие серии можно посмотреть нажав на тэг -</t>
  </si>
  <si>
    <t>Где этот канал вообще вещает? Не видел его ни в пакетах Триколор/НТВ Плюс, ни в MEGOGO</t>
  </si>
  <si>
    <t>Станислав Сергеевич</t>
  </si>
  <si>
    <t>NB | Бразильские сериалы | Воздушные замки</t>
  </si>
  <si>
    <t>09.07.2021 22:33</t>
  </si>
  <si>
    <t>Да. Яндекс транслирует. А вот Триколор что то нет. Я смотрю футбол по ТВ. Интернет трансляции не люблю. Кстати, завтра Рубин-Химки на Матче. Предсезонный Кубок. Можно глянуть.
Автор: Коновалов Роман #1439058 https://1923.dm/dm/node/1439058  Ответ на: Den #1439055 https://1923.dm/dm/node/1439055</t>
  </si>
  <si>
    <t>1923.dm</t>
  </si>
  <si>
    <t>09.07.2021 20:38</t>
  </si>
  <si>
    <t>Странно у меня онлайн всё смотрю</t>
  </si>
  <si>
    <t>Татьяна Гришина</t>
  </si>
  <si>
    <t>09.07.2021 20:35</t>
  </si>
  <si>
    <t>Татьяна, у нас этот оператор не тянет</t>
  </si>
  <si>
    <t>Виктория Ковалевская</t>
  </si>
  <si>
    <t>09.07.2021 21:22</t>
  </si>
  <si>
    <t>Вова Тарасов</t>
  </si>
  <si>
    <t>09.07.2021 20:18</t>
  </si>
  <si>
    <t>Татьяна, у нас и обычная антена тоже самое пишет.. уже почти месяц..</t>
  </si>
  <si>
    <t>09.07.2021 19:58</t>
  </si>
  <si>
    <t>Триколор настроить кто? Деревня Мыза. Стоит уже лет десять как или чуть меньше. Но в последнее полгода всё хуже и хуже</t>
  </si>
  <si>
    <t>Вы ее попробуйте на мм в сторону повернуть, у нас по весне вообще каналы ушли, оказалось дом повело антена связь потеряла, в настройках ещё можно посмотреть уровень сигнала</t>
  </si>
  <si>
    <t>Аня Сурогина</t>
  </si>
  <si>
    <t>21.07.2021 13:37</t>
  </si>
  <si>
    <t>ИК -приёмник внешний LF-DX8 для ресиверов Триколор ТВ (2 штуки.)</t>
  </si>
  <si>
    <t>Достоинства: Работает
Недостатки: Нет</t>
  </si>
  <si>
    <t>Наталья Ц.</t>
  </si>
  <si>
    <t>19:45</t>
  </si>
  <si>
    <t>Достоинства: Все как в описании
Недостатки: Нет</t>
  </si>
  <si>
    <t>09.07.2021 22:13</t>
  </si>
  <si>
    <t>Поставьте триколор на телек и на тел подключите безлимитный интернет и не будет ни каких проблем! :)</t>
  </si>
  <si>
    <t>УА Д</t>
  </si>
  <si>
    <t>09.07.2021 19:46</t>
  </si>
  <si>
    <t>Триколор настроить кто?
Деревня Мыза. Стоит уже лет десять как или чуть меньше. Но в последнее полгода всё хуже и хуже стал работать. Думаю что антена от ветра ушла, или ёлка слишком большой выросла. Возможно она мешает.
 Сейчас или в ближайшее время.</t>
  </si>
  <si>
    <t>Владимир Шелегов</t>
  </si>
  <si>
    <t>19:22</t>
  </si>
  <si>
    <t>09.07.2021 19:22</t>
  </si>
  <si>
    <t>Айрат,  ну как кто, Беларусь - 5. Беларусь 5 интернет.</t>
  </si>
  <si>
    <t>Очень удобно.
v2.5.0</t>
  </si>
  <si>
    <t>Анатолий Брусницын</t>
  </si>
  <si>
    <t>09.07.2021 19:18</t>
  </si>
  <si>
    <t>Матч «Ротор» — «Текстильщик» можно посмотреть в прямом эфире 10 июля, помимо "Яндекса", на спутниковом телеканале</t>
  </si>
  <si>
    <t>Макс, а в триколоре он есть? Или на какой другой платформе есть?</t>
  </si>
  <si>
    <t>Юрий Буянов</t>
  </si>
  <si>
    <t>Много показывают одно и то же
v1.14</t>
  </si>
  <si>
    <t>Vera Selivanova</t>
  </si>
  <si>
    <t>09.07.2021 19:13</t>
  </si>
  <si>
    <t>Только после 11 вечера основные редко.</t>
  </si>
  <si>
    <t>09.07.2021 18:59</t>
  </si>
  <si>
    <t>-Проверить ПО актуальное или нет
-Силу и качества сигнала на 0 канале(процент нормы зависит от модели приёмника)
Если все ок,то попробуйте сделать Сброс настроек до заводских.</t>
  </si>
  <si>
    <t>Катюша Коростелёва</t>
  </si>
  <si>
    <t>Недостатки: Китайский ширпотреп. Работает, но неизвестно сколько протянет</t>
  </si>
  <si>
    <t>Максим А.</t>
  </si>
  <si>
    <t>09.07.2021 18:48</t>
  </si>
  <si>
    <t>Обновлённое расписание матчей «Текстильщика» в Олимп — Первенстве ФНЛ 2021/22 ❤  Напомним, что место «Чайки» в</t>
  </si>
  <si>
    <t>Завтра в прямом эфире на триколор ТВ, канал футбольный матч ротор-текстильщик в 19-00</t>
  </si>
  <si>
    <t>Зайцев Александр</t>
  </si>
  <si>
    <t>ФК «Текстильщик» Иваново</t>
  </si>
  <si>
    <t>Тейково</t>
  </si>
  <si>
    <t>11.07.2021 04:32</t>
  </si>
  <si>
    <t>Очередная акция, ничем непримечательная. Для бывалых не замануха, для остальных... На них и рассчитано. Уже не знают, чем привлечь, всë что угодно придумывают.</t>
  </si>
  <si>
    <t>09.07.2021 18:54</t>
  </si>
  <si>
    <t>"Хари Путтар: Комедия ужасов"/"Hari Puttar: A Comedy of Terrors" (2008, фильм)</t>
  </si>
  <si>
    <t>лад переснимали но это новостью не было,а вот то что у них есть свой римейк фильма "Один дома" (хотя даже не знаю можно ли его считать римейком) узнала только недавно,благодаря каналу "Bollywood HD" в Триколоре.Фильм вращается вокруг десятилетнего мальчика Хари Прасада Дхунды (по прозвищу Хари Путтар), который недавно переехал из Индии в Великобританию. Оставшись дома наедине со своей двоюродной сестрой Тук-Тук, когда его родители уезжают в отпуск, Хари должен иметь дело с двумя грабителями, которые надеются украсть секретную формулу, созданную</t>
  </si>
  <si>
    <t>plant,text,tree,grass,software</t>
  </si>
  <si>
    <t>games,landscape</t>
  </si>
  <si>
    <t>09.07.2021 17:44</t>
  </si>
  <si>
    <t>Виктория Ларионова</t>
  </si>
  <si>
    <t>Достоинства: приставка шустрая, изображение четкое на ТВ 43'.
вместо В621L прислали B623L,  но не критично, качество на высоте. Даже фирменные батарейки триколор в комплекте к пульту.</t>
  </si>
  <si>
    <t>10.07.2021 08:48</t>
  </si>
  <si>
    <t>Персонал грамотный и доброжелательный. Все рассказали, объяснили и показали!!!!</t>
  </si>
  <si>
    <t>Андрей Коробка</t>
  </si>
  <si>
    <t>09.07.2021 16:51</t>
  </si>
  <si>
    <t>Дмитрий Новиков сегодня в 7:24 ☑ Доставим, установим и настроим. НТВ+Триколор МТС и Цифровое ТВ на 20 каналов +7 (981)</t>
  </si>
  <si>
    <t>С Триколором каждый год какие-нибудь проблемы: то замени оборудование, то обновление, то ещё что-нибудь. А чуть плохая погода, то и вообще каналы не ловит.При этом пользуюсь только пол года, а плачу за целый год.</t>
  </si>
  <si>
    <t>Ольга Смирнова</t>
  </si>
  <si>
    <t>09.07.2021 16:49</t>
  </si>
  <si>
    <t>Триколор, bridge tv там не чего смотреть одно и тоже показывают</t>
  </si>
  <si>
    <t>09.07.2021 16:46</t>
  </si>
  <si>
    <t>Владимир, не прикратил это на триколор тв прикратил</t>
  </si>
  <si>
    <t>10.07.2021 01:36</t>
  </si>
  <si>
    <t>Триколор 2020: Ни в коем случае не бери это! Что покупать и на что менять в новом 2020 году?</t>
  </si>
  <si>
    <t>Добрый день мне поменяли на приемник 621L но перейти на Cam модульТелик SONY 20-го года. Но когда менялся на 621 то у меня карточку забрали и прошили новый ID на новую приставку 621L. Получается я CAM не смогу без карточки смотреть?</t>
  </si>
  <si>
    <t>Oleg Orlyuk</t>
  </si>
  <si>
    <t>09.07.2021 16:36</t>
  </si>
  <si>
    <t>Мы сами поменяли головку на тарелке и все нормально</t>
  </si>
  <si>
    <t>Наталия Лебедева</t>
  </si>
  <si>
    <t>Здравствуйте. Сила сигнала 100, а качество от 37 до 52. Конвертер поменяла, провод нормальный. Почему качество низкое и</t>
  </si>
  <si>
    <t>Артем, ловит тарелка, ресивер расшифровывает. Это так, на всякий</t>
  </si>
  <si>
    <t>16:26</t>
  </si>
  <si>
    <t>Достоинства: Работает
Недостатки: Нет
Я доволен</t>
  </si>
  <si>
    <t>Кирилл О.</t>
  </si>
  <si>
    <t>09.07.2021 22:36</t>
  </si>
  <si>
    <t>Все работает</t>
  </si>
  <si>
    <t>10.07.2021 17:16</t>
  </si>
  <si>
    <t>5310 горит жёлтым и не включается,поставил новый б/п не помогло. Что может быть? Может есть у них такое болезненное место.</t>
  </si>
  <si>
    <t>09.07.2021 16:19</t>
  </si>
  <si>
    <t>Владимир, "Триколор" сделал одну картинку, только название матчей меняет</t>
  </si>
  <si>
    <t>16:17</t>
  </si>
  <si>
    <t>10.07.2021 15:10</t>
  </si>
  <si>
    <t>Пульт ДУ Huayu HSR671 для ресивера Триколор GS-212</t>
  </si>
  <si>
    <t>Достоинства: Прекрасно подошёл ко второму приемнику триколор не надо ничего настраивать
Недостатки: Нет</t>
  </si>
  <si>
    <t>Екатерина</t>
  </si>
  <si>
    <t>10.07.2021 01:02</t>
  </si>
  <si>
    <t>HUAYU Пульт Триколор GS- B212 (GS-B211) для спутниковых ресиверов (приставок) General Satellite</t>
  </si>
  <si>
    <t>Подошёл идеально. Доставка быстрая.</t>
  </si>
  <si>
    <t>10.07.2021 02:08</t>
  </si>
  <si>
    <t>Экспресс-обзор ресивера GS 626L для просмотра Триколор ТВ</t>
  </si>
  <si>
    <t>Нормальный агрегат за свою цену, я считаю. Не ждите чего-то сверх и не обламаетесь!)
Минусы есть не критические, не понимаю нафига на кузове еще одна кнопка нужна помимо включения лол</t>
  </si>
  <si>
    <t>В Герасименко</t>
  </si>
  <si>
    <t>Tele-Sat.INFO</t>
  </si>
  <si>
    <t>09.07.2021 21:11</t>
  </si>
  <si>
    <t>Когда сразу понятно, в какой квартире живёт главный борец с Америкой, трёхкратный кавалер космических орденов, глава</t>
  </si>
  <si>
    <t>Там рядом ещё очень в тему висит тарелочка спутниковая "Триколор"</t>
  </si>
  <si>
    <t>Wlad Gramowicz</t>
  </si>
  <si>
    <t>Maxim Mirovich</t>
  </si>
  <si>
    <t>15:19</t>
  </si>
  <si>
    <t>09.07.2021 19:15</t>
  </si>
  <si>
    <t>Выбор Телевизора (часть 10) [4]</t>
  </si>
  <si>
    <t>Бюджет: 23к максимум
Магазин: днс
Задачи: просмотр тв каналов триколор тв
Хотелки: 43"...49" - не меньше (и не больше по внешним габаритам 115х80, нища в мебельной стенке, больше вешать или ставить некуда), 4к, смарт тв, герцовка особого значения не имеет, лишь бы не меньше 60, больше честно сказать я и не знаю какие плюшки нужны в тв, ибо тв практически не смотрю уже довольно давно.
Мой выбор:
https://www.dns-shop.ru/product/fa74953de7b21b80/49-…r-tv49-us2-seryj/ - фаворит
https://www.dns-shop.ru/product/9ede6fcb837a1b80/43-…con-43k61-cernyj/
https://www.dns-shop.ru/product/866207b0673e1b80/43-…u43f8000eg-seryj/
https://www.dns-shop.ru/product/939bf71ae7b21b80/43-…r-tv43-us2-seryj/
Прошу вас посоветовать хороший вариант тв.',[])</t>
  </si>
  <si>
    <t>K+M</t>
  </si>
  <si>
    <t>Домашний кинотеатр: ТV и проекторы</t>
  </si>
  <si>
    <t>03.08.2021 02:28</t>
  </si>
  <si>
    <t>Ресивер GS-B528 Триколор ТВ Центр (тариф Единый, 1500 р/год)</t>
  </si>
  <si>
    <t>ресивер триколор подключил работает, спасибо ozon</t>
  </si>
  <si>
    <t>Дмитрий В.</t>
  </si>
  <si>
    <t>television,electronic device,screen,display device,flat panel display,gadget</t>
  </si>
  <si>
    <t>09.07.2021 14:55</t>
  </si>
  <si>
    <t>В Кировской области на два года воспитательной колонии осудили изнасиловавшего пенсионерку 15-летнего школьника. Как</t>
  </si>
  <si>
    <t>Елена, поставьте "триколор ТВ" , не смотрите вы эти федеральные аналы-это дно днищенское.</t>
  </si>
  <si>
    <t>Владимир Гладышев</t>
  </si>
  <si>
    <t>Невзорыч</t>
  </si>
  <si>
    <t>Пульт рабочий!Спасибо!!!</t>
  </si>
  <si>
    <t>electronic device,finger,gadget</t>
  </si>
  <si>
    <t>Рекомендую!</t>
  </si>
  <si>
    <t>Достоинства: Работает нормально.
Недостатки: нет
К сожалению нам не подошел.  Возврат.</t>
  </si>
  <si>
    <t>09.07.2021 13:21</t>
  </si>
  <si>
    <t>Nature: российская вакцина Sputnik V безопасна и эффективна Важные новости: в журнале Nature вышла статья о российской</t>
  </si>
  <si>
    <t>Настя, ну! Чип магнитит! Могу сказать, весь пакет Триколора, как обещали, ловит. Обещают, что после второй дозы подключится 5G. Жду.</t>
  </si>
  <si>
    <t>Максим Макаренков</t>
  </si>
  <si>
    <t>КУДЕСА | Языческие традиции | Мифы славян</t>
  </si>
  <si>
    <t>09.07.2021 12:20</t>
  </si>
  <si>
    <t>В Самарской области в июле отключат телевидение В регионе пройдет профилактика оборудования В Самарской области на</t>
  </si>
  <si>
    <t>У нас триколор</t>
  </si>
  <si>
    <t>Руфия Волощенко</t>
  </si>
  <si>
    <t>Подслушано в Кошках</t>
  </si>
  <si>
    <t>Кошки</t>
  </si>
  <si>
    <t>09.07.2021 21:54</t>
  </si>
  <si>
    <t>Триколор Комплект спутникового телевидения Триколор ТВ Ultra HD GS B622L</t>
  </si>
  <si>
    <t>Добрый день! Спасибо за столь подробный положительный отзыв и высокую оценку! Мы рады, что Вы остались довольны нашим товаром!</t>
  </si>
  <si>
    <t>Тариф за 2500р. Но в нем есть онлайн-кинотеатр+Премьер (который отдельно стоит 200р./мес) и 10 каналов в качестве 4K! (в том числе Эромания4K).
Вообще 4K каналы – это круто, прямо со спутника, можно не качать гигабайтные фильмы)
Совет - девайс подключать к интернету. Я подключил с помощью ви-фи адаптера, т.к. своего вайфая в устройстве нет (это удивило). Если подключить его к интернету, то как раз онлайн-кинотеатр появляется, + пауза и перемотка. Ну и главная фишка  – можно смотреть архив программ! В Триколор есть собственные каналы, где</t>
  </si>
  <si>
    <t>09.07.2021 11:47</t>
  </si>
  <si>
    <t>Анонимно. Пожалуйста, подскажите какой-то хороший спутниковый интернет и тв который хорошо работает в посёлке. Кроме</t>
  </si>
  <si>
    <t>Спутниковое ТВ работает практически любое из популярных. Триколор, МТС, НТВ+.
Спутниковый интернет - неоправданное решение в соотношении цены к скорости каналов. К тому же качество сильно зависит от погоды. Думаю вряд-ли кто из местных даст внятный ответ по такому типу соединения.
В поселке сейчас 3 ОПСОСа предоставляют мобильный интернет по технологии 4G, которого вполне достаточно для комфортной работы при наличии хорошего оборудования.</t>
  </si>
  <si>
    <t>Андрей Алимов</t>
  </si>
  <si>
    <t>Подслушано в  п. Салми</t>
  </si>
  <si>
    <t>Достоинства: Обычный конвертер. В сравнении с другими по цене очень хорош.
Установил, функционирует пока без проблем. Насколько хватит - время покажет.</t>
  </si>
  <si>
    <t>Владимир К.</t>
  </si>
  <si>
    <t>Блок питания LP340 для Триколор ТВ 12В 2А и других спутниковых приставок</t>
  </si>
  <si>
    <t>Достоинства: не горит при перепаде напряжения
Недостатки: нет
Соответствует своим кретериям</t>
  </si>
  <si>
    <t>Федор З.</t>
  </si>
  <si>
    <t>09.07.2021 11:06</t>
  </si>
  <si>
    <t>Триколор ТВ Экспресс АМУ1 36.0°E Express AT1 56.0°Е Смотри новый телеканал "MTV 00s" на Триколор ТВ с 1 августа 2021</t>
  </si>
  <si>
    <t>MTV 2000-х</t>
  </si>
  <si>
    <t>Янина Королёва</t>
  </si>
  <si>
    <t>Достоинства: Новый и исправный пульт Huayu (аналог) по стандартной цене.
Недостатки: Такого нет
Качественно упакован.</t>
  </si>
  <si>
    <t>Алексей Н.</t>
  </si>
  <si>
    <t>09.07.2021 10:48</t>
  </si>
  <si>
    <t>Антенну купите для инета. К роутеру подключается . Ещё есть вариант триколор интернет Даёт 10мб и стоит 2000р в месяц</t>
  </si>
  <si>
    <t>У меня две антенны. От того что ввшкамне работает это не спасает.насчет триколор подумаю.</t>
  </si>
  <si>
    <t>Kladovka100</t>
  </si>
  <si>
    <t>10:40</t>
  </si>
  <si>
    <t>09.07.2021 10:46</t>
  </si>
  <si>
    <t>я так сильно любила нэшнл джиографик у меня был траур когда его убрали из стандартного пакета триколора я после этого практически не смотрела телевизор
pov: ты спросил у действительно hot person её/его любимые телеканалы в детстве</t>
  </si>
  <si>
    <t>.・ . • YSYA HAPPY BDAY</t>
  </si>
  <si>
    <t>Завтра у меня будет вещать Рома Ермаков. И по этому случаю хочу сказать что провайдер Йота меня достал! Два дня нет связи. Вообще никакой, а до оператора хрен дозвонишься. Все ждёшь на линии. За что я плачу 1400 в месяц непонятно. Гоню весь трафик через М</t>
  </si>
  <si>
    <t>Антенну купите для инета. К роутеру подключается  . 
Ещё есть вариант триколор интернет 
Даёт 10мб и стоит 2000р в месяц</t>
  </si>
  <si>
    <t>Oleg G</t>
  </si>
  <si>
    <t>09.07.2021 10:10</t>
  </si>
  <si>
    <t>Здравствуйте. Пока не являюсь вашим абонентом. Хотел спросить: сколько будет стоить подключение (как я понимаю и покупка оборудования и антенны) и возможно ли с одного "приëмника" в одной комнате смотреть ТВ передачи, а например до кухни протянуть провод и через колонки слушать радио? У меня дача в Новгородской области и с fm радиостанциями тут проблема. Заранее спасибо за ответ:)</t>
  </si>
  <si>
    <t>Ivan Pavlenko</t>
  </si>
  <si>
    <t>09.07.2021 10:09</t>
  </si>
  <si>
    <t>Подскажите, пожалуйста! Нас пригласили пожить на даче в глуши на Лад.озере. Но мне для работы необходима видеосвязь. В доме есть антена триколор и усилитель. В доме ловит мтс, но интернет ну очень слабый. Какое оборудование может помочь добиться хорошего мобильного интернета? Интересует самый не дорогой и безпроблемный вариант. Спасибо за ответы!</t>
  </si>
  <si>
    <t>AVON</t>
  </si>
  <si>
    <t>посёлок имени Морозова</t>
  </si>
  <si>
    <t>09.07.2021 10:04</t>
  </si>
  <si>
    <t>Сюжет телеканала "Кубань 24" о подготовке нашей команды к старту сезона! Источник ➡ https://kuban24</t>
  </si>
  <si>
    <t>Андрей, если есть триколор ТВ он бесплатный.</t>
  </si>
  <si>
    <t>Сергей Синяев</t>
  </si>
  <si>
    <t>14.07.2021 12:57</t>
  </si>
  <si>
    <t>Нормально все работает, брал для 8304</t>
  </si>
  <si>
    <t>09.07.2021 09:27</t>
  </si>
  <si>
    <t>Алексей, если у старлинка будет безлимит то выгоднее его конечно брать. А если 40 гигов на месяц хватает я бы лучше триколор взял. Да и с обслуживанием и поддержкой в России у триколора явно получше. А то сломается этот набор за 40 косарей а чинить его в России кто будет? Думаю первые лет 10 мастеров будут единицы и то без гарантии что вообще заработает</t>
  </si>
  <si>
    <t>Никита Болознев</t>
  </si>
  <si>
    <t>09.07.2021 09:23</t>
  </si>
  <si>
    <t>Алексей, гораздо дешевле взять спутниковый интернет от триколор тв. Если верить сайту то оборудование 5к стоит а в месяц за интернет 40мбит/с плата тоже около 5к но там минус в том что всего 40 гигов а дальше скорость снизится</t>
  </si>
  <si>
    <t>08:59</t>
  </si>
  <si>
    <t>09.07.2021 08:59</t>
  </si>
  <si>
    <t>если триколор показывал , а потом резко перестал и если ресиверу больше 2 лет то чаще всего блок питания дохнет. на включение хватает питания а на тарелку не хватает. Но самый правильный вариант обратиться к специалисту. Слишком много причин.</t>
  </si>
  <si>
    <t>08:36</t>
  </si>
  <si>
    <t>09.07.2021 09:05</t>
  </si>
  <si>
    <t>Очень хорошо стало удобно мне нравится
v2.5.0</t>
  </si>
  <si>
    <t>08:32</t>
  </si>
  <si>
    <t>Достоинства: Отлична
Недостатки: Нет</t>
  </si>
  <si>
    <t>Рудавин Сергей.</t>
  </si>
  <si>
    <t>09.07.2021 08:31</t>
  </si>
  <si>
    <t>Может подписка кончилась</t>
  </si>
  <si>
    <t>Светлана Петрова</t>
  </si>
  <si>
    <t>10.07.2021 14:08</t>
  </si>
  <si>
    <t>Плохо
Почешите приложением или удалите каналы которые блокирует правообладатель не можете с ними проработать моменты пусть сделают подписки как везде на отдельные каналы</t>
  </si>
  <si>
    <t>гер636</t>
  </si>
  <si>
    <t>09.07.2021 08:22</t>
  </si>
  <si>
    <t>Станислав, полюбому голова</t>
  </si>
  <si>
    <t>Alisa Aleksandrovna</t>
  </si>
  <si>
    <t>09.07.2021 08:10</t>
  </si>
  <si>
    <t>Сергей, + Nat Geo Wild</t>
  </si>
  <si>
    <t>Сергей Николаевич</t>
  </si>
  <si>
    <t>09.07.2021 06:41</t>
  </si>
  <si>
    <t>Андрей, и ещё можно смотреть по триколор ТВ канал футбольный.</t>
  </si>
  <si>
    <t>09.07.2021 06:12</t>
  </si>
  <si>
    <t>Голова на тарелке</t>
  </si>
  <si>
    <t>Станислав Антонов</t>
  </si>
  <si>
    <t>05:33</t>
  </si>
  <si>
    <t>09.07.2021 05:33</t>
  </si>
  <si>
    <t>Обновите прошивку</t>
  </si>
  <si>
    <t>Арсен Зайнетдинов</t>
  </si>
  <si>
    <t>03:02</t>
  </si>
  <si>
    <t>09.07.2021 03:02</t>
  </si>
  <si>
    <t>01:29</t>
  </si>
  <si>
    <t>09.07.2021 22:07</t>
  </si>
  <si>
    <t>Всё очень доступно объяснили</t>
  </si>
  <si>
    <t>Дмитрий И.</t>
  </si>
  <si>
    <t>Псков</t>
  </si>
  <si>
    <t>Есть ли перспективы у глобального интернета от Илона Маска (Starlink) в России?</t>
  </si>
  <si>
    <t>Россия боится, что с появлением starlink она не сможет продавать  «безлимитный, сверхскоростной))» спутниковый интернет от триколора</t>
  </si>
  <si>
    <t>Iversat</t>
  </si>
  <si>
    <t>01:01</t>
  </si>
  <si>
    <t>09.07.2021 01:01</t>
  </si>
  <si>
    <t>Здравствуйте id 37129000050596 с недавнего времени пропал архив передач телеканалов, на тех каналах на которых он был, что делать? Приставка gs ac790 прошивку обновляю как только уведомление приходит. Посмотрите пожалуйста может проблема в сигнале...?</t>
  </si>
  <si>
    <t>Михаил Марушин</t>
  </si>
  <si>
    <t>09.07.2021 00:16</t>
  </si>
  <si>
    <t>Он не лает, не кусает, а вот дом охраняет, как настоящая сторожевая  Всего два простых устройства, которые присмотрят</t>
  </si>
  <si>
    <t>Триколор, не шибко то и помогло )) Так-то страница открывается, жаль ошибка 404 и тут висит ))</t>
  </si>
  <si>
    <t>Валерий Тарасенко</t>
  </si>
  <si>
    <t>paper product,text,software,document,electronic device</t>
  </si>
  <si>
    <t>08.07.2021</t>
  </si>
  <si>
    <t>08.07.2021 23:20</t>
  </si>
  <si>
    <t>ТРИКОЛОР ТВ (КОМПЛЕКТ) https://youla</t>
  </si>
  <si>
    <t>Можешь продать теперь только тарелку и голову. Всё остальное смело выкидывай. Этот ресивер уже как года три не ловит триколор.</t>
  </si>
  <si>
    <t>Константин Лозовой</t>
  </si>
  <si>
    <t>БАРАХОЛКА | ТУАПСЕ</t>
  </si>
  <si>
    <t>23:11</t>
  </si>
  <si>
    <t>08.07.2021 23:11</t>
  </si>
  <si>
    <t>Здравствуйте, моб связь билайн плохо ловит, что нормально ловит?</t>
  </si>
  <si>
    <t>@Мегафон ловит, но с перебоями, связь и интернет хорошая только на втором этаже дома, ближе к антенне Триколор  ну и конечно после танца с бубнами</t>
  </si>
  <si>
    <t>Оксана Белова</t>
  </si>
  <si>
    <t>СНТ СН №7 "25 лет ВЦМ" Официальное сообщество</t>
  </si>
  <si>
    <t>08.07.2021 22:36</t>
  </si>
  <si>
    <t>Лутши Fox вернули</t>
  </si>
  <si>
    <t>Алексей Кожухов</t>
  </si>
  <si>
    <t>Достоинства: хлроший
Недостатки: нет
нормальный пульт за такую цену. подошел к двум ресиверам триколор.</t>
  </si>
  <si>
    <t>Юлия Б.</t>
  </si>
  <si>
    <t>08.07.2021 22:15</t>
  </si>
  <si>
    <t>Со всем скоро появится телеканалы ТВЦ HD и Россия 24 HD во всех платформах пока только на IPTV</t>
  </si>
  <si>
    <t>Вован, Ростелеком Калуга на 923 кнопке больше года ТВЦHD а также домашний Рен тв СТС в HD</t>
  </si>
  <si>
    <t>09.07.2021 04:46</t>
  </si>
  <si>
    <t>Триколор в 2021 году. Купить и не пожалеть? Что скрывают продавцы! Самая лучшая приставка</t>
  </si>
  <si>
    <t>@Записки антенщика согласен.  Но какой приёмник наиболее подходящий для работы в качестве клиента в паре B626L? Возможно есть более лучшие или наоборот не очень!</t>
  </si>
  <si>
    <t>Пётр Леженников</t>
  </si>
  <si>
    <t>Достоинства: неплохой конаертор малый шум
Недостатки: не обнарудил
крышка Облучателя надежная</t>
  </si>
  <si>
    <t>21:13</t>
  </si>
  <si>
    <t>08.07.2021 21:36</t>
  </si>
  <si>
    <t>Неудобный интерфейс
v2.5.0</t>
  </si>
  <si>
    <t>Сергей Ложкин</t>
  </si>
  <si>
    <t>08.07.2021 21:07</t>
  </si>
  <si>
    <t>Алексей, Если Вы уверенны на 100% что антенна настроена(что не факт)  , то возможно. Но есть ещё несколько поправок :  сколько лет кабелю; какой диаметр антенны  ? От этого тоже многое зависит.</t>
  </si>
  <si>
    <t>Роман Некрасов</t>
  </si>
  <si>
    <t>08.07.2021 20:43</t>
  </si>
  <si>
    <t>похоже моих фильмов так и не будет</t>
  </si>
  <si>
    <t>09.07.2021 06:08</t>
  </si>
  <si>
    <t>Отличный пульт! Все работает! Даже настраивать не нужно!!!</t>
  </si>
  <si>
    <t>09.07.2021 08:54</t>
  </si>
  <si>
    <t>Приехали домой, а тут как всегда все... Судя по всему, был какой-то скачок напряжения, и у нас теперь не работает</t>
  </si>
  <si>
    <t>Раиль Мухаметзянов это был централизированный скачек был, потому что перестала показывать не только приставка триколор. И речь идёт о подключению к разным телевизорам.</t>
  </si>
  <si>
    <t>Pavel  Sergeev</t>
  </si>
  <si>
    <t>10.07.2021 01:14</t>
  </si>
  <si>
    <t>ТриКолор имеет место быть
Пользуюсь на даче более десяти лет, альтернативы пока не вижу</t>
  </si>
  <si>
    <t>Батя70</t>
  </si>
  <si>
    <t>08.07.2021 19:51</t>
  </si>
  <si>
    <t>Добрый день! Не подскажите в чем может быть проблема ? Антенна настроена правильно, дождя за окном нет ,а картинка на телевизорах ,то появляется, то пропадает.</t>
  </si>
  <si>
    <t>Алексей Белов</t>
  </si>
  <si>
    <t>09.07.2021 04:45</t>
  </si>
  <si>
    <t>626 отличный приёмник, со встроенным WiFi, остальные такие как: 621,622, 528, 527, тоже хороши, но без модуля!</t>
  </si>
  <si>
    <t>08.07.2021 19:13</t>
  </si>
  <si>
    <t>Поменяйте ПО последнию</t>
  </si>
  <si>
    <t>Сергей Ноур</t>
  </si>
  <si>
    <t>08.07.2021 18:20</t>
  </si>
  <si>
    <t>Телеканалы Триколор ТВ, лучше бы добавили RTG TV, RTG HD, EUROSPORT 2 HD, Discovery Chanel 4K, Discovery Chanel HD, Discovery Science HD, Animal Planet HD</t>
  </si>
  <si>
    <t>09.07.2021 01:07</t>
  </si>
  <si>
    <t>Тема безусловно прикольная, но спутник есть спутник, скажите привет триколору в дождливую погоду)</t>
  </si>
  <si>
    <t>Wh1te Devil</t>
  </si>
  <si>
    <t>Жители Климовска</t>
  </si>
  <si>
    <t>08.07.2021 18:31</t>
  </si>
  <si>
    <t>@Mikki Rurk а вы заметили тарифы Триколор спутниковый интернет 20/5 mbps - 3290 руб/43$, 40/10 mbps - 5490 руб/73$ в стране с "дешёвым интернетом". в РФ творение Маска под запретом, тк нельзя ввозить коммуникационные оборудование, что нельзя прослеживать.</t>
  </si>
  <si>
    <t>Aleksey Mogilevskiy</t>
  </si>
  <si>
    <t>Доброго времени всем! Спасибо автору за полезную информацию. Хочу спросить совет в выборе  приёмника - клиента для телевизора 4К. По программе обмен, прислали  приёмних - сервер GS B626L. С подпиской на пакет каналов "Единый Ulfra" какую модель по рекомендуете?</t>
  </si>
  <si>
    <t>08.07.2021 16:50</t>
  </si>
  <si>
    <t>ДВС ! Уважаемая Администрация! Довожу до вашего сведения возмущение жителей п.Садовый ,по поводу плановых отключений</t>
  </si>
  <si>
    <t>Не сказали про отсутствие интернета,раз не работает вышка мобилки и телеф.сеть. Люди работают и учатся по интернету ..Выход:-Сами покупайте эл.генератор и подключайте интернет через Триколор. По личке научу,как питать генератор от баллон.газа-это дешевле,чем бензин.</t>
  </si>
  <si>
    <t>Фан Фахриев</t>
  </si>
  <si>
    <t>Администрация Миякинского района</t>
  </si>
  <si>
    <t>16:41</t>
  </si>
  <si>
    <t>09.07.2021 08:43</t>
  </si>
  <si>
    <t>Приехали домой, а тут как всегда все...
Судя по всему, был какой-то скачок напряжения, и у нас теперь не работает компьютер, приставка триколор, пс3, светильники в одной комнате. У всего оборудования одна проблема - не выдаёт видеосигнал на экраны.
На горячей линии нам порекомендовали все сдать в сервисы, чтобы получить заключения о причинах поломки.
Что сказать? ахуенна...</t>
  </si>
  <si>
    <t>08.07.2021 16:33</t>
  </si>
  <si>
    <t>Да, пополнение библиотеки фильмов по подписке в нашем онлайн-кинотеатре (приложения "Кино Онлайн"/"Кино"/"Триколор Кино</t>
  </si>
  <si>
    <t>Телеканалы Триколор ТВ, добавлено по подписке "Детский" и "Amediateka". Мы все таки более массовую подписку освещаем</t>
  </si>
  <si>
    <t>08.07.2021 16:26</t>
  </si>
  <si>
    <t>Все сделал блок питания.конденсатор другой впаял только по размеру больше и в корпус поместил другой и провод с вилкой запаял к плате, заработала приставка</t>
  </si>
  <si>
    <t>Зёма</t>
  </si>
  <si>
    <t>08.07.2021 15:55</t>
  </si>
  <si>
    <t>Вроде нормально.
v2.5.0</t>
  </si>
  <si>
    <t>papa2304 78</t>
  </si>
  <si>
    <t>Добрый день в прошлом году подключил детские каналы по акции 900 рублей сняли 1200 это как?
v2.5.0</t>
  </si>
  <si>
    <t>Сергей Яковлев</t>
  </si>
  <si>
    <t>Достоинства: Все понравилось</t>
  </si>
  <si>
    <t>si</t>
  </si>
  <si>
    <t>08.07.2021 15:16</t>
  </si>
  <si>
    <t>Не нужно ориентироваться на шкалу сигнала этого приемника. Там и 40% мощности-это нормально.</t>
  </si>
  <si>
    <t>14:59</t>
  </si>
  <si>
    <t>Прекрасное приложение, хотя оплатить с первого раза не получилось.
v2.5.0</t>
  </si>
  <si>
    <t>Светлана Журавлева</t>
  </si>
  <si>
    <t>14.07.2021 12:32</t>
  </si>
  <si>
    <t>Все сразу заработало без проблем! Все отлично. Рекомендую. По крайней мере для одного компьютера с телефона все прекрасно работает.</t>
  </si>
  <si>
    <t>08.07.2021 14:45</t>
  </si>
  <si>
    <t>Cмoтрим бeсплaтнo 14 дней TNT-PREMIER 1. Πеpеxoдим на сайт ТHТ PREMIER https://vk.cc/c3ymE2 и aвторизуeмcя; 2. Hажимаeм</t>
  </si>
  <si>
    <t>Триколор тв подключил и наслаждайся</t>
  </si>
  <si>
    <t>Анастасия Антипова</t>
  </si>
  <si>
    <t>Слегка из 90-Х</t>
  </si>
  <si>
    <t>08.07.2021 14:36</t>
  </si>
  <si>
    <t>Татьяна, может все таки тарелка сбита? Там достаточно 1 см в сторону и сигнал хуже станет</t>
  </si>
  <si>
    <t>Олег, ну 10 каналов вообще пропало</t>
  </si>
  <si>
    <t>Виктор, дом кмно.премиум не кажет,10 каналов вообще пропало</t>
  </si>
  <si>
    <t>08.07.2021 14:08</t>
  </si>
  <si>
    <t>Ну потому что это говноресиверы триколора неспособны ловить мощный сигнал)</t>
  </si>
  <si>
    <t>Артем Курицин</t>
  </si>
  <si>
    <t>08.07.2021 14:06</t>
  </si>
  <si>
    <t>Сегодня ты богат, а завтра – банкрот в деревушке Хреново. Интересно, каково это – иметь всё и остаться ни с чем?  Мы</t>
  </si>
  <si>
    <t>Триколор, админ у меня раньше был DRS -4500 в договоре на него прописан номер оборудования это наверное и есть ID Потом они мне заменили ресивер на модель GS B211 Но на наклейке у него только такая запись GS B211 25.03 2015 18 :37:33 И далее скорей всего номер штрих кода или чего 90 2503 20 15 03 305 20424550 и все</t>
  </si>
  <si>
    <t>Андрей Иванов</t>
  </si>
  <si>
    <t>Телеканал Paramount Comedy и Триколор сняли шоу с популярными стендап-комиками к премьере сериала «Шиттс Крик»</t>
  </si>
  <si>
    <t>/ — мультиплатформенный оператор, развивающий на территории России единое информационное пространство развлечений и сервисов для всей семьи, доступное с любого устройства, в любом месте и вне зависимости от времени. Наряду с ТВ, которое можно смотреть как через спутник, так и в интернете, оператор предлагает клиентам передовые digital-сервисы и услуги, включая онлайн-кинотеатр, умный дом, видеонаблюдение и спутниковый интернет. По итогам 2020 года общая база Триколора составила 12,257 млн домохозяйств, в том числе 10,3 млн подписчиков HDTV. По итогам 1</t>
  </si>
  <si>
    <t>08.07.2021 14:28</t>
  </si>
  <si>
    <t>/  — мультиплатформенный оператор, развивающий на территории России единое информационное пространство развлечений и сервисов для всей семьи, доступное с любого устройства, в любом месте и вне зависимости от времени. Наряду с ТВ, которое можно смотреть как через спутник, так и в интернете, оператор предлагает клиентам передовые digital-сервисы и услуги, включая онлайн-кинотеатр, умный дом, видеонаблюдение и спутниковый интернет. По итогам 2020 года общая база Триколора составила 12,257 млн домохозяйств, в том числе 10,3 млн подписчиков HDTV. По итогам 1 квартала</t>
  </si>
  <si>
    <t>electronic device,text,display device,furniture</t>
  </si>
  <si>
    <t>presentation,business,management,design,lecture</t>
  </si>
  <si>
    <t>10.07.2021 05:27</t>
  </si>
  <si>
    <t>Комплект «Триколор Умный дом» от 2000 руб.</t>
  </si>
  <si>
    <t>SMS отправил</t>
  </si>
  <si>
    <t>downzola</t>
  </si>
  <si>
    <t>08.07.2021 13:38</t>
  </si>
  <si>
    <t>Татьяна, для Вашего приемника этого достаточно</t>
  </si>
  <si>
    <t>paper product,text,document,diagram,software</t>
  </si>
  <si>
    <t>08.07.2021 13:16</t>
  </si>
  <si>
    <t>Показывает?Картинка не спится? Что вам ещё надо?</t>
  </si>
  <si>
    <t>Олег, в 533м</t>
  </si>
  <si>
    <t>13:10</t>
  </si>
  <si>
    <t>08.07.2021 14:51</t>
  </si>
  <si>
    <t>АРШАВИНА У МАЛАХОВА | ЛОРАК И МЕЛАДЗЕ В КИЕВЕ - ЧТО ОНИ ГОТОВЯТ | ОТВЕТ АГУРБАШ НА ОБВИНЕНИЯ</t>
  </si>
  <si>
    <t>@Варвара Катречко ему положено :)) а то как мы узнаем что на тв происходит :))
Я только фильмовые каналы на триколор смотрю, а новости с яндекса и местные паблики.</t>
  </si>
  <si>
    <t>Нина T</t>
  </si>
  <si>
    <t>Дозвезделись</t>
  </si>
  <si>
    <t>08.07.2021 13:22</t>
  </si>
  <si>
    <t>Сегодня ты богат, а завтра – банкрот в деревушке Хреново. Интересно, каково это – иметь всё и остаться ни с чем? 
Мы сняли эксклюзивный выпуск для онлайн-сервиса kino.tricolor.tv, в котором обсуждаем новый ситком «Шиттс Крик» на Paramount Comedy с комиками и актёрами дубляжа 
«Шиттс Крик» рассказывает нам историю о семье миллиардеров , которая разоряется и уезжает жить в захолустье. Сериал уже завоевал любовь на Западе и стал триумфатором премии «Эмми-2020», а теперь приходит в Россию!
 Узнайте новое о сериале в «Блиц Шиттс Шоу» – бэкстейджи со съёмок, впечатления комиков и не вошедшие в эфир моменты – эксклюзивно в Триколоре по ссылке https://ok.me/nZbj</t>
  </si>
  <si>
    <t>08.07.2021 23:24</t>
  </si>
  <si>
    <t>Сегодня ты богат, а завтра – банкрот в деревушке Хреново. Интересно, каково это – иметь всё и остаться ни с чем? 
Мы сняли эксклюзивный выпуск для онлайн-сервиса kino.tricolor.tv, в котором обсуждаем новый ситком «Шиттс Крик» на Paramount Comedy с комиками и актёрами дубляжа 
«Шиттс Крик» рассказывает нам историю о семье миллиардеров , которая разоряется и уезжает жить в захолустье. Сериал уже завоевал любовь на Западе и стал триумфатором премии «Эмми-2020», а теперь приходит в Россию!
 Узнайте новое о сериале в «Блиц Шиттс Шоу» – бэкстейджи со съёмок, впечатления комиков и не вошедшие в эфир моменты – эксклюзивно в Триколоре по ссылке https://clck.ru/VzhDz</t>
  </si>
  <si>
    <t>https://scontent-hel3-1.xx.fbcdn.net/v/t1.6435-9/e15/q75/p960x960/214169464_4067038740017032_8426499596418024058_n.jpg?_nc_cat=103&amp;ccb=1-3&amp;_nc_sid=730e14&amp;_nc_ohc=1PA5lFJkFJYAX96f2PS&amp;_nc_ad=z-m&amp;_nc_cid=0&amp;_nc_ht=scontent-hel3-1.xx&amp;tp=21&amp;oh=05c84122db8ec5e6778e74c91a08eced&amp;oe=60ECC59F</t>
  </si>
  <si>
    <t>ИК-приёмник внешний LF-DX8 для ресиверов Триколор ТВ</t>
  </si>
  <si>
    <t>Достоинства: Хороший ИК-приёмник внешний LF-DX8 для ресиверов Триколор ТВ
Недостатки: Нет
Всем рекомендую</t>
  </si>
  <si>
    <t>Анатолий М.</t>
  </si>
  <si>
    <t>08.07.2021 13:52</t>
  </si>
  <si>
    <t>Нет возможности ввести редакцию в данные при смене номера договора , номера телефона, т.к. не предлагается ни новая регистрация, при этом нет возможности ввойти в личный кабинет. Очень плохое приложение, сделано, чтобы преодолевать сплошные препятствия
v2.5.0</t>
  </si>
  <si>
    <t>Татьяна, какой приемник у Вас?</t>
  </si>
  <si>
    <t>Триколор ТВ, варианты оплаты?</t>
  </si>
  <si>
    <t>Я из 2021 года я оплатил за детский пакет через онлайн сбербанк но чтото еще каналы не работаю подскажи пожалуста но заплатил 200 рублей</t>
  </si>
  <si>
    <t>ИГРОМАН ТВ</t>
  </si>
  <si>
    <t>09.07.2021 06:01</t>
  </si>
  <si>
    <t>Работает.</t>
  </si>
  <si>
    <t>08.07.2021 15:56</t>
  </si>
  <si>
    <t>А нахрена вам канал?,когда есть интернет,путинский зомбо-триколор разумные давно не смотрят!</t>
  </si>
  <si>
    <t>Lev Podvjznikov</t>
  </si>
  <si>
    <t>... Если что, какое ваше дело?!</t>
  </si>
  <si>
    <t>08.07.2021 13:53</t>
  </si>
  <si>
    <t>доход это совсем разные вещи. Туда же и выбор места владения частным домом, место поездок автодомом/кемпинги. Адекватное решение, адекватная цена, но не для всех. Как и сравнение существующих систем спутникового интернета/связи (покрытие, скорость, цены) из десятков спутников с вариантом из тысяч спутников. И да, первый же пример Триколор спутниковый интернет 20/5 mbps - 3290 руб/43$, 40/10 mbps - 5490 руб/73$ в стране с "дешёвым интернетом" .</t>
  </si>
  <si>
    <t>08.07.2021 14:57</t>
  </si>
  <si>
    <t>TOX1 TV box [Android]</t>
  </si>
  <si>
    <t>/forum/index.php?act=findpost&amp;pid=107864238  verka_g, А вы случайно IPTV смотрите не посредством бесплатных в интернете найденных плейлистов?Я , например, смотрю ТВ через платные приложения Movix и Триколор ТВ за официальную абонентскую плату и ничего из вами описанного не наблюдаю.Да и в Smarttube next  тоже всё нормально.У меня прошита 1.3атв от Татарина, интернет по кабелю 300мб/с.</t>
  </si>
  <si>
    <t>Barbulinnew</t>
  </si>
  <si>
    <t>08.07.2021 12:55</t>
  </si>
  <si>
    <t>При попытке войти в приложение через введение кода, присланного на номер телефте, сразу после введения цифр, приложение выдаёт сообщение, что код просрочен(!), при всём том, что прошло секунд 8 после его получения! Зачем мне такое приложение?!
v2.5.0</t>
  </si>
  <si>
    <t>А Л</t>
  </si>
  <si>
    <t>08.07.2021 12:37</t>
  </si>
  <si>
    <t>тарелка 55 см? с 60см будет выше качество. Хотя мне и 55см хватает. у меня на е501 самое малое 43 качество</t>
  </si>
  <si>
    <t>09.07.2021 07:06</t>
  </si>
  <si>
    <t>Огромный выбор товаров на любой вкус.</t>
  </si>
  <si>
    <t>Виктория Самохина</t>
  </si>
  <si>
    <t>08.07.2021 12:16</t>
  </si>
  <si>
    <t>Здравствуйте. Сила сигнала 100, а качество от 37 до 52. Конвертер поменяла, провод нормальный. Почему качество низкое и что делать? Тарелка стоит правильно.</t>
  </si>
  <si>
    <t>08.07.2021 11:55</t>
  </si>
  <si>
    <t>Рен тв HD нужно сделать , Россия 24 HD ,Твц HD да и все каналы которые входят на цифровой приставке</t>
  </si>
  <si>
    <t>11:26</t>
  </si>
  <si>
    <t>08.07.2021 11:26</t>
  </si>
  <si>
    <t>Телеканалы Триколор ТВ, какие я не знаю дальнобойщики жду  убойная сила улица разбитых фонарей все серии</t>
  </si>
  <si>
    <t>08.07.2021 11:31</t>
  </si>
  <si>
    <t>Крайне негативное отношение к своим абонентам, нет ни какой возможности связаться с оператором, а точнее варианты есть только ни один не работает и если у Вас возникнут проблемы связанные с триколор это Ваши проблемы, а не триколор</t>
  </si>
  <si>
    <t>Александр Ч</t>
  </si>
  <si>
    <t>08.07.2021 11:54</t>
  </si>
  <si>
    <t>тарелка триколор ок***а когда увидела это!</t>
  </si>
  <si>
    <t>Павел Прухин</t>
  </si>
  <si>
    <t>08.07.2021 10:58</t>
  </si>
  <si>
    <t>Телеканалы Триколор ТВ, Ничего страшного можно перенастроить ,зайти в настройки не поставить +0мск и убрать вещание Интернет и поставить Спутник и Интернет</t>
  </si>
  <si>
    <t>08.07.2021 11:06</t>
  </si>
  <si>
    <t>Николай, только каналы сбиваются немного из за этого</t>
  </si>
  <si>
    <t>08.07.2021 10:53</t>
  </si>
  <si>
    <t>Виктор, хорошо было бы, может и договорятся</t>
  </si>
  <si>
    <t>10:39</t>
  </si>
  <si>
    <t>08.07.2021 10:39</t>
  </si>
  <si>
    <t>Подслушано Волхов</t>
  </si>
  <si>
    <t>08.07.2021 10:45</t>
  </si>
  <si>
    <t>Триколор, благодарим Вас. Очень ждём поскорее MTV 80's</t>
  </si>
  <si>
    <t>08.07.2021 10:32</t>
  </si>
  <si>
    <t>Добрый вечер. Ресиверы ремонтируют в Сиверской?</t>
  </si>
  <si>
    <t>А что по русски не сказать , приемник триколор</t>
  </si>
  <si>
    <t>Николай Волков</t>
  </si>
  <si>
    <t>08.07.2021 10:24</t>
  </si>
  <si>
    <t>Триколор, есть ли новости по поводу телеканала, ожидаемого многими, MTV 80's?</t>
  </si>
  <si>
    <t>Достоинства: Заполнил договор, отправил по указанному электронному адресу фото и через час в личном кабинете в приложении отобразилось, что услуга активна. Установил в телевизор сделал автонастройку каналов и всё. Смотрю теперь заявленные в пакете каналы. 30 дней бесплатно пробный период. 
Недостатки: Пока нет.</t>
  </si>
  <si>
    <t>Павел С.</t>
  </si>
  <si>
    <t>Здравствуйте. Вчера оплатила пакет"Единый" тв не показывает. Статус не меняется. Оплата закончилась 22.06.21. ID</t>
  </si>
  <si>
    <t>Не могу зайти в личный кабинет что бы посмотреть есть ли эти деньги на счету</t>
  </si>
  <si>
    <t>Наталья Мордасова</t>
  </si>
  <si>
    <t>Мостовая</t>
  </si>
  <si>
    <t>Саня, я знаю. это после второй оплаты. Первая оплата не понятно куда ушла.</t>
  </si>
  <si>
    <t>08.07.2021 10:05</t>
  </si>
  <si>
    <t>Здравствуйте. Ресивер GS B522 качество и сила сигнала 0. Подключаю сам модуль НТВ показывает. В чем может быть причина</t>
  </si>
  <si>
    <t>Антенна повернулась</t>
  </si>
  <si>
    <t>08.07.2021 09:51</t>
  </si>
  <si>
    <t>MTV 80's добавьте уже наконец</t>
  </si>
  <si>
    <t>Виктор Марфин</t>
  </si>
  <si>
    <t>09:33</t>
  </si>
  <si>
    <t>08.07.2021 09:46</t>
  </si>
  <si>
    <t>В порядке убывания вероятности: Сброс в заводские настройки; блок питания не выдает нужный ток; в конверторе сдохла левая (горизонтальная) поляризация.</t>
  </si>
  <si>
    <t>Сева Березовец</t>
  </si>
  <si>
    <t>08.07.2021 09:25</t>
  </si>
  <si>
    <t>Санал, уже никогда не вернуть</t>
  </si>
  <si>
    <t>08.07.2021 09:23</t>
  </si>
  <si>
    <t>Санал, С 1 июля 2021г МТВ ХИДС Он УЖЕ прекратил трансляцию на территории России.
у всех операторов. РФ</t>
  </si>
  <si>
    <t>08.07.2021 14:24</t>
  </si>
  <si>
    <t>Купили новый телек Самсунг 55”. Все, что по интернету смотрим-идеального качества, но каналы так себе, неприятно</t>
  </si>
  <si>
    <t>Подключить цифру. И каналы качеством не ниже HD. вам же есть магазин приложений. Есть и НТВ+ и Триколор. Поставили приложение - купили пакет на месяц, оценили где лучше. А на Самсунге на халяву в цифре можно очень много каналов смотреть.</t>
  </si>
  <si>
    <t>Иванов Павел</t>
  </si>
  <si>
    <t>Делимся нужными контактами DNК.wiki</t>
  </si>
  <si>
    <t>08.07.2021 08:59</t>
  </si>
  <si>
    <t>Лучшие верните телеканал мтв хидс в триколор ТВ</t>
  </si>
  <si>
    <t>08:50</t>
  </si>
  <si>
    <t>08.07.2021 08:50</t>
  </si>
  <si>
    <t>Здравствуйте. Ресивер GS B522 качество и сила сигнала 0. Подключаю сам модуль НТВ показывает. В чем может быть причина неисправности Триколора?</t>
  </si>
  <si>
    <t>Сергей Романовский</t>
  </si>
  <si>
    <t>08.07.2021 08:27</t>
  </si>
  <si>
    <t>Может надо кому</t>
  </si>
  <si>
    <t>Elena, первый от цифровой приставки, остальные 2 от ресиверов триколор вроде.</t>
  </si>
  <si>
    <t>Алёшенька Кыштымский</t>
  </si>
  <si>
    <t>Отдам БЕСПЛАТНО Озёрск (Челябинская область)</t>
  </si>
  <si>
    <t>08:14</t>
  </si>
  <si>
    <t>Достоинства: Недорого, пластик качественный шнур толстый
Недостатки: Нет
Быстрая доставка дошло без изянов</t>
  </si>
  <si>
    <t>Артём К.</t>
  </si>
  <si>
    <t>08:06</t>
  </si>
  <si>
    <t>08.07.2021 08:09</t>
  </si>
  <si>
    <t>Приложение не открывается и не обновляется.
v2.4.0</t>
  </si>
  <si>
    <t>Galina Ghigulina</t>
  </si>
  <si>
    <t>09.07.2021 06:03</t>
  </si>
  <si>
    <t>Пульт не работает!!!</t>
  </si>
  <si>
    <t>07:44</t>
  </si>
  <si>
    <t>08.07.2021 07:44</t>
  </si>
  <si>
    <t>Услуги по: - настройки и установки спутниковых антенн (Триколор; НТВ+, МТС ТВ) - настройки цифрового ТВ (20</t>
  </si>
  <si>
    <t>Здравствуйте! На 34км на дачах "ловить" будет? И стоимость?</t>
  </si>
  <si>
    <t>Ирина Иванова</t>
  </si>
  <si>
    <t>Барахолка Братск | ОБЪЯВЛЕНИЯ</t>
  </si>
  <si>
    <t>07:20</t>
  </si>
  <si>
    <t>08.07.2021 07:27</t>
  </si>
  <si>
    <t>Санал, Здравствуйте, поменяют "VH1" на "МТВ 00s"</t>
  </si>
  <si>
    <t>08.07.2021 03:44</t>
  </si>
  <si>
    <t>Кто знает, что происходит с тарелкой Триколор, что то совсем плохо показывает, все заикается. Целый день такая дребедень</t>
  </si>
  <si>
    <t>Как гроза тоже сигнал пропадает, хотя сила 100,а качество 43.</t>
  </si>
  <si>
    <t>Сергей Кошкин</t>
  </si>
  <si>
    <t>Подслушано Арти</t>
  </si>
  <si>
    <t>Париж</t>
  </si>
  <si>
    <t>02:08</t>
  </si>
  <si>
    <t>08.07.2021 15:22</t>
  </si>
  <si>
    <t>Нет сигнала триколор тв</t>
  </si>
  <si>
    <t>фотку давай этого нет сигнала</t>
  </si>
  <si>
    <t>01:57</t>
  </si>
  <si>
    <t>08.07.2021 01:57</t>
  </si>
  <si>
    <t>Накипело, как поменяли приставку, в течении 2 лет ремонтировали раза 3. Сейчас как включишь телевизор, долго ждём пока</t>
  </si>
  <si>
    <t>Конечно поставить ростелеком:)
Чтобы понять, как охеренно было жить с Триколором.
Правда Ростелеком, не Трико, от него нельзя просто взять и отказаться:))))))</t>
  </si>
  <si>
    <t>08.07.2021 01:42</t>
  </si>
  <si>
    <t>Россия 24 в HD смотреть кремлёвскую пропоганду.ТВЦ тоже пропоганда.</t>
  </si>
  <si>
    <t>Слава Комиссаренко</t>
  </si>
  <si>
    <t>01:38</t>
  </si>
  <si>
    <t>09.07.2021 05:15</t>
  </si>
  <si>
    <t>⚡️ В Подмосковье парашютисты выполнили прыжок с самым большим триколором.</t>
  </si>
  <si>
    <t>Сигнал на спутниковую тарелку пытались поймать?</t>
  </si>
  <si>
    <t>Dmitry Nevzorov</t>
  </si>
  <si>
    <t>Anatoliy Krivosheya</t>
  </si>
  <si>
    <t>08.07.2021 01:22</t>
  </si>
  <si>
    <t>Всё хорошо,но на устройстве андроид через телевизор не работает
v2.5.0</t>
  </si>
  <si>
    <t>Лариса Шарипова</t>
  </si>
  <si>
    <t>08.07.2021 01:16</t>
  </si>
  <si>
    <t>ПОДСКАЖИТЕ ПОЖАЛУЙСТА КТО МОЖЕТ НАСТРОИТЬ ТРИКОЛОР ,СЛЕТЕЛИ КАНАЛЫ. ЗАДОЛБАЛА УЖЕ ЭТА ТАРЕЛКА</t>
  </si>
  <si>
    <t>Нормальные люди давно телевизор выкинули на помойку.</t>
  </si>
  <si>
    <t>Роман Рябов</t>
  </si>
  <si>
    <t>Подслушано Гвардейск</t>
  </si>
  <si>
    <t>09.07.2021 06:02</t>
  </si>
  <si>
    <t>Пульт работает.</t>
  </si>
  <si>
    <t>00:42</t>
  </si>
  <si>
    <t>08.07.2021 00:51</t>
  </si>
  <si>
    <t>Да как бы вам сказать что не особо) глянул на наш спутниковый инет триколор и там 10 мбит за 2500+- в месяц. Так что плата в 7000 за 100+ мбит вполне себе на уровне . Другой вопрос что в глубинке там где это нужно  денег на такое действительно нема, да и 99.9% у нас это даже не запустят по причине в конце видео</t>
  </si>
  <si>
    <t>Nikita 123</t>
  </si>
  <si>
    <t>08.07.2021 00:31</t>
  </si>
  <si>
    <t>Сергей, Ресивер для Триколор</t>
  </si>
  <si>
    <t>Ирина Калинина</t>
  </si>
  <si>
    <t>00:27</t>
  </si>
  <si>
    <t>09.07.2021 06:21</t>
  </si>
  <si>
    <t>Samsung Телевизор UE55TU8000UXRU, 55", UHD, Smart TV, Wi-Fi, DVB-T2/C/S2</t>
  </si>
  <si>
    <t>Боялись, что придет разбитый. Но нет, пришел целый, не открытый ни кем, проверили на пункте выдачи в г. зеленокумск . Со старым плазменным телевизором разница в яркости цветов и размер различный, ну и конечно функции! Что очень удобно, так это пульт! Который переключает и триколор. Одним пультом можно прибавлять и убавлять звук на телевизоре и на триколоре.От ресивера пульт теперь не нужен вовсе. Единсвенныйминус-хрупкий экран. Боюсь даже пыль вытереть. Ну и с маленькими детьми постоянный страх, как бы не кинули, что-то в экран... Экран ооочень хрупкий.</t>
  </si>
  <si>
    <t>Насият</t>
  </si>
  <si>
    <t>grass,ball,sports equipment,goal,soccer ball,plant,football equipment</t>
  </si>
  <si>
    <t>yard,sport venue,football,games,stadium,sports,ball game,competition,championship,lawn</t>
  </si>
  <si>
    <t>Достоинства: работает отлично
Недостатки: нет</t>
  </si>
  <si>
    <t>Марина З.</t>
  </si>
  <si>
    <t>07.07.2021</t>
  </si>
  <si>
    <t>23:48</t>
  </si>
  <si>
    <t>09.07.2021 20:30</t>
  </si>
  <si>
    <t>Хороший блок, главное работает</t>
  </si>
  <si>
    <t>09.07.2021 05:28</t>
  </si>
  <si>
    <t>Ноль баллов
Почти никогда не пишу отзывы, но тут захотелось. Редкостный отстой, а не приложение. У меня дома пропал сигнал с Триколора, решила посмотреть через приложение. Мой ID приложение не приняло, хотя я за вещание деньги плачу вообще-то. Каналов почти никаких нет, практически весь контент по подписке. Смысл данного приложения? Если нельзя смотреть те каналы, за которые уже и так деньги заплачены</t>
  </si>
  <si>
    <t>Marine-laFille</t>
  </si>
  <si>
    <t>23:23</t>
  </si>
  <si>
    <t>все пришло в комплекте, подключила и теперь работает второй телевизор и это прекрасно</t>
  </si>
  <si>
    <t>08.07.2021 04:00</t>
  </si>
  <si>
    <t>Lg55. Вообще эфирные каналы не смотрю. Только через интернет смарт ТВ приложения: триколор ТВ,  билайн ТВ.  Даже не пробовал подключать цифровые 20 каналов через антенну. Смысла нет.</t>
  </si>
  <si>
    <t>Илсаф Сабиров</t>
  </si>
  <si>
    <t>Триколор поставьте и смотрите то что надо в превосходном качестве</t>
  </si>
  <si>
    <t>Слезко Олег</t>
  </si>
  <si>
    <t>07.07.2021 22:37</t>
  </si>
  <si>
    <t>Starlink, как и многие другие проекты Илона Маска, развивается невероятными темпами. Разработка началась всего шесть лет</t>
  </si>
  <si>
    <t>Василий, да в Верхнем Зажопинске про удаленку только по первому каналу слышат. Какое самое то? 7 косарей за месяц интернета в России - это Овер дохера. Спутниковый триколор два косаря стоит. А в населённых пунктах можно и вовсе мобильным инетом пользоваться за копейки.</t>
  </si>
  <si>
    <t>Алексей Кругликов</t>
  </si>
  <si>
    <t>808.media</t>
  </si>
  <si>
    <t>07.07.2021 22:06</t>
  </si>
  <si>
    <t>Логическое завершение в создании семейства каналов десятилетий.</t>
  </si>
  <si>
    <t>07.07.2021 21:54</t>
  </si>
  <si>
    <t>СОЗДАЙ СВОЙ ТАРИФ Представьте, что у вас выпала возможность создать свой собственный тариф в нашей компании. Какой бы</t>
  </si>
  <si>
    <t>Убрал бы почти все каналы  и составил примерно как у триколора (каналы с фильмами) ну и плюс пакет матч (чтобы смотреть английский футбол)</t>
  </si>
  <si>
    <t>Кирилл Васильцов</t>
  </si>
  <si>
    <t>Трайтэк</t>
  </si>
  <si>
    <t>08.07.2021 03:50</t>
  </si>
  <si>
    <t>Нет с ДВД там есть конденсатор 470v и 25mF</t>
  </si>
  <si>
    <t>07.07.2021 22:26</t>
  </si>
  <si>
    <t>Я чет не понимаю вот прямо восторгов. Спутниковый интернет это для вас это ,что за диво дивное блять?  Это супер крутая технология ? Да Маск безусловно развил и приумножил возможности подобного вида устройств, но ебнврт Триколор как же предоставляет доступ в интернет через спутник, и до триколора тоже был интернет спутниковый. И все это работало и работает до сегодняшнего дня.</t>
  </si>
  <si>
    <t>Костя</t>
  </si>
  <si>
    <t>07.07.2021 21:59</t>
  </si>
  <si>
    <t>Услуга Дата окончания
Единый 30.06.2022</t>
  </si>
  <si>
    <t>Саня Раменский</t>
  </si>
  <si>
    <t>Работает , все подошло</t>
  </si>
  <si>
    <t>Ксения</t>
  </si>
  <si>
    <t>Конденсатор подлиннее родного,не входит в родной корпус придется чот придумать корпус искать подходящий даа и рисковать не охота подключать к ресиверу,не мой.</t>
  </si>
  <si>
    <t>Старый наверное?Конденсатор.</t>
  </si>
  <si>
    <t>Гавриленков Леонид</t>
  </si>
  <si>
    <t>Быстрая доставка, пульт работает, все класс!</t>
  </si>
  <si>
    <t>07.07.2021 21:18</t>
  </si>
  <si>
    <t>Дмитрий, я в последнее время смотрю только скай спорт ф1 и то во время гонок ф1, ну и иногда тв 3 слепая , все остальное это ютюб и разные приложения для онлайн просмотра (типа торрент тв итп) дети только ютюб , детских каналов полно но им это не интересно</t>
  </si>
  <si>
    <t>Найди каналы в авторежиме. Сбой ничего страшного.</t>
  </si>
  <si>
    <t>Профессор Куропатов</t>
  </si>
  <si>
    <t>Была такая проблема, заменил блок питания и стало все хорошо.</t>
  </si>
  <si>
    <t>владимир сафонов</t>
  </si>
  <si>
    <t>07.07.2021 20:27</t>
  </si>
  <si>
    <t>Absolute radio UK 1215 khz. Маломощная радиостанция. Вещает из Лондона. Можно "поймать" ее только после полуночи при</t>
  </si>
  <si>
    <t>слушать можно на спутнике Eutelsat 9B at 9.0°E на антенну триколора,но поменять на линейный конвертор..12092 H DVB-S2 8PSK 27500 3/4</t>
  </si>
  <si>
    <t>Николай Расторопов</t>
  </si>
  <si>
    <t>Кто любит слушать средние и короткие волны</t>
  </si>
  <si>
    <t>08.07.2021 16:44</t>
  </si>
  <si>
    <t>Хочу уверить всех.  В Триколор.сити все хорошо. Мой платеж был зачислен точно и в срок.  Читая отзывы в интернете ужаснулся и я даже звонил в Триколор, где уверили в полной надежности партнера. Пользоваться можно смело. Ужасные отзывы фейк</t>
  </si>
  <si>
    <t>Куроптев Олег</t>
  </si>
  <si>
    <t>07.07.2021 19:58</t>
  </si>
  <si>
    <t>Зря Вы , у меня канал Феникс плюс есть , сейчас идёт фильм " Неравный брак "</t>
  </si>
  <si>
    <t>Татяна Космачева</t>
  </si>
  <si>
    <t>07.07.2021 20:15</t>
  </si>
  <si>
    <t>Здорово. Не выходя из дома пополяешь продлеваешь
v2.5.0</t>
  </si>
  <si>
    <t>Яхита Бараева</t>
  </si>
  <si>
    <t>07.07.2021 20:10</t>
  </si>
  <si>
    <t>А у нас есть спутниковый интернет от Триколор ТВ))) и такая скорость и не снилось...</t>
  </si>
  <si>
    <t>КИБЕР ФУТБОЛ</t>
  </si>
  <si>
    <t>07.07.2021 19:26</t>
  </si>
  <si>
    <t>Как будет в триколор ТВ</t>
  </si>
  <si>
    <t>07.07.2021 18:56</t>
  </si>
  <si>
    <t>Триколор, почему так долго решение не можете определить и поставить состав каналов) мне нравится этот канал а вы сняли с эфира) верните мне этот канал либо я уйду от вас и перейду провайдер буду наслаждаться своим любимым каналом) я не могу никак посмотреть свой сериал Танюшу, вы там наслаждаетесь все серии смотрите, а мы свиньи сидим и скучаем без любимого канала) Чтоб вам Бог наказал за наш любимый канал)</t>
  </si>
  <si>
    <t>Пульт для Триколора подошёл, они же продаются в офисах только дороже</t>
  </si>
  <si>
    <t>Пользовался интернетом от триколор тв. Могу сказать что за 5490р в месяц 220гб очень мало, после чего скорость не выше 300килобайт а денег дерут море. Для России хороший вариант Илона Маска</t>
  </si>
  <si>
    <t>Роман</t>
  </si>
  <si>
    <t>Стоит посотреть цены на спутниковый интернет триколора и газпрома, которые максимум 40 мбит/с заявляют (на деле: ping 1000, скорость закачки 10 мбит, отдачи 1 мбит)</t>
  </si>
  <si>
    <t>Mister Try</t>
  </si>
  <si>
    <t>18:38</t>
  </si>
  <si>
    <t>Там, где актуален спутниковый интеренет. Конечно если у тебя в доме есть оптика или даже витая пара - это невыгодно.
А вот где спутниковый интернет - единственный вариант, там это вполне окей. У того же триколора 5,5к/мес. стоит хреновых 40/10Мб/сек.
А уж где-нибудь в глубокой жопе на вахте 100+мб/сек. за 7к/мес. - вообще халява.</t>
  </si>
  <si>
    <t>Денис Краснов</t>
  </si>
  <si>
    <t>Триколор стоит тоже около 50-60 долларов в месяц + скорость говно</t>
  </si>
  <si>
    <t>Smuzi Play</t>
  </si>
  <si>
    <t>07.07.2021 18:38</t>
  </si>
  <si>
    <t>Татьяна, это бесполезно они не добавят в Сибири так, как этот канал в ходит только в Москве. Поэтому можете тарелку сломать и подключиться провайдер Игра сервис номер тел 8-800-234-39-13 бесплатно! Удачи Вам подключиться пакет стандартный)</t>
  </si>
  <si>
    <t>08.07.2021 05:58</t>
  </si>
  <si>
    <t>TECHALL</t>
  </si>
  <si>
    <t>Достоинства: Доступные цены, есть из чего выбрать
Недостатки: Нет.
заказывал на этом сайте комплект для спутникoвого ТВ Триколор UHD Европа. В нём есть модуль с условным доступом. Полный комплект можно купить примерно за четыре тысячи. Уже устанoвил и пользуемся всей семьёй. Кoнечно, не сравнить с тем, что было раньше, пару неинтересных каналов. Даже качество картинки улучшилось.</t>
  </si>
  <si>
    <t>Елисей Панкратов</t>
  </si>
  <si>
    <t>07.07.2021 18:24</t>
  </si>
  <si>
    <t>Александр, ну уж не щнаю, давно это было, в 1996 году купил спутниковый комплект, тарелка, приёмник Pace. Так вот только зная что спутники находятся на юге настроил иделюально, выставил частоту канала и стал тихонько поворачивать антену, настроил за 5 минут</t>
  </si>
  <si>
    <t>Александр Кузьмин</t>
  </si>
  <si>
    <t>Кому он нужен этот детский. Верните канал Феникс плюс кино в Сибири все абоненты просят, а вы не можете принять меры?</t>
  </si>
  <si>
    <t>Татьяна Горбунова</t>
  </si>
  <si>
    <t>07.07.2021 18:18</t>
  </si>
  <si>
    <t>08.07.2021 05:31</t>
  </si>
  <si>
    <t>Измеритель уровня сигнала Green Line SF-04</t>
  </si>
  <si>
    <t>Достоинства: Очень простой и понятный тестер. От грубой совсем до тонкой подстройки можно получить идеальный вариант позиционирования спутниковой тарелки. Несравнимо удобнее, чем ориентироваться на две полоски (сила и качество сигнала) на ТВ (в меню настройки) от приставки при выборе мастера настройки Триколор.
Вызов мастера настройки - это время теряешь и от 2 000 р если звезды сойдутся... Это маленькая коробочка сэкономила мне время и деньги, за что спасибо).</t>
  </si>
  <si>
    <t>Alexey Galibin</t>
  </si>
  <si>
    <t>output device,electronic device,gadget,printer,computer hardware,computer</t>
  </si>
  <si>
    <t>GL-101 Конвертер на 1 выход для Триколор ТВ и НТВ плюс SINGL К+ GREENLINE GL-101 SRL UHD круговой поляризации</t>
  </si>
  <si>
    <t>Достоинства: Менял на даче умерший родной конвертер Триколор. Сразу сигнал 100% качество 76% - такого с родным никогда не показывал. На прошлых неделях была непогода - ни разу не "запикселил" экран - хотя раньше такое в грозу бывало. Отличный не дорогой вариант.</t>
  </si>
  <si>
    <t>medicine</t>
  </si>
  <si>
    <t>07.07.2021 17:45</t>
  </si>
  <si>
    <t>Ваня, Я заходил сайт cableman.ru и контакте сообщество mtv там не сказано что mtv hits ушёл из россии а это значит он вещает в россии это просто триколор тв отказался</t>
  </si>
  <si>
    <t>07.07.2021 18:14</t>
  </si>
  <si>
    <t>Приложение хорошее но хорошо бы сделать получение пароля тв почтой.
v2.5.0</t>
  </si>
  <si>
    <t>рома ефимов</t>
  </si>
  <si>
    <t>08.07.2021 10:17</t>
  </si>
  <si>
    <t>Убогие каналы по завышенному ценнику.</t>
  </si>
  <si>
    <t>Борис Бычков</t>
  </si>
  <si>
    <t>07.07.2021 17:29</t>
  </si>
  <si>
    <t>В Магадане нашли пакеты для мусора в цветах российского триколора и с символикой Кремля "Патриотичные" мешки настолько</t>
  </si>
  <si>
    <t>Да эти пакеты были предназначены для сбора и хранения в них баек сказочного.
Чтобы в последствии передать их новым поколениям как библию,коран,или другое.
И чтобы люди свято верили всему им сказанному,не задавая лишних вопросов и не юзая в треклятом интернете.</t>
  </si>
  <si>
    <t>Сергей Русанов</t>
  </si>
  <si>
    <t>Актуальные новости</t>
  </si>
  <si>
    <t>07.07.2021 17:17</t>
  </si>
  <si>
    <t>а RTG хоть в плохоньком качестве не пора ли?</t>
  </si>
  <si>
    <t>Сергей Головишников</t>
  </si>
  <si>
    <t>07.07.2021 17:56</t>
  </si>
  <si>
    <t>Успейте подключить пакет каналов «Детский» по старой цене с новыми возможностями!
Подписка доступна как на спутнике, так и в онлайне, поэтому оформить её может практически каждый 
 21 телеканал с познавательными и развивающими телепередачами, развлекательными шоу и старыми добрыми сказками.
 Огромная онлайн-библиотека мультфильмов с любимыми героями.
 Возможность смотреть детский контент онлайн на пяти устройствах с одного Триколор ID.
 Безопасная среда, где ребёнок смотрит только те мультики, фильмы и передачи, которые подходят ему по возрасту.
Внимание ❗️ С 19 июля стоимость годовой подписки увеличится на 25 рублей в месяц и составит 1500 рублей, а месячной – 250 рублей вместо прежних 200 рублей. 
Подробности на сайте  https://ok.me/AFWj</t>
  </si>
  <si>
    <t>08.07.2021 10:18</t>
  </si>
  <si>
    <t>Брали там триколор все устроило</t>
  </si>
  <si>
    <t>Марина Павленко</t>
  </si>
  <si>
    <t>07.07.2021 18:41</t>
  </si>
  <si>
    <t>https://scontent.fbkk12-2.fna.fbcdn.net/v/t1.6435-9/p960x960/213326625_4064733823580857_8875381575828503429_n.png?_nc_cat=104&amp;ccb=1-3&amp;_nc_sid=730e14&amp;_nc_ohc=wx9NBQOtLq4AX8-6y3b&amp;_nc_ad=z-m&amp;_nc_cid=0&amp;_nc_ht=scontent.fbkk12-2.fna&amp;tp=30&amp;oh=6a2ab468dbb57ab68b11876a5634cbdd&amp;oe=60EB8C2C</t>
  </si>
  <si>
    <t>За день оставили заявку , обещали приехать. Но увы! Не следят за своими словами. Как говорится шарашкина контора</t>
  </si>
  <si>
    <t>Наташа Н.</t>
  </si>
  <si>
    <t>Сасово</t>
  </si>
  <si>
    <t>17:07</t>
  </si>
  <si>
    <t>07.07.2021 17:07</t>
  </si>
  <si>
    <t>Ну, понятное дело, что это пока только развивается. Но все же пусть идут лесом с такими ценами и марокой. Проще спутниковый интернет от Триколора бахнуть.</t>
  </si>
  <si>
    <t>Захар Матвеев</t>
  </si>
  <si>
    <t>Андроид</t>
  </si>
  <si>
    <t>paint,text,painting</t>
  </si>
  <si>
    <t>07.07.2021 17:04</t>
  </si>
  <si>
    <t>Суд Петербурга запретил ссылки на мультфильм Happy Tree Friends — эксперты признали его вредящим «духовно-нравственному</t>
  </si>
  <si>
    <t>Ой какая клоунада!!! А ведь каких-то 13 лет назад, на спутнике Eutulsat V4(Триколор ТВ), был канал НСТ - Настоящее Страшное Телевидение, и там этих чудиков крутили прямо днём, как раз, когда подростки днём приходили со школы. Причём DRE кодировки там, я могу ошибаться, но вроде не было. То есть, канал спокойно находился автопоиском приёмника. Дальше больше, у меня в посёлке городского типа, в 2008 году, кабельщики крутили почти год этот НСТ, потом заменили на... 2X2, где тоже тогда жесткача хватало. Это не говоря о том, что куча серий этих Happy Tree Friends гуляло по болванкам и попадало детям в руки ещё быстрее. И ничего, никто идиотом не вырос.</t>
  </si>
  <si>
    <t>Александр Рачев</t>
  </si>
  <si>
    <t>DTF</t>
  </si>
  <si>
    <t>Савинский</t>
  </si>
  <si>
    <t>07.07.2021 21:56</t>
  </si>
  <si>
    <t>Триколор покажет концерт к юбилею Владимира Шаинского с участием звезд эстрады</t>
  </si>
  <si>
    <t>композитора. Их исполнят звезды российской эстрады разных поколений: Алсу, Лариса Долина, Niletto, Хабиб и другие. Пройдет концерт при поддержке Большого детского хора им. В. Попова.
Для юных зрителей телеканалов пакета «Детский» концерт станет настоящим праздником, а для взрослых — путешествием в детство на музыкальной машине времени.
Увидеть трансляцию концерта можно будет бесплатно в приложении «Триколор Кино и ТВ» и онлайн-проекте «Большой эфир» на мобильных устройствах, телевизорах с функцией Smart TV или на сайте kino.tricolor.tv. Клиенты оператора смогут насладиться выступлением артистов также через спутник на Инфоканале Триколора. Начало трансляции — 8 июля в 20:00.</t>
  </si>
  <si>
    <t>07.07.2021 22:30</t>
  </si>
  <si>
    <t>Обычный отдельчик.</t>
  </si>
  <si>
    <t>Наталья Петрова</t>
  </si>
  <si>
    <t>Ловит только 10 каналов. Они и так были.</t>
  </si>
  <si>
    <t>Галина</t>
  </si>
  <si>
    <t>Добрый день! В цифровом эфирном телевидении мультиплекс включает 10 телеканалов. Актуальный список каналов можно уточнить у своего оператора или на сайте РТРС. Также причиной возникшей проблемы может быть слабый уровень сигнала, принимаемого с персональной антенны (если она имеется). Измените её направление так, чтобы добиться уровня сигнала 100%. После произведите сброс приемника до заводских настроек и согласно руководству пользователя осуществите настройку приемника в ручном режиме (согласно рекомендациям оператора цифрового телевидения в Вашем регионе). Если антенна отсутствует, то возможно, как раз таки она нужна, чтобы усилить сигнал.</t>
  </si>
  <si>
    <t>23.07.2021 13:30</t>
  </si>
  <si>
    <t>Достоинства: Подошел к приемнику, отлично работает
Недостатки: нет</t>
  </si>
  <si>
    <t>Ольга Ч.</t>
  </si>
  <si>
    <t>07.07.2021 16:24</t>
  </si>
  <si>
    <t>Удобно, понятно, быстро.
v2.5.0</t>
  </si>
  <si>
    <t>Александр Котляров</t>
  </si>
  <si>
    <t>То есть если я снова его выключу и снова включу он заработает?</t>
  </si>
  <si>
    <t>Kyle Bak</t>
  </si>
  <si>
    <t>07.07.2021 16:25</t>
  </si>
  <si>
    <t>Просмотр пакета каналов Ночной подорвал веру всебя, самооценку, заставил пересмотреть мое отношение к людям...
v2.5.0</t>
  </si>
  <si>
    <t>Игорь Максимов</t>
  </si>
  <si>
    <t>Просто выключи, дай время, и снова включи.</t>
  </si>
  <si>
    <t>Михаил Фомичев</t>
  </si>
  <si>
    <t>Здравствуйте, сегодня часто отключали электричество. После очередного такого выключения приёмник стал показывать "нет сигнала" на всех каналах. Могло ли там что-то сжечь? Как исправить? Можно ли заматюкать поставщика электричества?</t>
  </si>
  <si>
    <t>07.07.2021 14:53</t>
  </si>
  <si>
    <t>Лучшие через спутник телеканал тв3 в формате НД в триколор ТВ</t>
  </si>
  <si>
    <t>08.07.2021 07:07</t>
  </si>
  <si>
    <t>Ресивер Триколор ТВ GS B626L . Честный обзор от Крафа</t>
  </si>
  <si>
    <t>Купили на дачу и не пожалели! Хороший прибор, работает оитлично, все просто и понятно. Каналов много, на любой вкус и цвет.
Посмотрю сколько проживет, пока все хорошо. Только пультец как будто древний какой-то.</t>
  </si>
  <si>
    <t>Vika G</t>
  </si>
  <si>
    <t>07.07.2021 14:33</t>
  </si>
  <si>
    <t>Подскажите МТС как тв на Мшинской нормально показывет? Нет проблем как с триколором</t>
  </si>
  <si>
    <t>Оксана Назукова</t>
  </si>
  <si>
    <t>Садоводство Мшинская</t>
  </si>
  <si>
    <t>07.07.2021 20:54</t>
  </si>
  <si>
    <t>Церемония вручения наград премии «Оскар» случается раз в год, а подборки самых ярких фильмов из онлайн-кинотеатра</t>
  </si>
  <si>
    <t>Да, вы правы. На текущий момент указанные телеканалы доступны для просмотра только через сервис «Онлайн ТВ» при подключении приемного оборудования к интернету или в приложении «Триколор Кино и ТВ». Обратите внимание, что если ваша модель приемного оборудования поддерживает работу сервиса «Онлайн ТВ», то вы можете просматривать телеканалы и с использованием спутниковой антенны, и с использованием интернет подключения - одновременно. Мы зафиксируем ваше пожелание о возможности включения данных телеканалов с использованием спутниковой антенны.</t>
  </si>
  <si>
    <t>14:17</t>
  </si>
  <si>
    <t>07.07.2021 14:17</t>
  </si>
  <si>
    <t>Лариса, вот видимо когда перестановку делали, кабель повредили нечаянно. Мастер справится</t>
  </si>
  <si>
    <t>Гвардейск</t>
  </si>
  <si>
    <t>07.07.2021 14:15</t>
  </si>
  <si>
    <t>Что там с интернетом от ростелекома? Опять обрыв? И мегафон тоже отвалился</t>
  </si>
  <si>
    <t>Виолетта, похоже на блок питания. Напишите в поддержку триколора</t>
  </si>
  <si>
    <t>Городское сообщество «Чёрный список г. Бор»</t>
  </si>
  <si>
    <t>Лидия, одно дело триколор, другое криворукие мастера которые его ставят так, чтобы их потом ещё раз вызвали. Спутник штука всё же сложная, его не получится ловить как обычной антенной. Нужна тонкая настройка</t>
  </si>
  <si>
    <t>07.07.2021 16:35</t>
  </si>
  <si>
    <t>Скорее всего, частный случай. Дома и на даче с первого дня две приставки трудятся без проблем</t>
  </si>
  <si>
    <t>07.07.2021 14:12</t>
  </si>
  <si>
    <t>Вопросы по закону 54-ФЗ и ОФД в целом, организационные вопросы</t>
  </si>
  <si>
    <t>Добрый день! Вчера оплатила через ваш сайт триколор тв! По крайней мере чек пришёл от вас, деньги на сет так и не поступили, операторы не отвечают! Что за безобразие?</t>
  </si>
  <si>
    <t>Наталья Сметанина</t>
  </si>
  <si>
    <t>Платформа ОФД</t>
  </si>
  <si>
    <t>07.07.2021 14:22</t>
  </si>
  <si>
    <t>Все удобно понятно. Спасибо
v2.5.0</t>
  </si>
  <si>
    <t>Татьяна Пытайло</t>
  </si>
  <si>
    <t>07.07.2021 13:33</t>
  </si>
  <si>
    <t>Сначала изображение заедало и пропадало, потом начал выбивать эту ошибку. Выключали, включали, ждали, но ничего не изменилось. Может у кого была такая проблема с триколором, это беда с антенной или ресивером?</t>
  </si>
  <si>
    <t>Подслушано в Ст.Кривянской</t>
  </si>
  <si>
    <t>Кривянская</t>
  </si>
  <si>
    <t>07.07.2021 13:05</t>
  </si>
  <si>
    <t>Помогите, пожалуйста, найти мастера: проблема с кабелем Триколор, при уборке пошевелила провода и всё. Сижу одна на даче</t>
  </si>
  <si>
    <t>Всем спасибо, вызвала мастера Триколора из Выборга. На удивление всё было просто. Сразу приехал,за полчаса починил</t>
  </si>
  <si>
    <t>Елена Мошкина</t>
  </si>
  <si>
    <t>Интересный Приморск</t>
  </si>
  <si>
    <t>Достоинства: обычный рабочий конвертор
Недостатки: пока нет
Спасибо за товар</t>
  </si>
  <si>
    <t>07.07.2021 13:14</t>
  </si>
  <si>
    <t>Уже давно есть</t>
  </si>
  <si>
    <t>08.07.2021 02:51</t>
  </si>
  <si>
    <t>Не работает приёмник Триколор ТВ</t>
  </si>
  <si>
    <t>1. Замени выносной БП .
 2 . Скачай прошивку с сайта триколор и вставь оную в гнездо USB / Если не помог 1й вариант .
3 . Если не помогли первые 2 варианта, то МАСТЕРУ ОТНЕСИ .</t>
  </si>
  <si>
    <t>Профессор Лебединский</t>
  </si>
  <si>
    <t>07.07.2021 13:18</t>
  </si>
  <si>
    <t>Асва ууааакккек ка́чцу нцц
v2.3.0</t>
  </si>
  <si>
    <t>Михаил Яковлев</t>
  </si>
  <si>
    <t>07.07.2021 12:53</t>
  </si>
  <si>
    <t>Хах Аля триколор или нтв плюс …… понт заключался в том что к этой шляпе я смогу подключиться в любое время в лесу со смартфона , а бл домашний интернет с роутером и тарелкой у меня и так есть за 500р в месяц</t>
  </si>
  <si>
    <t>08.07.2021 06:14</t>
  </si>
  <si>
    <t>Молодцы, всё четко и профессионально. Рекомендую!</t>
  </si>
  <si>
    <t>Пятигорск</t>
  </si>
  <si>
    <t>12:33</t>
  </si>
  <si>
    <t>Xl
v2.4.0</t>
  </si>
  <si>
    <t>Газнави Зиянгиров</t>
  </si>
  <si>
    <t>10.07.2021 03:24</t>
  </si>
  <si>
    <t>Достоинства: Цена
Недостатки: Через какое-то время сам по себе выключается</t>
  </si>
  <si>
    <t>Игорь З.</t>
  </si>
  <si>
    <t>Проверь все соединения и подключения.
Потому что, даже если не оплачено, картинка должна появиться.</t>
  </si>
  <si>
    <t>Низкое качество их приемников.</t>
  </si>
  <si>
    <t>Подписка окончена</t>
  </si>
  <si>
    <t>*Человечный Человек*</t>
  </si>
  <si>
    <t>08.07.2021 02:52</t>
  </si>
  <si>
    <t>Илья Тарлыков</t>
  </si>
  <si>
    <t>personal computer,electronic device,laptop,computer hardware,gadget,computer</t>
  </si>
  <si>
    <t>08.07.2021 07:48</t>
  </si>
  <si>
    <t>Скажите пожалуюста уковонебуд шаритця пакет триколор Сибири 56е???</t>
  </si>
  <si>
    <t>триколор 56 градусов</t>
  </si>
  <si>
    <t>GREGON</t>
  </si>
  <si>
    <t>Shara-TV.ORG</t>
  </si>
  <si>
    <t>07.07.2021 11:49</t>
  </si>
  <si>
    <t>И Цифровые каналы в компании "Экран" идут в аналоге, чтобы все работало надо приставку декодер за 10 т. рублей докупить прикольный развод на цифру</t>
  </si>
  <si>
    <t>Oleg Djino</t>
  </si>
  <si>
    <t>08.07.2021 02:22</t>
  </si>
  <si>
    <t>Сто баллов из 10</t>
  </si>
  <si>
    <t>Артем Балакирев</t>
  </si>
  <si>
    <t>Достоинства: Работает, подошел к приставке. 
Недостатки: Кнопки расположены очень специфически, не соответствуют «обозначению». К примеру звук убавляется кнопкой «8» и так по всему пульту 
Брали на дачу, тк потеряли родной пульт. К слову, после покупки этого сильно китайского - старый очень быстро нашелся</t>
  </si>
  <si>
    <t>Карина М.</t>
  </si>
  <si>
    <t>07.07.2021 14:28</t>
  </si>
  <si>
    <t>Как зайти в личный кабинет Триколор ТВ</t>
  </si>
  <si>
    <t>Ответте как заплатит за каналы и сколько через онлан сбербанк и сколька за детский месяц я заплатил 200 руб но что еще не работает</t>
  </si>
  <si>
    <t>07.07.2021 11:19</t>
  </si>
  <si>
    <t>Молодцы
v2.5.0</t>
  </si>
  <si>
    <t>алексей денищев</t>
  </si>
  <si>
    <t>07.07.2021 10:55</t>
  </si>
  <si>
    <t>Воообще без разницы в каком формате этот шлак смотреть</t>
  </si>
  <si>
    <t>Вадим Абрамцев</t>
  </si>
  <si>
    <t>Ртищево</t>
  </si>
  <si>
    <t>07.07.2021 10:34</t>
  </si>
  <si>
    <t>Подскажите, кто какими антеннами пользуется? Привезли телевизор, но он от обычной антенны то ловит 20 бесплатных</t>
  </si>
  <si>
    <t>Триколор.</t>
  </si>
  <si>
    <t>Татьяна Верхова</t>
  </si>
  <si>
    <t>Подслушано Колчаново</t>
  </si>
  <si>
    <t>Достоинства: Качественно сделано, на 4 телевизора.
Недостатки: нет
Повесил, настроил талелку на прием триколор и нтв+, все работает.</t>
  </si>
  <si>
    <t>08.07.2021 00:33</t>
  </si>
  <si>
    <t>ТРИКОЛОР ТВ Цифровой эфирный приёмник BarTon TA-561</t>
  </si>
  <si>
    <t>Не включается,не работает</t>
  </si>
  <si>
    <t>Очень удобное приложение)
v2.5.0</t>
  </si>
  <si>
    <t>Залим Домбиров</t>
  </si>
  <si>
    <t>07.07.2021 09:31</t>
  </si>
  <si>
    <t>С Ростелеком всё ок,а вот триколор беда,каждый раз после отключения пишет ошибка 0, приходится перезагружать,просто жесть.</t>
  </si>
  <si>
    <t>Виолетта Тихомирова</t>
  </si>
  <si>
    <t>Спасибо продавцу за помощь в подключении. Всё отлично. Рекомендую.</t>
  </si>
  <si>
    <t>Галина Р.</t>
  </si>
  <si>
    <t>07.07.2021 09:19</t>
  </si>
  <si>
    <t>Мне нравится. Удобно и просто.</t>
  </si>
  <si>
    <t>Ульяна Каньшина</t>
  </si>
  <si>
    <t>09:01</t>
  </si>
  <si>
    <t>Достоинства: Приятная цена на OZONе
Недостатки: Не нашла. 
Очень полезная вещь, при настройки спутниковой тарелке очень помогла.</t>
  </si>
  <si>
    <t>Достоинства: Приятная цена на OZONе. 
Недостатки: Не выявлено 
Подошёл к спутниковой тарелке Триколор.</t>
  </si>
  <si>
    <t>07.07.2021 08:45</t>
  </si>
  <si>
    <t>Триколор ТВ Сибирь Express AT1 56.0°E Телеканал "MTV Hits" ушёл с 12188 L 30000 FEC 5/6, Mpeg-4 , DRE-Crypt Телеканал</t>
  </si>
  <si>
    <t>Дмитрий, согласен, многие музыкальные каналы облепили баннерами,и всякой херней. На мтв  у российских операторов качество было вообще отстойное, плюс ещё и плашка в пол экрана. Тоже хочу перейти на европейские версии. Хотел спросить,с какого спутника берёте сигнал? Открытый или кодированный?</t>
  </si>
  <si>
    <t>08:05</t>
  </si>
  <si>
    <t>07.07.2021 08:05</t>
  </si>
  <si>
    <t>Жители США, измученные бездействием управляющих компаний, благоустраивают придомовую территорию с применением героев</t>
  </si>
  <si>
    <t>Антена триколор тоже в америке? :)</t>
  </si>
  <si>
    <t>Иван Николаевич</t>
  </si>
  <si>
    <t>Синий Диплом</t>
  </si>
  <si>
    <t>08:03</t>
  </si>
  <si>
    <t>07.07.2021 08:04</t>
  </si>
  <si>
    <t>Екатерина Радченко</t>
  </si>
  <si>
    <t>Работает отлично, на 10 встал без проблем, скорость практически не режет</t>
  </si>
  <si>
    <t>07.07.2021 07:23</t>
  </si>
  <si>
    <t>Просто "хорошо".....
v2.5.0</t>
  </si>
  <si>
    <t>Наталья Иванова</t>
  </si>
  <si>
    <t>Была бы возможность оплаты на 3-6 месяцев , поставил бы оборудование и в деревню на лето. Пользоватьмя 3 месяца ,а платить за год и покупать оборудование смысла нет.
v2.4.0</t>
  </si>
  <si>
    <t>* Трамс *</t>
  </si>
  <si>
    <t>04:57</t>
  </si>
  <si>
    <t>07.07.2021 05:16</t>
  </si>
  <si>
    <t>Алексей, у остальных компаний эти каналы имеются, и что же получается, они говорят, триколору не хотим вещание осуществлять, вопрос цены, которую вы не готовы оплачивать</t>
  </si>
  <si>
    <t>Антон Отюцкий</t>
  </si>
  <si>
    <t>04:25</t>
  </si>
  <si>
    <t>07.07.2021 04:36</t>
  </si>
  <si>
    <t>Здравствуйте поменяли кабель, после обрыва . Нет сигнала третий день.......4556 GS8307  оплачено на год.Что делать?</t>
  </si>
  <si>
    <t>Ася Ядагаева</t>
  </si>
  <si>
    <t>04:12</t>
  </si>
  <si>
    <t>07.07.2021 05:47</t>
  </si>
  <si>
    <t>И у меня проблема. Брал триколор а рассрочку. Деньги выплатил и через месяц перестал показывать.</t>
  </si>
  <si>
    <t>Александр А</t>
  </si>
  <si>
    <t>00:50</t>
  </si>
  <si>
    <t>07.07.2021 00:54</t>
  </si>
  <si>
    <t>А что у вас вообще с трансой по ТВ?</t>
  </si>
  <si>
    <t>Триколор не оплачен)</t>
  </si>
  <si>
    <t>Adam</t>
  </si>
  <si>
    <t>Чат без вэльюбетов. Не пиздите</t>
  </si>
  <si>
    <t>00:36</t>
  </si>
  <si>
    <t>07.07.2021 00:46</t>
  </si>
  <si>
    <t>Ебаный триколор тв</t>
  </si>
  <si>
    <t>Majest1cc</t>
  </si>
  <si>
    <t>00:30</t>
  </si>
  <si>
    <t>07.07.2021 05:08</t>
  </si>
  <si>
    <t>ага, я из-за этого и подписку триколора на даче продлил - думал перейду полностью на инет, а хер, пиздец какой-то придумали</t>
  </si>
  <si>
    <t>А я вот пару месяцев назад таки отказался от проводного ТВ и перестал за него платить, так как не пользовался вообще… Но кто ж знал что на Евро он пригодится</t>
  </si>
  <si>
    <t>Sergey Morgunov</t>
  </si>
  <si>
    <t>Чат подкаста «Разбор Полётов»</t>
  </si>
  <si>
    <t>06.07.2021</t>
  </si>
  <si>
    <t>06.07.2021 23:29</t>
  </si>
  <si>
    <t>Посмотрел футбольчик)
А спонсор просмотра триколор-тв, ну и как я понимаю дождь)</t>
  </si>
  <si>
    <t>Данила</t>
  </si>
  <si>
    <t>Студенты/абитуриенты БГУ (РБ)</t>
  </si>
  <si>
    <t>Отказ, очень короткий провод</t>
  </si>
  <si>
    <t>Полина</t>
  </si>
  <si>
    <t>06.07.2021 23:04</t>
  </si>
  <si>
    <t>Рен HD</t>
  </si>
  <si>
    <t>Коля Петрушин</t>
  </si>
  <si>
    <t>Комаричи</t>
  </si>
  <si>
    <t>22:52</t>
  </si>
  <si>
    <t>06.07.2021 22:52</t>
  </si>
  <si>
    <t>Тоже долго искала кто ремонтирует,но потом плюнула и купила ресивер на 20 каналов и теперь никаких проблем</t>
  </si>
  <si>
    <t>Ирина Гусакова</t>
  </si>
  <si>
    <t>Знаменск</t>
  </si>
  <si>
    <t>06.07.2021 22:49</t>
  </si>
  <si>
    <t>@zhichkin23 А как же 20 каналов цифрового ТВ или же спутник (триколор, нтв плюс)</t>
  </si>
  <si>
    <t>Мурат Батчаев</t>
  </si>
  <si>
    <t>06.07.2021 22:42</t>
  </si>
  <si>
    <t>Почему интернет платный, если ресивер подключен к интернету?</t>
  </si>
  <si>
    <t>Олег, попробуй ребутнут роутер. Не поможет. Сброс на заводские настройки ресивер</t>
  </si>
  <si>
    <t>06.07.2021 23:48</t>
  </si>
  <si>
    <t>Категория триколор тв каналов   тоже пакет триколор чпоньк</t>
  </si>
  <si>
    <t>Olegon fedor Ivanovich</t>
  </si>
  <si>
    <t>06.07.2021 21:23</t>
  </si>
  <si>
    <t>Алексей, вот</t>
  </si>
  <si>
    <t>Алексей Бороздин</t>
  </si>
  <si>
    <t>text,display device,electronic device,gadget</t>
  </si>
  <si>
    <t>Ребята из триколора, хватит урезать каналы, Дискавери и живая природа по отключали каналы, это такая проблема перезаключить договор, это экономия, вас смотрят миллионы абонентов, скоро люди начнут отказываться</t>
  </si>
  <si>
    <t>06.07.2021 21:54</t>
  </si>
  <si>
    <t>Меняю свою оценку . Было всё хорошо пока не поменяла старый приёмник на новый. При обмене мои данные перепутали с другим клиентом, теперь не могу войти в личный кабинет, и не могу изменить данные. Надо что то скачивать, распечатывать . Написанного от руки заявления не достаточно. У меня нет принтера, как я распечатаю!!! Проще выкинуть триколор и перейти на что нибудь другое.
v1.7.1</t>
  </si>
  <si>
    <t>Людмила Иванская</t>
  </si>
  <si>
    <t>06.07.2021 21:10</t>
  </si>
  <si>
    <t>Да, встречайте новую Web-версию Личного Кабинета Триколор: https://lk.tricolor.tv/</t>
  </si>
  <si>
    <t>Триколор "Кино и ТВ", радио добавте раздел пожалуйста</t>
  </si>
  <si>
    <t>06.07.2021 21:06</t>
  </si>
  <si>
    <t>Как восстановить пароль от Личного кабинета? Пароль может быть направлен вам двумя способами: 1. В виде СМС–сообщения на</t>
  </si>
  <si>
    <t>Триколор, а почему при переходе через кр код цена за пакет 1500 а в другом сайте триколора этот же пакет2500?</t>
  </si>
  <si>
    <t>Вадим Лосев</t>
  </si>
  <si>
    <t>06.07.2021 21:03</t>
  </si>
  <si>
    <t>Радио не дрбовляют оно нужно</t>
  </si>
  <si>
    <t>06.07.2021 20:47</t>
  </si>
  <si>
    <t>Раздел радио и добавте  пожалуйста</t>
  </si>
  <si>
    <t>06.07.2021 20:41</t>
  </si>
  <si>
    <t>Добрый день. А кто у нас предоставляет услуги телевидения?</t>
  </si>
  <si>
    <t>Триколор в помощь</t>
  </si>
  <si>
    <t>Дмитрий Морошкин</t>
  </si>
  <si>
    <t>ЖК Эпсилон | Новоселье Городские Кварталы</t>
  </si>
  <si>
    <t>06.07.2021 20:40</t>
  </si>
  <si>
    <t>Всем добрый день. Хочу отказаться от услуг Ростелекома и подключить мобильный интернет от Мегафона Залогом. Может кто-то</t>
  </si>
  <si>
    <t>Подскажите пожалуйста как перейти на другого оператора. У меня только домашний телефон и интернет. В принципе телефон держу только для вай фая. У нас тарелка триколор.</t>
  </si>
  <si>
    <t>Татьяна Катаева</t>
  </si>
  <si>
    <t>[ПА] Подслушано Александровск</t>
  </si>
  <si>
    <t>Александровск</t>
  </si>
  <si>
    <t>07.07.2021 05:13</t>
  </si>
  <si>
    <t>Вы рады?</t>
  </si>
  <si>
    <t>Вы заметили, в последнее время этот сериал часто крутят по триколору,держу пари,если сейчас включу тв,сразу его найду.В одно время он мне нравился ,но не с начала,а где-то с середины.Я считаю сюжет уже полностью раскрыт,далее нечего снимать,неинтересно!</t>
  </si>
  <si>
    <t>Болталка-СнК</t>
  </si>
  <si>
    <t>Славянск-на-Кубани</t>
  </si>
  <si>
    <t>06.07.2021 20:02</t>
  </si>
  <si>
    <t>скоро на матч тв круглосуточно будет реклама 1xbet</t>
  </si>
  <si>
    <t>да телеканалы уходят в небытие , онлайн кинотеатры и интернет все сильней давит , преимущество у ютюба</t>
  </si>
  <si>
    <t>08.07.2021 06:55</t>
  </si>
  <si>
    <t>Стадион "На старт"</t>
  </si>
  <si>
    <t>Триколор тв в константиновске.тел 89185214674</t>
  </si>
  <si>
    <t>Новый БлоГГер</t>
  </si>
  <si>
    <t>Константиновск</t>
  </si>
  <si>
    <t>06.07.2021 21:20</t>
  </si>
  <si>
    <t>Включение/выключение приставки, переключение каналов, замена рекламы канала на свою</t>
  </si>
  <si>
    <t>Триколор хуле</t>
  </si>
  <si>
    <t>TIDI BIG PULA</t>
  </si>
  <si>
    <t>VK X, но это его чат</t>
  </si>
  <si>
    <t>06.07.2021 21:19</t>
  </si>
  <si>
    <t>Самая уёбищная реклама- триколор ТВ</t>
  </si>
  <si>
    <t>Название конечно уебанское</t>
  </si>
  <si>
    <t>Ток там надо в поддержку писать и выключать рекламу</t>
  </si>
  <si>
    <t>Grey | Huawei</t>
  </si>
  <si>
    <t>20.07.2021 19:13</t>
  </si>
  <si>
    <t>Достоинства: монтируется инастраевается легко. 
Недостатки: нет
желею что не купил раньше... давно надо было соскакивать с ростелекома.</t>
  </si>
  <si>
    <t>Андрей С.</t>
  </si>
  <si>
    <t>06.07.2021 19:42</t>
  </si>
  <si>
    <t>Поэтому я смотрю в интернете каналы половино и футбол</t>
  </si>
  <si>
    <t>19:27</t>
  </si>
  <si>
    <t>Николай, Да много каких каналов нет в HD, при этом практически все присутствующие каналы имеют HD версии. Видимо, с этим не всё так просто.</t>
  </si>
  <si>
    <t>Опа, теперь можно Поле Чудес смотреть в обед</t>
  </si>
  <si>
    <t>06.07.2021 19:21</t>
  </si>
  <si>
    <t>Андрей, а РЕН ТВ не вещает, только на сайте канала можно смотреть
А то в прошлый раз смотрел футбол и качество не очень на РЕН ТВ</t>
  </si>
  <si>
    <t>ТВ-3 смотрю тоже в HD стал вещать через интернет</t>
  </si>
  <si>
    <t>06.07.2021 18:58</t>
  </si>
  <si>
    <t>Здравствуйте!А кто нибудь знает что у нас с телевидением? Днём показывает отлично,а вечером пишет нет сигнала и все!</t>
  </si>
  <si>
    <t>Триколор рулит.</t>
  </si>
  <si>
    <t>Игорь Гожев</t>
  </si>
  <si>
    <t>ЛО,Массив Грибное,СНТ Дружба</t>
  </si>
  <si>
    <t>06.07.2021 18:56</t>
  </si>
  <si>
    <t>Добрый день, подскажите пожалуйста. Мы переехали с Ростовской области в Ленинградскую. Будет ли работать триколор, ресивер тот же?</t>
  </si>
  <si>
    <t>Ирина Новикова</t>
  </si>
  <si>
    <t>06.07.2021 18:50</t>
  </si>
  <si>
    <t>«Ротор» начал подготовку к «Текстильщику» Сегодня на стадионе «Зенит» волгоградцы провели первую тренировку после</t>
  </si>
  <si>
    <t>Sergey V., Телеканал ФУТБОЛЬНЫЙ в пакете единый, Триколор ТВ.</t>
  </si>
  <si>
    <t>Цыфра Цифрыч</t>
  </si>
  <si>
    <t>Как будет в триколор ТВ через спутник</t>
  </si>
  <si>
    <t>06.07.2021 18:35</t>
  </si>
  <si>
    <t>На триколоре больше нет телеканала мтв хит.. теперь вообще не вижу смысла смотреть тв</t>
  </si>
  <si>
    <t>hoshi?</t>
  </si>
  <si>
    <t>07.07.2021 11:56</t>
  </si>
  <si>
    <t>бесплатные каналы триколор тв сибирь 2018 как настроить</t>
  </si>
  <si>
    <t>А если эти каналы не показывают?</t>
  </si>
  <si>
    <t>Аминат Газимагомедова</t>
  </si>
  <si>
    <t>жизнь в деревне как есть</t>
  </si>
  <si>
    <t>06.07.2021 17:23</t>
  </si>
  <si>
    <t>Когда на спутнике появится?</t>
  </si>
  <si>
    <t>06.07.2021 17:08</t>
  </si>
  <si>
    <t>Здравствуйте, подскажите пожалуйста мастера по настройке триколор антенны. Пишет что произошло короткое замыкание на LNB</t>
  </si>
  <si>
    <t>Всем спасибо! Проблема была в блоке питания, заменил работает.</t>
  </si>
  <si>
    <t>Viktor Beluga</t>
  </si>
  <si>
    <t>Поможем друг другу|Элиста</t>
  </si>
  <si>
    <t>Достоинства: Удобный, лёгкий. Нет лишних проводов. Один пульт. 
Недостатки: Нет
Модуль пришёл за 4 дня, небыло инструкции, разбирались с интернетом. Модуль чёрного цвета. Карту в комплекте не активировали, так как был ресивер. (сломался). Карта от ресивера (единый) идеально подошла к модулю, все каналы показывают. Есть индикатор работоспособности. Светит красным-... мегающим красным-.. мегающим зелен-красным и.. зелёным. Каждый свет имеет свое значение. 
П. С. Не ко всем телевизорам подойдёт модуль, и не все карты подойдут к модулю. Информацию о совместимости, можно найти в интернете.
Мы в восторге)) рекомендую к покупке. Если через время что-то будет не так, дополню комментарий.</t>
  </si>
  <si>
    <t>Решетняк Марина</t>
  </si>
  <si>
    <t>06.07.2021 18:42</t>
  </si>
  <si>
    <t>Понятно.Приставку тоже не мешает проверить .</t>
  </si>
  <si>
    <t>06.07.2021 16:59</t>
  </si>
  <si>
    <t>У кого есть пушка на триколор ТВ???</t>
  </si>
  <si>
    <t>Туралин Мурат</t>
  </si>
  <si>
    <t>OLX KARAMENDY</t>
  </si>
  <si>
    <t>06.07.2021 16:25</t>
  </si>
  <si>
    <t>Бывает тупит особенно если по вайфай</t>
  </si>
  <si>
    <t>Да адаптер говорю возьми а он я ещё и приставку возьму чтоб проверить а говорю как хош</t>
  </si>
  <si>
    <t>Да это не мне я так малость увлекаюсь.а то хотел хозяин приставку покупать хорошо я пошел посмотрел что блок,вам всем спасибо.да ещё не найти такой конденсатор</t>
  </si>
  <si>
    <t>06.07.2021 15:47</t>
  </si>
  <si>
    <t>GS 621L ни каких проблем.</t>
  </si>
  <si>
    <t>Дмитрий Некрасов</t>
  </si>
  <si>
    <t>Ангарск</t>
  </si>
  <si>
    <t>Алексей, Был когда-то.. Если договорятся с руководством канала, то вернётся...</t>
  </si>
  <si>
    <t>wi-fi показывает что подключен, а в статусе показывает =нет связи с сервером=, на интернет канале- код 26, но вот сейчас заработало, да, а 2 суток не показывали интернет каналы, что частая перезагрузка приемника нужна путем отключения от сети.</t>
  </si>
  <si>
    <t>Женя, №285 и будет вам счастье.</t>
  </si>
  <si>
    <t>Достоинства: Стабильная работа
Недостатки: Отсутствуют
К ходовым вариантам не относится, обычно 1 или 2 выхода. Нормальная цена.</t>
  </si>
  <si>
    <t>Irek I.</t>
  </si>
  <si>
    <t>06.07.2021 15:28</t>
  </si>
  <si>
    <t>С 19.07.21.г. пакет детский будет стоить 1500 руб в год или 250 руб в месяц.</t>
  </si>
  <si>
    <t>Здравствуйте после обрыва кабель заменили . Но до сих пор нет сигнала. оплачено на год ....4556 GS8307</t>
  </si>
  <si>
    <t>06.07.2021 16:09</t>
  </si>
  <si>
    <t>Все здорово
v2.5.0</t>
  </si>
  <si>
    <t>Татьяна Панова</t>
  </si>
  <si>
    <t>06.07.2021 15:18</t>
  </si>
  <si>
    <t>Триколор, прекратилась трансляция каналов через интернет, показывает код 26</t>
  </si>
  <si>
    <t>06.07.2021 15:08</t>
  </si>
  <si>
    <t>Карим, Канал MGM прекратил вещание в России. А сейчас Hollywood и Hollywood HD</t>
  </si>
  <si>
    <t>08.07.2021 03:14</t>
  </si>
  <si>
    <t>Подарили нашей бабушке на юбилей, человек счастлив. Понятное использование и для пожилых людей (ей 70), на приставке буквально две кнопки, что-то сломать ну практически нереально.
Вот только какой-то он весь хлипенький, выглядит не надёжно</t>
  </si>
  <si>
    <t>Дарья Чижова</t>
  </si>
  <si>
    <t>ТВЦ HD уже больше года в Ростелекоме. Ворот тааак</t>
  </si>
  <si>
    <t>Переключение каналов (Триколор-ТВ, 07.02.2018) Пакет "Единый"</t>
  </si>
  <si>
    <t>У меня тоже есть Триколор ТВ.</t>
  </si>
  <si>
    <t>MasterOfRemakes</t>
  </si>
  <si>
    <t>06.07.2021 14:49</t>
  </si>
  <si>
    <t>уже ТВЦ HD есть в Москве</t>
  </si>
  <si>
    <t>text,display device,electronic device</t>
  </si>
  <si>
    <t>На телевизор LG со встроенной приставкой не подошёл хотя задала вопрос продавцу и получила положительный ответ.</t>
  </si>
  <si>
    <t>Любовь</t>
  </si>
  <si>
    <t>07.07.2021 00:14</t>
  </si>
  <si>
    <t>Женя, вы можете подключить одну из услуг: «Смотри Кино и ТВ» или «Триколор Онлайн».</t>
  </si>
  <si>
    <t>Всем любителям американского футбола посвящается!  «Спартак» vs «Спартанцы»: кто одержит победу? Смотрите прямую</t>
  </si>
  <si>
    <t>активировал за 100 рублей ultra hd не на ультра hd телике не работает ни на обычном</t>
  </si>
  <si>
    <t>Александр Грачев</t>
  </si>
  <si>
    <t>Эстония</t>
  </si>
  <si>
    <t>Силламяэ</t>
  </si>
  <si>
    <t>Ресивер Триколор ТВ GS C593, Wi-Fi встроен, с картой активации на 14 дней. (Может работать через интернет без тарелки)</t>
  </si>
  <si>
    <t>Недостатки: поврежден провод у "колокольчиков"</t>
  </si>
  <si>
    <t>Марина Г.</t>
  </si>
  <si>
    <t>06.07.2021 14:51</t>
  </si>
  <si>
    <t>Лариса, можете фото скинуть как у вас подключено на задней стенки приставки, в личку только напишите мне</t>
  </si>
  <si>
    <t>Александр Шимков</t>
  </si>
  <si>
    <t>06.07.2021 14:45</t>
  </si>
  <si>
    <t>Лариса, у вас либо с антенной проблема либо с блоком питания</t>
  </si>
  <si>
    <t>06.07.2021 14:34</t>
  </si>
  <si>
    <t>Валентина, нет у нас кабельного ,я бы с удовольствием провела,задолбала эта тарелка,мастера трудно найти,то чуть дождь сигнала нет,бедааааа</t>
  </si>
  <si>
    <t>Лариса Краева</t>
  </si>
  <si>
    <t>06.07.2021 14:30</t>
  </si>
  <si>
    <t>Подскажите,норм все работало,включаю рессивер,на экране толтко 3 точки по центру,якобы что то грузит но никаких ошибок не появляется,качество и сила по нулям,не могу найти эту проблему как решить</t>
  </si>
  <si>
    <t>Алексей Милованов</t>
  </si>
  <si>
    <t>Лариса этот триколор самый худший из всех я сама месяц мучилась поменяли кабель заменили головку пришлось менять приемник целый месяц мучилась и в итоге перенесли тарелку на другое место берут такие деньги за оборудование и за просмотр а толку мало терпения вам</t>
  </si>
  <si>
    <t>Лидия Палитко</t>
  </si>
  <si>
    <t>06.07.2021 19:02</t>
  </si>
  <si>
    <t>Шо, опять!? Или гроза пришла, когда не ждали снова_КоПСС</t>
  </si>
  <si>
    <t>@Vladimir Levkin параболическая антенна от триколора для интернета с облучателем крокс. Что будет ,если аккуратно просверлить и сделать таким же как у вас на видео ?</t>
  </si>
  <si>
    <t>BLACK OPS 06</t>
  </si>
  <si>
    <t>Проще конденсатор поменять на приблизительно такой же</t>
  </si>
  <si>
    <t>Александр Дорохин</t>
  </si>
  <si>
    <t>06.07.2021 14:29</t>
  </si>
  <si>
    <t>ПОХИТИЛ ДЕВУШКУ В ЧАТРУЛЕТКЕ | ПРАНК</t>
  </si>
  <si>
    <t>Паследняя испугалась и её лецо      было таким  а телевизор триколор страхование смотри в будущее без страха</t>
  </si>
  <si>
    <t>Зубаир Газиев</t>
  </si>
  <si>
    <t>Голос Васи</t>
  </si>
  <si>
    <t>06.07.2021 14:10</t>
  </si>
  <si>
    <t>Модуль C+ купите и поставьте. Избавитесь от второго пульта и всех этих проблем с ресиверами и блоками питания.</t>
  </si>
  <si>
    <t>Валерий Гавр</t>
  </si>
  <si>
    <t>MGM верните</t>
  </si>
  <si>
    <t>06.07.2021 14:06</t>
  </si>
  <si>
    <t>4214111.gif</t>
  </si>
  <si>
    <t>А это кто с кем?У меня пакет Триколора закончился...А сейчас не могу смотреть  "БОЕЦ" и "МАТЧ.БОЙЦОВСКИЙ КЛУБ"...</t>
  </si>
  <si>
    <t>Игорь Казенов</t>
  </si>
  <si>
    <t>UFC | MMA УРОКИ</t>
  </si>
  <si>
    <t>06.07.2021 13:49</t>
  </si>
  <si>
    <t>Ненужны эти помойки</t>
  </si>
  <si>
    <t>Адаптер ( блок питания) возьми с собой,как образец.Продавцу покажешь.</t>
  </si>
  <si>
    <t>07.07.2021 03:49</t>
  </si>
  <si>
    <t>Нет связи с сервером Триколор как настроить?</t>
  </si>
  <si>
    <t>Добрый день, у клиента сигнал 0 процентов, и качество 0 процентов, на сервере сигнал 100, а качество 30,что делать с клиентом?!</t>
  </si>
  <si>
    <t>Лиана Меликова</t>
  </si>
  <si>
    <t>07.07.2021 01:24</t>
  </si>
  <si>
    <t>Привет! Ни фига не получается.Всё сделал по инструкции.Раньше была такая блокировка,лечилась с помощью вашей инструкции.А сейчас появилось что то новенькое,ваши рекомендации уже не помогают.Без антенны и смарткарты все работает,вот так!</t>
  </si>
  <si>
    <t>серый гаевой</t>
  </si>
  <si>
    <t>08.07.2021 01:03</t>
  </si>
  <si>
    <t>Пришел целый, работает отлично. Спасибо</t>
  </si>
  <si>
    <t>Кристина</t>
  </si>
  <si>
    <t>06.07.2021 13:19</t>
  </si>
  <si>
    <t>Продам комплект спутникового телевидения Триколор ТВ, все в хорошем состоянии каналов много и показывают отлично. Цена</t>
  </si>
  <si>
    <t>Александр, и блок питания же ещё</t>
  </si>
  <si>
    <t>Виктория Пятилетова</t>
  </si>
  <si>
    <t>Подслушано в Москаленском районе</t>
  </si>
  <si>
    <t>Если блок питания покупать неважно для какой техники? чтобы было 12v 2А</t>
  </si>
  <si>
    <t>Достоинства: Не нужно тянуть интернет кабель к PC.
Недостатки: Недостатков нет, выполняет поставленную задачу.
Пришлось искать драйвера в ручную. Мне помог драйвер бустер, нашел и установил где то секунд за 50.</t>
  </si>
  <si>
    <t>Денис Б.</t>
  </si>
  <si>
    <t>computer hardware,electronic device,electronic component</t>
  </si>
  <si>
    <t>06.07.2021 12:26</t>
  </si>
  <si>
    <t>Артём, да... Жаль, что теперь её просто так хер посмотришь... Надо МТС-ТВ устанавливать или покупать на триколор пакет детский. Благо МТС-ТВ есть</t>
  </si>
  <si>
    <t>Ронерил Дарам</t>
  </si>
  <si>
    <t>грустный мультик</t>
  </si>
  <si>
    <t>06.07.2021 12:13</t>
  </si>
  <si>
    <t>Всем добрый день! У нас в СНТ Славянка проблемы с вещанием телевизионных программ через приставку. Особенно вечером,</t>
  </si>
  <si>
    <t>Попробуйте обратить внимание на прохождение грузовых поездов, они в это время ходят очень часто. На Триколор это не влияет, а через приставку сильно рябит, появляются помехи и смотреть невозможно.</t>
  </si>
  <si>
    <t>Людмила Быстрова</t>
  </si>
  <si>
    <t>Массив "Славянка"  ЛО Кировский район</t>
  </si>
  <si>
    <t>06.07.2021 13:06</t>
  </si>
  <si>
    <t>Триколор Просто и Супер!
v2.5.0</t>
  </si>
  <si>
    <t>Алексей Макаров</t>
  </si>
  <si>
    <t>06.07.2021 22:30</t>
  </si>
  <si>
    <t>Все заставки НТВ-ПЛЮС Спортхит (2013-2014)</t>
  </si>
  <si>
    <t>Жаль, что этого канала не было в Триколоре в 2013-2014 годах. Я был на Триколор ТВ, и у меня приёмник был GS8306</t>
  </si>
  <si>
    <t>Анти орден Анти нюкема [AOAH]</t>
  </si>
  <si>
    <t>Степан Смирнов [ПРОТЕСТ]</t>
  </si>
  <si>
    <t>Достоинства: хорший сигнал 
Недостатки: нет 
пришло все целое,быстро настроил вче работает отлично</t>
  </si>
  <si>
    <t>06.07.2021 11:37</t>
  </si>
  <si>
    <t>Установили Триколор, очень довольны, проблем с вещанием нет.</t>
  </si>
  <si>
    <t>Ксения Сотникова</t>
  </si>
  <si>
    <t>Кировск</t>
  </si>
  <si>
    <t>06.07.2021 12:06</t>
  </si>
  <si>
    <t>Пользуюсь услугами компании с 2009. Всё OK! Желаю развития и процветания!
v2.5.0</t>
  </si>
  <si>
    <t>Александр Покатаев</t>
  </si>
  <si>
    <t>10:19</t>
  </si>
  <si>
    <t>Достоинства: все работает
Недостатки: нет
все работает</t>
  </si>
  <si>
    <t>Станислав С.</t>
  </si>
  <si>
    <t>Шас пойду посмотрю кнопку на приставке не залипает ли.потом кабель и штекера и провод, розетку и вилку ну и пульт если всё нормально то саму приставку копать.а если сброс настроек?каналы не пропадут?</t>
  </si>
  <si>
    <t>06.07.2021 09:48</t>
  </si>
  <si>
    <t>6 раз включила и выключила, все тоже самое. Как 28 появилась эта буква Р, так и все. Дочь была, звонила на горячую линию, несколько дней смотрели, вчера отключали в деревне электроэнергию и все по новой</t>
  </si>
  <si>
    <t>06.07.2021 09:49</t>
  </si>
  <si>
    <t>Триколор, раз 100 это сделала, сейчас попыталась экран сфотографировать, на всех фото вот что получается</t>
  </si>
  <si>
    <t>monitor,output device,personal computer,computer,screen,television,display device,flat panel display,electronic device,computer monitor,tablet computer,gadget</t>
  </si>
  <si>
    <t>06.07.2021 10:22</t>
  </si>
  <si>
    <t>Везде ли у вас в регионе хорошо работает сотовая связь и мобилный интернет?
У меня два оператора: билайн и теле 2. И у обоих связь полностью пропадает стоит только выехать на загородную трассу! Не только интернета нет, но и вообще никакого сигнала, даже позвонить нельзя!
На даче, которая в пригородной зоне, в грозу и облачную погоду тоже нет связи (и спутниковое тв от Триколор тоже перестаёт работать). 
Да даже в таких магазинах как Лента, Метро, Леруа Мерлен и наш местный ТРЦ Планета тоже сигнал не стабильный и пропадает
Думаю перейти на МТС или Йоту, но не уверена, что это спасёт.
#barbie #mattel #dolls #dollstagram #instadoll #instabarbie #barbiesurfcity #kirasurfcity #summer #heat #dollscollector #dollscollection #кукла_в_поле</t>
  </si>
  <si>
    <t>Name: Tia Totenstille</t>
  </si>
  <si>
    <t>natural environment,plant,clothing,sky,black hair,abdomen,long hair,sunlight,muscle,thigh,grass,swimwear</t>
  </si>
  <si>
    <t>fun,vacation,summer,nature</t>
  </si>
  <si>
    <t>https://scontent-arn2-1.cdninstagram.com/v/t51.2885-15/e35/211502708_3743661205738773_7995639894848091422_n.jpg?tp=1&amp;_nc_ht=scontent-arn2-1.cdninstagram.com&amp;_nc_cat=109&amp;_nc_ohc=vSU-7HSmhicAX-8rZ08&amp;edm=AA0rjkIBAAAA&amp;ccb=7-4&amp;oh=89d4d84662f5c9760256f7f4fc5ba147&amp;oe=60EA31C5&amp;_nc_sid=d997c6</t>
  </si>
  <si>
    <t>06.07.2021 09:17</t>
  </si>
  <si>
    <t>Триколор, я пожилой человек. Так по причине плохого зрения я не могу пользоваться вашими личными кабинетами и горячими линиями, мне трудно рассматривать кучу цифр на приемнике и в телефоне. До смены приставок, к которому вынудили всех, все работало замечательно. Вы лишили старых людей возможности нормально смотреть телевизор
 нам не не надо 300 программ, достаточно десятка, но это значит снова покупать приставку, при пенсии в 10000 очень накладно. Телевизор не новый, но работает замечательно. Сейчас на всех каналах перечеркнутая буква Р</t>
  </si>
  <si>
    <t>09:08</t>
  </si>
  <si>
    <t>06.07.2021 18:41</t>
  </si>
  <si>
    <t>Что касантся приставки было такое. Проверил все с микротрещинами и питанием. Потом просто перепрошил и все стало на свои места. Просто есть такой вариант, что пропустили обновление и теперь глючит.</t>
  </si>
  <si>
    <t>Сергей Цимбалов</t>
  </si>
  <si>
    <t>07.07.2021 01:48</t>
  </si>
  <si>
    <t>Вы в конце оборзели мои родители пенсионеры,вы просто вырубили звук уже неделю телепередач .Тоесть денги заплачены ваша горячая линия ниочём.Недозвонится.Будем отключатся от вас.Позор вам.</t>
  </si>
  <si>
    <t>Сержант</t>
  </si>
  <si>
    <t>06.07.2021 09:06</t>
  </si>
  <si>
    <t>Вобще за что платить если она не показывает</t>
  </si>
  <si>
    <t>Мария Куприянова</t>
  </si>
  <si>
    <t>Здравствуйте что делать не показывает антенна выдает код ошибки 13</t>
  </si>
  <si>
    <t>Пульт работает, все хорошо</t>
  </si>
  <si>
    <t>06.07.2021 18:43</t>
  </si>
  <si>
    <t>Блок питания поменяй у меня была такая проблема</t>
  </si>
  <si>
    <t>Крыловская</t>
  </si>
  <si>
    <t>08:38</t>
  </si>
  <si>
    <t>06.07.2021 08:39</t>
  </si>
  <si>
    <t>Триколор ТВ. Меняем старые приёмники на новые. Ремонт всех моделей приёмников, пульты для цифрового ТВ. Выполним любые</t>
  </si>
  <si>
    <t>Юрий, это жидкокристаллический телевизор LG, марку не знаю, он находится в Карпогорах в ремонте у Сергея Жидкого, сгорел в грозу, пульт не работал раньше, купила новый, надо бы этот отремонтировать</t>
  </si>
  <si>
    <t>Людмила Савинская</t>
  </si>
  <si>
    <t>Подслушано Карпогоры, Пинежский район.</t>
  </si>
  <si>
    <t>06.07.2021 08:37</t>
  </si>
  <si>
    <t>Юрий, это от жидкокристаллического телевизора LG, модель не знаю, он у меня в ремонте в Карпогорах у Сергея Жидкого, сгорел в грозу, пульт этот не заработал раньше, не реагирует, купила новый, надо бы этот отремонтировать</t>
  </si>
  <si>
    <t>06.07.2021 08:30</t>
  </si>
  <si>
    <t>Это жидкокристаллический телевизор       LG, модель не помню, он у меня в ремонте в Карпогорах, сгорел в грозу, там другой пульт, этот что то не заработал, надо бы отремонтировать</t>
  </si>
  <si>
    <t>06.07.2021 18:20</t>
  </si>
  <si>
    <t>Рекламное дерьмо какое-то. Плати за рекламу и говноуслуги. И ещё они с себя снимают ответственность и в любой момент могут изменить договор как хотят. А про обмен китайского говна на новый, и отключение телеканалов с ошибками вообще молчу.</t>
  </si>
  <si>
    <t>06.07.2021 07:41</t>
  </si>
  <si>
    <t>Два конденсатора, в блоке питания были вздуты, заменил и проблемы с картой (вставлена-извлечена) нет.</t>
  </si>
  <si>
    <t>06.07.2021 08:36</t>
  </si>
  <si>
    <t>Отсоедини антену и проверь без неё будет ли отключатьса.</t>
  </si>
  <si>
    <t>Андрей Андреев</t>
  </si>
  <si>
    <t>всё отлично работает!</t>
  </si>
  <si>
    <t>07:02</t>
  </si>
  <si>
    <t>Это причина в блоке питания или просто надо обнавить</t>
  </si>
  <si>
    <t>Виктор Нефедов</t>
  </si>
  <si>
    <t>Буквально вчера у меня был такой случай. Спутниковый ресивер начал переключаться самостоятельно, пока я не догадался прикрыть пульт. Оказалось, какая-то маслянистая жидкость на плате пульта замкнула контакты и он работал без нажатия кнопок. Протёр спиртом, всё в норме. У меня только вопрос-откуда там берётся эта жидкость? Месяц назад я для профилактики протирал.</t>
  </si>
  <si>
    <t>евгений миронов</t>
  </si>
  <si>
    <t>Барыш</t>
  </si>
  <si>
    <t>06:44</t>
  </si>
  <si>
    <t>Вероятно всего непропай в БП,внимательно через лупу осмотри места пайки элементов</t>
  </si>
  <si>
    <t>--------ALEXANDR ------------</t>
  </si>
  <si>
    <t>Скорее всего кондёры по питанию высохли</t>
  </si>
  <si>
    <t>Юрий Тепляков</t>
  </si>
  <si>
    <t>Касли</t>
  </si>
  <si>
    <t>06.07.2021 06:18</t>
  </si>
  <si>
    <t>Катя, триколор нормально показывает</t>
  </si>
  <si>
    <t>Вячеслав Александров</t>
  </si>
  <si>
    <t>05:34</t>
  </si>
  <si>
    <t>06.07.2021 05:41</t>
  </si>
  <si>
    <t>Подскажите триколор ТВ приставку включаеш она показывает и через несколько секунд выключается сама потом включается сама и так постоянно вчом проблема?</t>
  </si>
  <si>
    <t>screen,television,electronic device,display device,flat panel display</t>
  </si>
  <si>
    <t>01:59</t>
  </si>
  <si>
    <t>06.07.2021 10:49</t>
  </si>
  <si>
    <t>а можно сделать так что при открытие приложения открывалась вкладка тв, может бывает мод. еще не хватает настройка каналов в андроед атв</t>
  </si>
  <si>
    <t>EJIK_61</t>
  </si>
  <si>
    <t>01:14</t>
  </si>
  <si>
    <t>06.07.2021 01:18</t>
  </si>
  <si>
    <t>Олег Гришко</t>
  </si>
  <si>
    <t>text,electronic device,display device,software</t>
  </si>
  <si>
    <t>00:18</t>
  </si>
  <si>
    <t>06.07.2021 00:32</t>
  </si>
  <si>
    <t>У меня модуль СI+ в ТВ,,7 лет никаких вообще проблем, описываемых здесь</t>
  </si>
  <si>
    <t>05.07.2021</t>
  </si>
  <si>
    <t>23:37</t>
  </si>
  <si>
    <t>05.07.2021 23:51</t>
  </si>
  <si>
    <t>Живем сейчас на даче. Вещание с 28 так с перебоями и есть. Стоит отключить телевизор и тут же в списке каналов появляется на каждом из каналов буква Р перечеркнутая. Сегодня так и не работает. Деньги за что платим? И вообще, как заставили 2 или 3 года назад поменять приставки, с телевизором одно мученье. Ярославская обл, Пошехонский район.  Я человек пожилой, звонить на ваши линии не могу, зрение плохое, там ведь назовите эти цифры, назовите этот номер,. Как - то пыталась, только расплакалась и все. 28 дочь звонила, там про Сколково сказали, включилось только 29, 1 снова не работало часо5, сегодня весь день не включается. Безобразие!</t>
  </si>
  <si>
    <t>Достоинства: Обычный пульт, ничего особенного
Недостатки: Нужно сильно жать на кнопки
Приходится сильно жать на кнопки, иначе не реагирует, замена батареек проблем не решила ( батарейки от известного брэнда) так что грешу все таки на пульт.</t>
  </si>
  <si>
    <t>07.07.2021 01:53</t>
  </si>
  <si>
    <t>Комплект спутникового ТВ Триколор GS B622L + С592 (Триколор ТВ Ultra HD)</t>
  </si>
  <si>
    <t>иметь спец. девайсы (стоят порядка 300-500 руб) для определения координат спутников, т.к. полоса связи со спутником достаточно узкая и при окончательной тонкой настройке регулировка идёт по миллиметрам;
2.2 Даже если есть подключение интернета к основной приставке, то пока не свяжется со спутником - регистрация/активация не произойдёт. Поэтому сначала ловите спутник, а потом регистрируйте (учтите ещё что, когда спутник поймаете, то потребуется до 1 часа для регистрации антены в сети и прогрузке пакета каналов);
В целом, качество сигнала\картинки</t>
  </si>
  <si>
    <t>Иван Шмелёв</t>
  </si>
  <si>
    <t>16.07.2021 04:30</t>
  </si>
  <si>
    <t>CADENA ЦИФРОВАЯ ПРИСТАВКА / РЕСИВЕР DVB-T2 / ТВ-ТЮНЕР / ПРИСТАВКА ДЛЯ ЦИФРОВОГО ТВ DVB-T2 / Cadena CDT-1712</t>
  </si>
  <si>
    <t>Не работает....висит заставка от триколор и на пульт не реагирует.....печально....</t>
  </si>
  <si>
    <t>CADENA Цифровая ТВ приставка  dvb-t2 / ТВ приставка / Приемник для цифрового ТВ DVB-T2 / Cadena CDT-1712</t>
  </si>
  <si>
    <t>05.07.2021 22:26</t>
  </si>
  <si>
    <t>У меня и НТВ+ уже лет 8 - никаких проблем с рессом! Трико - 2 раза менял БП</t>
  </si>
  <si>
    <t>22:23</t>
  </si>
  <si>
    <t>05.07.2021 22:44</t>
  </si>
  <si>
    <t>Попробуйте заменить блок питания</t>
  </si>
  <si>
    <t>05.07.2021 22:23</t>
  </si>
  <si>
    <t>Накипело, как поменяли приставку, в течении 2 лет ремонтировали раза 3. Сейчас как включишь телевизор, долго ждём пока настроится, пишет ошибку 5. То вставлена смарт карта, то извлечена, и так раз 20. Потом вроде нормально. Хоть не выключай телевизор. Надоело. Подскажите, может уже ну её на фиг эту тарелку. Поставить ростелеком?</t>
  </si>
  <si>
    <t>09.07.2021 06:04</t>
  </si>
  <si>
    <t>Чехол на пульт подошел идеально)</t>
  </si>
  <si>
    <t>09.07.2021 20:19</t>
  </si>
  <si>
    <t>Tenda USB-адаптер Wi-Fi Tenda U6</t>
  </si>
  <si>
    <t>Приставка триколор работает с ним хорошо</t>
  </si>
  <si>
    <t>Марат</t>
  </si>
  <si>
    <t>07.07.2021 17:59</t>
  </si>
  <si>
    <t>Пульт работает) все отлично</t>
  </si>
  <si>
    <t>05.07.2021 22:35</t>
  </si>
  <si>
    <t>Гуано а не приложение закончилась подписка ,хочу оплатить ,пишет что нет интернета ,хотя он есть,обновлений в маркете нету ,тупость!
v2.5.0</t>
  </si>
  <si>
    <t>макс титов</t>
  </si>
  <si>
    <t>05.07.2021 23:10</t>
  </si>
  <si>
    <t>Американцы массово смотрят Первый канал,чтобы узнать всю правду о реальной жизни в США и конспектируют в тетради цитаты</t>
  </si>
  <si>
    <t>Кто смотрит? Дебилы? Овцы? Настоящие люди его уже заблокировали, от слова, СОВСЕМ.  % Как и все лживые ФК ТВ. Триколор помог. Много интересного. Даже Covid там умер.</t>
  </si>
  <si>
    <t>Елена Приказчикова</t>
  </si>
  <si>
    <t>Vadim Petrov</t>
  </si>
  <si>
    <t>05.07.2021 21:32</t>
  </si>
  <si>
    <t>Игорь знает, что делать в такой ситуации  Смотри новую серию «Совершенно летние» сегодня в 19:00 на СТС</t>
  </si>
  <si>
    <t>СТС, триколор тв</t>
  </si>
  <si>
    <t>Анна Гонтарь</t>
  </si>
  <si>
    <t>05.07.2021 20:53</t>
  </si>
  <si>
    <t>Жёлтый — хит сезона  Проведи своё самое яркое лето вместе с СТС! Лето на СТС!</t>
  </si>
  <si>
    <t>СТС, Псков. приставка Триколор
(но уже неактуально - отсутсвовал звук диалогов именно в сериале "Совершенно летние").</t>
  </si>
  <si>
    <t>Ксения Решетникова</t>
  </si>
  <si>
    <t>06.07.2021 05:59</t>
  </si>
  <si>
    <t>MIRANT Пульт универсальный GS8306 для спутникового ресивера Триколор/GENERAL SATELLITE</t>
  </si>
  <si>
    <t>Хороший пульт. Всё работает, в комплекте были 2 батарейки.</t>
  </si>
  <si>
    <t>07.07.2021 04:24</t>
  </si>
  <si>
    <t>Kp Эк, здравствуйте
Вы извините, любезно, витрина, лавка или рынок я не понимаю, я уверен в одном - каналы Россия 1, Россия 24 отлично показывают в Винк программе, мувикс программе от дом.ру, чем Триколор ТВ программа на андроид хуже, что лично мне приходится смотреть каналы Россия 1, Россия 24 в Винк, мувикс от дом.ру программах?
Извините
А витрины, лавки, кто чего навязывает я не могу знать, извините, я не профессионал, просто есть как бы Винк, мувикс от дом.ру программы, неужели в них витрина некая не встроена, или встроена, но все показывает, и меня устраивает?
С уважением</t>
  </si>
  <si>
    <t>SharkyEXE</t>
  </si>
  <si>
    <t>05.07.2021 20:39</t>
  </si>
  <si>
    <t>СТС, Вязники триколор тв</t>
  </si>
  <si>
    <t>Максим Плотников</t>
  </si>
  <si>
    <t>Вязники</t>
  </si>
  <si>
    <t>05.07.2021 20:35</t>
  </si>
  <si>
    <t>СТС, Ростов-на-Дону, триколор тв</t>
  </si>
  <si>
    <t>Даниил Ревин</t>
  </si>
  <si>
    <t>Kp Эк, здравствуйте.
Прошу прощения, что вмешиваюсь, временно или постоянно, пока для себя не решил, установил на андроид ТВ приставку приложение Триколор ТВ (Смарт ТВ версия), суть в чем - время идет, годы пролетают, кто чего плохой, или хороший, плеер, витрины, лавки или нет желания договариваться, но одно объективно - в приложении Винк, Мувикс от дом.ру каналы есть (все или некоторые), которых нету в приложении Триколор ТВ. Вы передайте, руководству, Триколор ТВ, что в других приложениях как то чего то работает, витрины или лавки, как-то</t>
  </si>
  <si>
    <t>EJIK_61 @ 05.07.21, 17:54  /forum/index.php?act=findpost&amp;pid=107810913 подскажите пожалуйста возможность просмотра архивов есть?
Далеко не везде. Ради прикола попробовал три канала: матч хд, нтв хд и отр, архив был доступен только на отр.</t>
  </si>
  <si>
    <t>Bigkoss</t>
  </si>
  <si>
    <t>05.07.2021 19:47</t>
  </si>
  <si>
    <t>Триколор, благодарим и очень ждём!</t>
  </si>
  <si>
    <t>05.07.2021 19:46</t>
  </si>
  <si>
    <t>В нашей семье телеканал Конный мир (632 кнопка Триколор ТВ) увлеченно смотрят даже коты))
Без названия</t>
  </si>
  <si>
    <t>Людмила Бешнова</t>
  </si>
  <si>
    <t>text,symbol</t>
  </si>
  <si>
    <t>Купила приставку. Вообще не реагирует на пульт. Висит заставка с бонусами от триколор и вообще ни каких движений. Взяла другие батарейки. Тоже всё мёртвое. В предыдущем отзыве такая же проблема. Мне что эту же неработающую дрянь прислали???? Оформляю возврат!!!!</t>
  </si>
  <si>
    <t>06.07.2021 01:06</t>
  </si>
  <si>
    <t>Дд, был LG 32LA667V, дочь забрала. Что на данное время можно купить в спальню на 32", просмотр с приставки триколор? Спс.</t>
  </si>
  <si>
    <t>Big_Man</t>
  </si>
  <si>
    <t>15.07.2021 15:56</t>
  </si>
  <si>
    <t>Достоинства: Сделан добротно. Подошел к ресиверу (модель GS B 527) идеально
Недостатки: нет
Есть один нюанс - на кнопки нужно нажимать с небольшим усилием, но, может это и лучше... Пульт понравился.</t>
  </si>
  <si>
    <t>Alla</t>
  </si>
  <si>
    <t>05.07.2021 19:18</t>
  </si>
  <si>
    <t>Вы будете смеяться, но у "Триколора" появится в продаже ещё одна новая модель оборудования! Причём, почему то её отнесли</t>
  </si>
  <si>
    <t>Интересна стоимость аппарата.</t>
  </si>
  <si>
    <t>Достоинства: может и хороший
Недостатки: Продовец зачем то произвел частичную активацию приемника и требует предоставить личные данные и сканы документов, но и после предоставления данных не спешит завершить активацию. Завершить актевацию самостоятельно не возможно. 
Радость от покупки омрачает ожидания ответа менеджеров.</t>
  </si>
  <si>
    <t>05.07.2021 20:49</t>
  </si>
  <si>
    <t>Обновление ресивера триколор ТВ gs-8306 (устраняем ошибки)</t>
  </si>
  <si>
    <t>Телеканал моя планета и доктор прекращение вещание со спутникового тв триколор тв gs 8306</t>
  </si>
  <si>
    <t>Новый взгляд</t>
  </si>
  <si>
    <t>05.07.2021 18:57</t>
  </si>
  <si>
    <t>Подскажите может у кого была тоже такая проблема. До обеда не работает триколор на даче, пишет ошибка 0.После обеда</t>
  </si>
  <si>
    <t>Дмитрий, я с Вами спорить не буду, написала как было у нас  С Триколором проблемы не только у нас, и с новым оборудованием тоже самое было.</t>
  </si>
  <si>
    <t>Татьяна Елисеева</t>
  </si>
  <si>
    <t>Город Домодедово</t>
  </si>
  <si>
    <t>05.07.2021 18:53</t>
  </si>
  <si>
    <t>Татьяна, проблема значит была с оборудованием.
Других проблем быть не может.
Мы себе купили телевизоры, в которых CI+ модуль, там оборудование не нужно кроме слота и карты. За 7 лет ни одной проблемы ни с нтв+ ни с триколором.
А в этих приставках один геморрой,  постоянно обновления нужны.</t>
  </si>
  <si>
    <t>Дмитрий Щипулин</t>
  </si>
  <si>
    <t>05.07.2021 18:52</t>
  </si>
  <si>
    <t>пост, вы были в этой теме. Через 20 мин вы вышли и заявились сейчас с фото.Цитата: Myshel от 7 часов  назадСЕЙЧАС! Иначе- тролль.А как насчет второй части вопроса? Про триколор. Если нужен просмотр Триколора, ставите тот бэкап и наслаждайтесь.А вообще, ответ на тот ваш вопрос- сделать полную перезагрузку рессивера. PS: и я просил скрин, а не фото.
https://gisclub.tv/dm-900-ultrahd-4k-obsuzhdenie/trikolor-ci-na-dreamoc/msg614593/#msg614593</t>
  </si>
  <si>
    <t>07.07.2021 11:15</t>
  </si>
  <si>
    <t>WI-FI адаптер GI MT7601 USB Wi-Fi Донгл с антенной 3 дБ</t>
  </si>
  <si>
    <t>Достоинства: То же самое дилер Триколора пытался продать втрое дороже. Прекрасно работает с приемником для просмотра телевидения через интернет. Для чего, собственно, и покупался.</t>
  </si>
  <si>
    <t>Andrey</t>
  </si>
  <si>
    <t>05.07.2021 19:29</t>
  </si>
  <si>
    <t>Круто
v2.5.0</t>
  </si>
  <si>
    <t>05.07.2021 18:36</t>
  </si>
  <si>
    <t>Телевизор с пультом. 200р Тарелка Триколор с кронштейном 100р. СНТ Апраксин</t>
  </si>
  <si>
    <t>Алексей, тарелка это антенна, это просто кусок железа без ничего. А вы что подумали,  комплект за 2 бутылки пива?</t>
  </si>
  <si>
    <t>Игорь Фукс</t>
  </si>
  <si>
    <t>05.07.2021 18:32</t>
  </si>
  <si>
    <t>На ТРИКОЛОРЕ еще куча каналов в старом формате работает. Интересно, в чем заключается ТЕХНИЧЕСКИ перевод каналов в формат 16:9 ? Это все оборудование менять надо или нет?</t>
  </si>
  <si>
    <t>05.07.2021 18:29</t>
  </si>
  <si>
    <t>Триколор, здравствуйте скажите выбор региона Татарстан . У вас есть эти каналы TMTV и Майдан?</t>
  </si>
  <si>
    <t>06.07.2021 05:08</t>
  </si>
  <si>
    <t>Хорошие сотрудники: выслушали, проверили ресивер,нашли неисправность.</t>
  </si>
  <si>
    <t>05.07.2021 17:59</t>
  </si>
  <si>
    <t>добрый вечер,я ошибочно оплатила триколор пакет единный мульти лайт саратов,а мне надо было единый сибирь,через сбербанк онлайн,как отменить или обменять пакеты</t>
  </si>
  <si>
    <t>Чойгана Чамыян</t>
  </si>
  <si>
    <t>Республика Тыва</t>
  </si>
  <si>
    <t>Торгалыг</t>
  </si>
  <si>
    <t>05.07.2021 17:56</t>
  </si>
  <si>
    <t>Всем доброго времени суток! У кого какой интернет провайдер, какой лучше выбрать</t>
  </si>
  <si>
    <t>Света, У меня тарелка. Триколор...Каналов немеряно)))Тернет Дом ,ру . Ну, телефон писал, Мегафон Безлимитка.</t>
  </si>
  <si>
    <t>Волька-Ибн-Алёша Заленский</t>
  </si>
  <si>
    <t>НеТипичный Ульяновск</t>
  </si>
  <si>
    <t>17:54</t>
  </si>
  <si>
    <t>05.07.2021 19:53</t>
  </si>
  <si>
    <t>подскажите пожалуйста возможность просмотра архивов есть?</t>
  </si>
  <si>
    <t>05.07.2021 19:30</t>
  </si>
  <si>
    <t>А ты ГОЛОСОВАЛ сегодня?  Поддерживаем песню #СИЯЙ. До золотого граммофона осталось всего ПЯТЬ недель! • «Золотой</t>
  </si>
  <si>
    <t>Юляш у метя тв триколор смотрю инагда ру тв в оснавном скабееву и соловьева смотрю есть ресивер антена крутится смотрю украину служил ахтырка рвсн  нрвится шансон смотрю и слушаю удачи тебе юля сергей шестых</t>
  </si>
  <si>
    <t>Сергей Шестых</t>
  </si>
  <si>
    <t>Julia Savicheva</t>
  </si>
  <si>
    <t>text,heart</t>
  </si>
  <si>
    <t>https://scontent.fiev25-1.fna.fbcdn.net/v/t39.1997-6/104793986_1001202437002127_2904133107733636449_n.png?_nc_cat=1&amp;ccb=1-3&amp;_nc_sid=ac3552&amp;_nc_ohc=401dMuZICngAX_Q5ZFw&amp;_nc_oc=AQm-vdEKpVj4g6rb7MAVUgcHw52sx2bo_CYfwlmEq3jkGGL55XzOfCNiAF-n532iAFA&amp;_nc_ad=z-m&amp;_nc_cid=0&amp;_nc_ht=scontent.fiev25-1.fna&amp;oh=a8f22bc1823d0af4374a6c8011848c68&amp;oe=60E889B8</t>
  </si>
  <si>
    <t>Работает,все отлично! Рекомендую.</t>
  </si>
  <si>
    <t>Достоинства: точ в точ как родной!
Недостатки: нет
Быстро, удобно! Спасибо!</t>
  </si>
  <si>
    <t>Olga F.</t>
  </si>
  <si>
    <t>06.07.2021 09:28</t>
  </si>
  <si>
    <t>Хороший сервисный центр,персонал приветливый</t>
  </si>
  <si>
    <t>Виктор Шевченко</t>
  </si>
  <si>
    <t>06.07.2021 13:03</t>
  </si>
  <si>
    <t>Внешний HDD Toshiba Canvio Slim</t>
  </si>
  <si>
    <t>Маленький тихий, пока, жесткий диск. Идеально для работы с приставкой Триколора</t>
  </si>
  <si>
    <t>06.07.2021 22:00</t>
  </si>
  <si>
    <t>Топ
Отличное приложение</t>
  </si>
  <si>
    <t>laaaaaaanaaaaaaaa</t>
  </si>
  <si>
    <t>06.07.2021 08:19</t>
  </si>
  <si>
    <t>Нтв+ пофиг, Крым в зоне действия</t>
  </si>
  <si>
    <t>Там оборудование в 2 раза дороже, чем у Триколор</t>
  </si>
  <si>
    <t>telecomrk</t>
  </si>
  <si>
    <t>Мобильная связь в Крыму</t>
  </si>
  <si>
    <t>06.07.2021 05:09</t>
  </si>
  <si>
    <t>Не серьезная организация.Дозвониться не реально.</t>
  </si>
  <si>
    <t>Сергей Н.</t>
  </si>
  <si>
    <t>06.07.2021 10:16</t>
  </si>
  <si>
    <t>ТВ-приставка Xiaomi Mi Box S</t>
  </si>
  <si>
    <t>Достоинства: Адекватная цена. Брала для дачи, так как с Триколором каждый год проблемы.
Легко подключается и настраивается.
Недостатки: Нет</t>
  </si>
  <si>
    <t>Lala</t>
  </si>
  <si>
    <t>05.07.2021 16:02</t>
  </si>
  <si>
    <t>Валентина,  каждый раз обновление да и ещё ресаки менять.</t>
  </si>
  <si>
    <t>Александр Медведев</t>
  </si>
  <si>
    <t>Москаленки</t>
  </si>
  <si>
    <t>Народ, нужен Спутниковый Интернет на подобии Триколор с уверенным покрытием в Крыму. У Триколор точечное покрывало по лучам и Крым тупо в пролете</t>
  </si>
  <si>
    <t>05.07.2021 15:49</t>
  </si>
  <si>
    <t>Больше в нашем инстаграм: https://instagram.com/help_each_other08 1.Друзья, дайте номер тлф по ремонту сплит систем.</t>
  </si>
  <si>
    <t>1.Да сейчас много таких обманщиков, даже с Триколор мастер 600 взял а тв как не работал так и не работает,и в магазине ихнем пургу несут, пришлось подключить  Зелёную точку</t>
  </si>
  <si>
    <t>Алена Манджиева</t>
  </si>
  <si>
    <t>05.07.2021 15:04</t>
  </si>
  <si>
    <t>Тарелка Триколор то живая?</t>
  </si>
  <si>
    <t>Алексей Нехаев</t>
  </si>
  <si>
    <t>07.07.2021 04:23</t>
  </si>
  <si>
    <t>Евгений 1970, здравствуйте
Повторюсь снова - добавлением витрины в Триколор ТВ (нет желания или просто нет возможности, не могу знать) и витриной транслировать только некоторые каналы (Россия 1, Россия 24 и другие), абонентам Триколор ТВ на андроид не придется пользоваться винком, мувиксом и прочими альтернативами, для просмотра: Россия 1, Россия 24 и других, которым необходима витрина
Как бы я не могу знать, нет основания полагать, что все каналы, вещающие в Триколор ТВ на андроид, захотят транслироваться через витрину
Извините, ну да ладно, смысл, эффект "из пустого в порожнее", было бы желание, делаемо, а хорошая или нет витрина, кому она нравится или не нравится, от этого каналы Россия 1, Россия 24 в Триколор ТВ на андроид не появятся</t>
  </si>
  <si>
    <t>Евгений 1970, здравствуйте
Простите великодушно, Вы всяко больше в этом понимаете, аплинки, Сколково и прочее, я не претендую на "самое правильное мнение"
Я просто по поводу
пункт 1) второй плеер от Витрины в одно приложение НЕ встраивать
пункт 2) не договориться или уже нет смысла договариваться, чтобы второй плеер от Витрины в одно приложение НЕ встраивать, чтобы трансляция Россия 1, Россия 24 шла через встроенный плеер Триколор ТВот этого каналы Россия 1, Россия 24 не появятся, просто время проходит, альтернативы винк, мувикс работают</t>
  </si>
  <si>
    <t>06.07.2021 17:54</t>
  </si>
  <si>
    <t>Каждый раз вылетает
С недавнего времени появилась проблема. Каждый раз при заходе в приложение оно вылетает из аккаунта и приходится заново вводить логин и пароль из смс. Раньше всё было хорошо.</t>
  </si>
  <si>
    <t>Arina 1990</t>
  </si>
  <si>
    <t>05.07.2021 14:35</t>
  </si>
  <si>
    <t>Зачем мне ваше обязательное обновление. Твари Лол.ору
v2.4.0</t>
  </si>
  <si>
    <t>С Э</t>
  </si>
  <si>
    <t>14:24</t>
  </si>
  <si>
    <t>SharkyEXE, ВГТРК энд компани вложились в раскрутку витрины ,потому и упираются рогом проталкивая сие куда попало.Расказывая всем и вся что Вы не должны свою рекламу втыкать и что ещё смешнее использовать пиратские  потоковые ссылки для ретрансляции вышеуказанных каналов на своей отт платформе,напомню выдержку,то есть их коммент
В пресс-службе НМГ заявили, что «Триколор» распространял нелицензионные версии каналов холдинга, отметив, что их легальное распространение возможно «только через техническое решение "Витрины ТВ"».
А ничего что сигнал подаваемый на спутник берётся от самих телеканалов по оптике доставляется в Сколково,в чём трудность этот самый сигнал отправлять в отт для дальнейшей ретрансляции,аналогично спутнику  Какие левые версии,об чём там говорят</t>
  </si>
  <si>
    <t>05.07.2021 14:12</t>
  </si>
  <si>
    <t>Возможно. Но она у нас уже 1000 лет и раньше таких проблем не было. В редких случаях только)</t>
  </si>
  <si>
    <t>14:05</t>
  </si>
  <si>
    <t>05.07.2021 17:51</t>
  </si>
  <si>
    <t>SERCOMM STB122A [Android] [Другая]</t>
  </si>
  <si>
    <t>Подскажите пожалуйста, работает ли на данной приставке приложение триколор ТВ? Если вручную установить?</t>
  </si>
  <si>
    <t>05.07.2021 14:06</t>
  </si>
  <si>
    <t>Жители города, скажите у кого уже около недели виснет интернет? Кстати в магазинах тоже два дня назад терминалы не</t>
  </si>
  <si>
    <t>Сергей, я не про сейчас у меня триколор 2 года и интернет зелёная точка, тариф плачю 750 руб  скорость стоит высокая, а тормозит как пнять тогда, так же как и тарелка</t>
  </si>
  <si>
    <t>Андрей Рябцев</t>
  </si>
  <si>
    <t>Мой Елец | Новости</t>
  </si>
  <si>
    <t>Елец</t>
  </si>
  <si>
    <t>05.07.2021 14:21</t>
  </si>
  <si>
    <t>Купил FORD Escort за 10к / ВАЗ 2111 провал в ГИБДД / Самый неудачный тазовлог #2</t>
  </si>
  <si>
    <t>Бляха муха поставить ты бабуле триколор или какую другую спутниковую тарелку</t>
  </si>
  <si>
    <t>Daniel</t>
  </si>
  <si>
    <t>MURK POWER</t>
  </si>
  <si>
    <t>договариватьсяканалы Россия 1, Россия 24 не вернутся
Повторюсь, ничего страшного, смотрим в винк, мувиксе, время идет, годы пролетают...
Не обижайтесь, пожалуйста, никто не требует космического, просто как бы по идее, и в Триколор ТВ на андроиде возможно было бы смотреть каналы Россия 1, Россия 24
Могу ошибаться, я не профессионал, в ОТТ Триколор ТВ каналов, по моей идее, всяко больше должно быть, чем на спутнике (типа лицензии, авторские права и прочее), по факту теже Россия 1, Россия 24 на спутнике есть, в ОТТ нету, хотя я могу неправильно понимать "в ОТТ Триколор ТВ каналов, по моей идее, всяко больше должно быть, чем на спутнике (типа лицензии, авторские права и прочее)"
Извините</t>
  </si>
  <si>
    <t>05.07.2021 13:56</t>
  </si>
  <si>
    <t>Добрый день! Из сетки каналов Триколор пропали первые 20. Подскажите, пожалуйста, как настроить.</t>
  </si>
  <si>
    <t>Ольга, осматривайте или меняйте кабель от тарелки до ресивера, проверяйте бп. Или ищите такого мастера который настроит один раз и надолго)</t>
  </si>
  <si>
    <t>Злой житель с. Объячево (18+)</t>
  </si>
  <si>
    <t>06.07.2021 17:27</t>
  </si>
  <si>
    <t>Вопросы по спутниковому ТВ - 2</t>
  </si>
  <si>
    <t>Люди, памагити)
После грозы сдох конвертер GS SLWI-52E, один его канал был на триколоровском ресивере 9305, другой - на телеке LG с САМ-модулем НТВ+. купил конвертер Lumax LU-40TCIR, у него вроде получше соотношение сигнал/шум, ну и вообще. Короче, пока НТВ+ телек был подключен один, всё прекрасно показывало как было, сигнал раньше был 90, стал 100%. А когда подключил ко второму входу ресивер от Триколора, тот тоже отлично запустился и всё показывает, но на НТВшном отвалились вcе HD-каналы и бОльшая часть SD-каналов. Отключение</t>
  </si>
  <si>
    <t>Nikud</t>
  </si>
  <si>
    <t>forumhouse.ru</t>
  </si>
  <si>
    <t>Форум: дом и дача &gt; Телевидение</t>
  </si>
  <si>
    <t>05.07.2021 13:54</t>
  </si>
  <si>
    <t>Виктория, если ставить такую тарелку как на фото, то лучше подумать о диаметре побольше) тогда не будет проблем от непогоды)</t>
  </si>
  <si>
    <t>05.07.2021 13:52</t>
  </si>
  <si>
    <t>Людмила, какая модель приёмника? 8300</t>
  </si>
  <si>
    <t>Юрий Кочуг</t>
  </si>
  <si>
    <t>Поделитесь, у кого интернет провайдер хороший, чтобы и скорость,и быстрое устранение поломок. А то мой провайдер что-то</t>
  </si>
  <si>
    <t>Максим, за ртк не скажу, у меня инет дома другой, а вот триколор не первый год поднлючен на две тарелки, пользуемся без проблем</t>
  </si>
  <si>
    <t>Про Ржев -  объявления, мнения, новости.</t>
  </si>
  <si>
    <t>Ржев</t>
  </si>
  <si>
    <t>05.07.2021 13:50</t>
  </si>
  <si>
    <t>Андрей, в мск были перебои в работе многих станций, сейчас так у всех из-за погодных условий. Насчет триколора могу сказать что третий год работает без нареканий) поставил и забыл</t>
  </si>
  <si>
    <t>Сергей Савченко</t>
  </si>
  <si>
    <t>05.07.2021 14:07</t>
  </si>
  <si>
    <t>Ворье Ваш Триколор. Без моего ведома подключили автоплатеж на Матч Примьер. И списали деньги за не нужную мне услугу</t>
  </si>
  <si>
    <t>Надо было попросту сразу его отключить, если не нужно было) ну или внимательно читать соглашения. А вообще напишите в поддержку, там реагируют быстро. Вернут деньги, если не нуждались</t>
  </si>
  <si>
    <t>Изменение стоимости пакета "Детский" c 19 .07.2021 г. Стоимость пакета : 365 дн/1500 руб., 31дн/250 руб.. https://www</t>
  </si>
  <si>
    <t>Александр, ну так напишите им о своих пожеланиях. Один человек, пять, сто предложат и возьмут на заметку. А вообще сейчас у них появляются тарифы с помесячной оплатой</t>
  </si>
  <si>
    <t>05.07.2021 13:47</t>
  </si>
  <si>
    <t>Добрый вечер. У кого есть триколор, как сегодня показывает? А то потух, горит нет сигнала и всё</t>
  </si>
  <si>
    <t>Елена, пишите триколору в поддержку, что-то значит не так с ресивером. Там должны разобраться. Если есть сигнал на эти каналы, должен быть и на остальные.</t>
  </si>
  <si>
    <t>Подслушано в Черепаново</t>
  </si>
  <si>
    <t>05.07.2021 14:47</t>
  </si>
  <si>
    <t>Здравствуйте! Посоветуйте,пожалуйста,компанию по установке спутникового тв</t>
  </si>
  <si>
    <t>Мы привезли триколор из России, уже давно. Главное, чтоб тарелку было где поставить</t>
  </si>
  <si>
    <t>MariO</t>
  </si>
  <si>
    <t>БОЛГАРИЯ  группа собственников недвижимости , проблемы решения и личный опыт</t>
  </si>
  <si>
    <t>05.07.2021 18:25</t>
  </si>
  <si>
    <t>Официальный партнер Триколор ТВ "ИП Гришанов Виталий Борисович" (Россия, Саратов) - жулик</t>
  </si>
  <si>
    <t>Здравствуйте. Нам очень жаль, что вы столкнулись с такой ситуацией. Пожалуйста, напишите нам в Личных сообщениях и уточните ваш Триколор ID, а также сайт, на котором совершалась оплата. Будем разбираться в ситуации вместе.</t>
  </si>
  <si>
    <t>Официальный партнер Триколор ТВ "ИП Гришанов Виталий Борисович" (Россия, Саратов)</t>
  </si>
  <si>
    <t>09.07.2021 06:05</t>
  </si>
  <si>
    <t>Чехол отличный, хорошо прошит. Спасибо большое)))</t>
  </si>
  <si>
    <t>05.07.2021 13:27</t>
  </si>
  <si>
    <t>Здравствуйте. Когда будите работать? Почему до вас не дозвониться?</t>
  </si>
  <si>
    <t>Смотря куда вы звоните!!!.
Мне интересно, как вы в сообщество пытаетесь дозвониться??
Звоните в Триколор, а не сюда....</t>
  </si>
  <si>
    <t>Александр Карпинский</t>
  </si>
  <si>
    <t>Колпашево</t>
  </si>
  <si>
    <t>07.07.2021 05:43</t>
  </si>
  <si>
    <t>Пульт ДУ Huayu HOB1365 для ресивера Триколор DTS53/DTS54</t>
  </si>
  <si>
    <t>Достоинства: Не плохо за эти деньги</t>
  </si>
  <si>
    <t>Макс Петров</t>
  </si>
  <si>
    <t>Kp Эк, здравствуйте
А этот вариант Триколор ТВ принципиально нет желания рассмотреть?
принципиальные" каналы транслировать через витрину, а каналам, кому не особо важно, хоть через витрину, хоть через плеер от Триколор ТВ транслировать
Хотя да, время проходит, годы пролетают, каналы некоторые из-за этого ушли из ОТТ в Триколор ТВ, пользователи смотрят Винк, мувикс, все у всех спокойно</t>
  </si>
  <si>
    <t>05.07.2021 12:41</t>
  </si>
  <si>
    <t>Андрей Семенюк</t>
  </si>
  <si>
    <t>05.07.2021 11:46</t>
  </si>
  <si>
    <t>Триколор, спасибо они мои любимые фильмы</t>
  </si>
  <si>
    <t>05.07.2021 11:29</t>
  </si>
  <si>
    <t>Илья, потому что есть разрешение перехода в 16:9 у телеканала Disney</t>
  </si>
  <si>
    <t>Дмитрий Герасимов</t>
  </si>
  <si>
    <t>на триколор онлайн и почему нету сказки советские как морозко пропавшая граматта и много других</t>
  </si>
  <si>
    <t>привет когда добавите фильмы знаки реальные кабаны дрожь земли 7 частей крокодил данди все части и такси 5 частей охотники за привидениями все части неудержимые все части генетическая особь бинго бонго васаби особняк с привидениями чужой все части я их жду давно мои фильмы простба оставляйте их на всегагда</t>
  </si>
  <si>
    <t>Виталий Колеченок</t>
  </si>
  <si>
    <t>05.07.2021 11:16</t>
  </si>
  <si>
    <t>Здравствуйте! Кто-то знает, какая в этом году стоимость услуг «Триколор ТВ», была 1500 р, я вчера заплатила, а каналы</t>
  </si>
  <si>
    <t>1500 руб. платила 01.07.2021, 02.07.2021 заканчивался срок подписки, все показывает.</t>
  </si>
  <si>
    <t>Irina Irina</t>
  </si>
  <si>
    <t>Информ Губаха</t>
  </si>
  <si>
    <t>SharkyEXE писал(а):Я, конечно, всегда за альтернативу, мол при вагоне альтернативы, здоровая конкуренция никогда не помешает, что есть витрина, что у Триколор ТВ есть его плеер, но, от этой альтернативы, только страдает, точнее, пользуется альтернативой пользователь, типа меня, смотря чего ему нужно, хоть в винк, хоть в мувиксе
Любезный, если вы всегда за альтернативу, то донесите свою позицию Витрине и ВГТРК, которые отказывают Триколор в альтернативе по плееру, может они будут настолько любезны, что внемлют Вашим любезным чаяниям по поводу каналов Россия1 и Россия 24 на ОТТ платформе Триколора
Спасибо. с неизменным уважением и любезностью к вам</t>
  </si>
  <si>
    <t>05.07.2021 13:45</t>
  </si>
  <si>
    <t>Служба доставки Boxberry (Россия, Коломна) - Гнев и разочарование</t>
  </si>
  <si>
    <t>Отсутствуют
Уже написал. Сплошной минус.
Интернет магазин заказ отправил через эту кантору. В итоге посылка была перенаправлена на другой адрес в другой конец города. Смог найти время чтобы приехать и в итоге обслуживание производит один человек и не только клиентов бокс Берри. Коломна. ул. Яна Грунта, д.14В, оф. В-3
[вырезано модератором]
В итоге клиенты триколор, у которых вдруг перестал показывать первый канал, заняли всю очередь передо мной и каждый обслуживался по 20-30 мин. После 2х человек мое терпение лопнуло. Хоть добрый человек хотел пропустить меня без очереди, но я все равно не смог дождаться пока разберутся почему вдруг из за неправильно вставленной карты не работает чертов первый канал. Ожидать посылку почти час даже себе не позволяет почта России. Спасибо за потраченное время .</t>
  </si>
  <si>
    <t>Gatito20</t>
  </si>
  <si>
    <t>Служба доставки Boxberry (Россия)</t>
  </si>
  <si>
    <t>05.07.2021 10:23</t>
  </si>
  <si>
    <t>⚽ Результаты матчей 14-го тура! Исторический матч «Рубина», московское дерби «Чертаново» и ЖФК ЦСКА, победа «Локомотива»</t>
  </si>
  <si>
    <t>Суперлига спасибо, что спросили.
Запомнился ужасным комментатором матча зенит - локомотив.
Это ещё допускается, при просмотре на сайте зенита, но трансляция ваша? Вы камеры ставите? На триколор вы вещаете? Почему комментатор откровенно болеет за одну команду, причём болеет так, что на визг переходит.</t>
  </si>
  <si>
    <t>Михаил Карпушин</t>
  </si>
  <si>
    <t>05.07.2021 10:19</t>
  </si>
  <si>
    <t>Прямая трансляция матча ⬇️ Зенит - Локомотив. Суперлига-2021. 14 тур</t>
  </si>
  <si>
    <t>Дмитрий, я смотрел матч на нейтральном канале триколора, а не на сайте питерского клуба. Как Суперлига это допускает - вот в чем вопрос</t>
  </si>
  <si>
    <t>ЖФК «Локомотив»</t>
  </si>
  <si>
    <t>05.07.2021 10:07</t>
  </si>
  <si>
    <t>Всем привет. Кто занимается триколором? Есть специалисты? После грозы сгорел блок. Поменял. Теперь качество и сила 0</t>
  </si>
  <si>
    <t>Болванку на антенне  скорее всего тоже нужно менять, частенько горят даже от статики.</t>
  </si>
  <si>
    <t>Виктор Уфимцев</t>
  </si>
  <si>
    <t>Ярково</t>
  </si>
  <si>
    <t>06.07.2021 15:48</t>
  </si>
  <si>
    <t>Спутниковый ресивер General Satellite GS B622L</t>
  </si>
  <si>
    <t>Достоинства: Новая приставка к для триколора от компании GS group удобства 4K к онлайн телевидение богатая видеотека
Недостатки: Цена на здесь на маркете 621 много дешевле</t>
  </si>
  <si>
    <t>Илья Козлов</t>
  </si>
  <si>
    <t>05.07.2021 09:30</t>
  </si>
  <si>
    <t>Добрый день.а канал усадьба на какой кнопке или его нет,в списке каналов</t>
  </si>
  <si>
    <t>Юра Дьяков</t>
  </si>
  <si>
    <t>05.07.2021 09:26</t>
  </si>
  <si>
    <t>здравствуйте, кто может подсказать как на имидже PurE2-6.5 запустить модуль триколор? загрузил плагин ciplus halper , все равно ругается что модуль должен работать только в режиме ci+
Триколор CI+ на DreamOC
https://gisclub.tv/dm-900-ultrahd-4k-obsuzhdenie/trikolor-ci-na-dreamoc/msg614581/#msg614581</t>
  </si>
  <si>
    <t>07.07.2021 18:00</t>
  </si>
  <si>
    <t>Отлично работает</t>
  </si>
  <si>
    <t>Василий</t>
  </si>
  <si>
    <t>08:24</t>
  </si>
  <si>
    <t>05.07.2021 18:19</t>
  </si>
  <si>
    <t>Huawei Блок питания HW-120200E1W для Ростелеком Триколор Gpon модемов роутеров ТВ-приставок ламп камер</t>
  </si>
  <si>
    <t>Включил. Работает.</t>
  </si>
  <si>
    <t>08:08</t>
  </si>
  <si>
    <t>05.07.2021 09:41</t>
  </si>
  <si>
    <t>Не советую. Все вместе будет стоить ежемесячно 850 р. Скорость инета заявлена до. 10 мбит/с, но в реальности не более 3-4 в лучшем случае (это т.н. тариф для ноутбука). ТВ тоже гуано. Кол-во каналов в базовом тарифе вроде более 200, но где-то 50 - дублир</t>
  </si>
  <si>
    <t>На один тв 1500 на двойной 2000</t>
  </si>
  <si>
    <t>Богородское поселение. Общий чат.</t>
  </si>
  <si>
    <t>08:04</t>
  </si>
  <si>
    <t>05.07.2021 08:31</t>
  </si>
  <si>
    <t>Я потерял пароль и очень плохо что в приложении нет пункта,,восстановить пароль,,поэтому пока 2
v2.5.0</t>
  </si>
  <si>
    <t>Никола Я</t>
  </si>
  <si>
    <t>05.07.2021 06:56</t>
  </si>
  <si>
    <t>У триколоров есть одна маленькая беда, постоянно летит блок питания. Он может так же подавать ток, но напряжения не хватает. Попробуйте сменить блок(это первое что делает мастер) может помочь.</t>
  </si>
  <si>
    <t>Анжела Бутина</t>
  </si>
  <si>
    <t>05:25</t>
  </si>
  <si>
    <t>05.07.2021 05:25</t>
  </si>
  <si>
    <t>Если 0 канал не показывает, то смотрите оборудование. Может где провод обломился</t>
  </si>
  <si>
    <t>Алексей Сериков</t>
  </si>
  <si>
    <t>03:47</t>
  </si>
  <si>
    <t>05.07.2021 03:47</t>
  </si>
  <si>
    <t>Работают хорошо только федеральные каналы, остальные зависают, появляется табличка "нет сигнала" и это не первый день. В другой комнате стоит Континент, там все норм..</t>
  </si>
  <si>
    <t>Елена Пчелинцева</t>
  </si>
  <si>
    <t>05.07.2021 03:12</t>
  </si>
  <si>
    <t>Все работает,может платежка закончилась в личном кабинете посмотрите.</t>
  </si>
  <si>
    <t>Татьяна Черняева</t>
  </si>
  <si>
    <t>00:20</t>
  </si>
  <si>
    <t>05.07.2021 00:21</t>
  </si>
  <si>
    <t>Игорь, согласен, ростелеком, как и триколор это днище!</t>
  </si>
  <si>
    <t>Максим Починкин</t>
  </si>
  <si>
    <t>00:13</t>
  </si>
  <si>
    <t>Комплект спутникового телевидения Триколор ТВ на 2 телевизора</t>
  </si>
  <si>
    <t>Достоинства: не дорого
Недостатки: нет
отлично</t>
  </si>
  <si>
    <t>Юрий Е.</t>
  </si>
  <si>
    <t>05.07.2021 00:10</t>
  </si>
  <si>
    <t>Подскажите, пожалуйста, кто занимается установкой Триколор, ремонтом, обслуживанием?! Номер телефона напишите АНОНИМНО</t>
  </si>
  <si>
    <t>Рамаз, не открою. Публичную оферту ещё никто не отменял. А то я вас всех знаю - мне одну цену, соседям другую, друзьям вообще нахаляву. Давайте реальную цену, номер тлф и я позвоню. Второй этаж, шнур выведен, повесить тарелку и на троить. Тарелка и ресивер есть. Пишите. Если надо лестницу - я найду, мне дешевле будет.</t>
  </si>
  <si>
    <t>Наташа Наташа</t>
  </si>
  <si>
    <t>Подслушано в Северском районе</t>
  </si>
  <si>
    <t>Ахтырский</t>
  </si>
  <si>
    <t>04.07.2021</t>
  </si>
  <si>
    <t>05.07.2021 00:20</t>
  </si>
  <si>
    <t>Есть незначительные минусы, а это продление без уведомления. Подключила пакет детский на месяц. И уже смотря историю операций, увидела, что услуга автоматически продлевается. Для меня это не удобно. Убрала автопродление через официальный сайт. Так нареканий к работе программы нет.
v2.5.0</t>
  </si>
  <si>
    <t>Голдфред Play Варельджян</t>
  </si>
  <si>
    <t>23:42</t>
  </si>
  <si>
    <t>04.07.2021 23:57</t>
  </si>
  <si>
    <t>Триколор, раздел радио добавте</t>
  </si>
  <si>
    <t>04.07.2021 23:42</t>
  </si>
  <si>
    <t>Да, новые радиостанции в Спутниковом вещании Триколор !!! 1. Радиоканал "Популярная классика" появился на частоте 12303</t>
  </si>
  <si>
    <t>Когда появиться радио на онлайн</t>
  </si>
  <si>
    <t>04.07.2021 23:31</t>
  </si>
  <si>
    <t>Вечер добрый.  Увас есть оборудование   ну в смысле тарелка?. Её нужно просто установить.  Или всё вместе надо?</t>
  </si>
  <si>
    <t>Рамаз Езид</t>
  </si>
  <si>
    <t>06.07.2021 13:34</t>
  </si>
  <si>
    <t>GSM модем Alcatel Link Key IK41VE1</t>
  </si>
  <si>
    <t>этот квест по улучшению заранее имеющегося, но плохого мобильного интернета тянет на целую статью, но это решение считаю самым лучшим и правильным даже по сравнению со спутниковым интернетом. хотя мои 3-4 МБ (в лучшем случае) и хуже тарелки по качеству соединения против 10 Мб минимум (триколор предлагает 40 Мб за 2т.р.). Мой тариф - 500р/мес и я могу симку обратно переставить на планшет по окончанию дачного сезона.
Скоро поеду в окрестности Калуги женить зюксель с заранее совместимым 3G usb-модемом, но без внешних антенн.
Кстати в последнее время теле2 (с вышек мегафона) очень хорошо дает инет за городом, чувствую какой-то заговор ибо раньше в этих местах инет был и у конкурентов (чьим клиентом я и родственники являемся).</t>
  </si>
  <si>
    <t>23:02</t>
  </si>
  <si>
    <t>04.07.2021 23:02</t>
  </si>
  <si>
    <t>❗️ ВНИМАНИЮ КОМПАНИЙ, ИСПОЛЬЗУЮЩИХ В РАБОТЕ VPN-СЕРВИСЫ В соответствии с требованиями регламента реагирования</t>
  </si>
  <si>
    <t>Игорь, когда появиться мтв Россия на триколор онлайн и расширте много радио и почему на смарт тв лджи выпуск 2021 нету русских онлайн радио</t>
  </si>
  <si>
    <t>Роскомнадзор</t>
  </si>
  <si>
    <t>04.07.2021 22:52</t>
  </si>
  <si>
    <t>Добавте новые радио</t>
  </si>
  <si>
    <t>04.07.2021 22:49</t>
  </si>
  <si>
    <t>Генеральный продюсер телеканала «Матч ТВ» Тина Канделаки о покупке прав на АПЛ: «Со Сбербанком бороться сложно. Они</t>
  </si>
  <si>
    <t>Alter, на триколор ТВ у них 6каналов. 3 канала HD</t>
  </si>
  <si>
    <t>Саша Шпаков</t>
  </si>
  <si>
    <t>АПЛ</t>
  </si>
  <si>
    <t>Когда появиться радио раздел на триколор онлайн так и нету</t>
  </si>
  <si>
    <t>22:46</t>
  </si>
  <si>
    <t>05.07.2021 02:04</t>
  </si>
  <si>
    <t>Подключение к спутниковому TV без ресивера (через CAM модуль CI+)</t>
  </si>
  <si>
    <t>Триколор охренели. Базовый стоил 600 руб теперь 1200 а базовые каналы говн.</t>
  </si>
  <si>
    <t>Тарас Бульбас</t>
  </si>
  <si>
    <t>Дважды Отец Димитрий</t>
  </si>
  <si>
    <t>04.07.2021 22:31</t>
  </si>
  <si>
    <t>Звоните на горячую линию, а вам 42 минуты робот будет говорить, что оператор ответит вам в течение 7 мин.  Зачем я вас выбрал? Мой тел 89622412929</t>
  </si>
  <si>
    <t>Пульт отличный. Все работает.</t>
  </si>
  <si>
    <t>04.07.2021 21:53</t>
  </si>
  <si>
    <t>Игорь, почему в интернете вешает</t>
  </si>
  <si>
    <t>04.07.2021 21:11</t>
  </si>
  <si>
    <t>Лучше бы добавили новые Ultra HD каналы. Пару, тройку.</t>
  </si>
  <si>
    <t>04.07.2021 21:13</t>
  </si>
  <si>
    <t>Подскажите, кто то ставил тарелку телевидение и интернет от МТС? Как ведёт себя интернет, хватает ли?</t>
  </si>
  <si>
    <t>Не советую. Все вместе будет стоить ежемесячно 850 р. Скорость инета заявлена до. 10 мбит/с, но в реальности не более 3-4 в лучшем случае (это т.н. тариф для ноутбука).
ТВ тоже гуано. Кол-во каналов в базовом тарифе вроде более 200, но где-то 50 - дублирующиеся по часовым поясам федеральные.  Отдельно оплата ТВ стоит 175 р/мес. Самому настроить антенну не удалось, пришлось приглашать мастера за +2500 к стоимости комплекта. 
Советую поставить триколор. Базовый тариф стоит около 1200-1500 р/год(могу ошибиться, очередная оплата только в ноябре), тарелка на спутник настраивается довольно легко.
Интернет лучше ставить отдельно. Чуть выше я про это писал - поищите
Разница в цене между ресивера и не в пользу триколор а, но потом оцените</t>
  </si>
  <si>
    <t>Ed Doc</t>
  </si>
  <si>
    <t>04.07.2021 20:36</t>
  </si>
  <si>
    <t>1500 платила 2.07</t>
  </si>
  <si>
    <t>Диана Либер</t>
  </si>
  <si>
    <t>04.07.2021 20:42</t>
  </si>
  <si>
    <t>Деньги забирают прямо из дома, быстро!
Своих денег будет не найти!
28.05.21 оплатил 1500 за пакет Единый через ИП Гришанова в. б. Получил по почте чек от 28.05.21 N 62. Триколор отвечает-денег не поступало, разбирайтесь с ИП Гришановым. Гришанов отвечает-разбирайтесь с Триколором. Детский сад! Триколор должен разобраться со своим дилером. Я предоставил скрин шоты чека. Короче-жульё! Совет-оплачивайте только в офисах! Иначе попадёте! Кроме Гришановых там вообще тьма подводных камней типа- пакет Ультра, который требует нового оборудования!</t>
  </si>
  <si>
    <t>Яжеговорил</t>
  </si>
  <si>
    <t>04.07.2021 19:57</t>
  </si>
  <si>
    <t>Ольга, ну мы тоже подумали что у нас только, но решила спросить, мало ли что, такое ощущение что тарелка неправильно стоит , уже всё перепробывали‍♂️</t>
  </si>
  <si>
    <t>04.07.2021 20:01</t>
  </si>
  <si>
    <t>каналов мнго как центральных так и местных так же как и в России</t>
  </si>
  <si>
    <t>да в России ток триколор тв пакеты и Нтв плюс</t>
  </si>
  <si>
    <t>Alcаtras</t>
  </si>
  <si>
    <t>Pluto2020</t>
  </si>
  <si>
    <t>04.07.2021 19:52</t>
  </si>
  <si>
    <t>Чего там у вас с Остросюжетным и Премиальным случилось , какой-то правообладатель не дает смотреть фильмы из архива ? И добавьте пожалуйста архив для Кино ТВ , FAN и Paramount Channel</t>
  </si>
  <si>
    <t>Я тоже для DVBT2    ресивера ищу триколор</t>
  </si>
  <si>
    <t>04.07.2021 19:42</t>
  </si>
  <si>
    <t>Ярки. Хорошо показывает</t>
  </si>
  <si>
    <t>Светлана Сытенкова</t>
  </si>
  <si>
    <t>04.07.2021 19:39</t>
  </si>
  <si>
    <t>Триколор, Bridge tv вовсе не альтернатива MTV, у них совсем разное наполнение программной сетки и база клипов, чуть чуть чем то похожи в плане русской музыки Музыка первого и О2тв, а по заграничной музыке был не много похож 1HD который также прекратил Вас вещание, в остальном на MTV эксклюзивный контент аналогов которому нет</t>
  </si>
  <si>
    <t>04.07.2021 19:37</t>
  </si>
  <si>
    <t>В Посевной такая же беда с триколором-нет сигнала.Почему то думаем,что только у нас....Звонили мастеру,ничем по телефону помочь не смог.</t>
  </si>
  <si>
    <t>Ольга Крупкина</t>
  </si>
  <si>
    <t>Посевная</t>
  </si>
  <si>
    <t>04.07.2021 19:30</t>
  </si>
  <si>
    <t>Триколор, верните MTV Россия вместо ушедшего MTV Hits</t>
  </si>
  <si>
    <t>Илья, MTV Hits вернуть в Триколор не удастся, так как канал прекратил вещание на СНГ по собственной инициативе, а вот как вариант на место ушедшего MTV Hits включить MTV Россия было бы самым лучшим развитием событий</t>
  </si>
  <si>
    <t>Отличный пульт все работает</t>
  </si>
  <si>
    <t>04.07.2021 19:20</t>
  </si>
  <si>
    <t>Отлично. Спасибо вам огромное.
v2.5.0</t>
  </si>
  <si>
    <t>Светлана Кондратьева</t>
  </si>
  <si>
    <t>05.07.2021 10:34</t>
  </si>
  <si>
    <t>Покупал тут ресивер. Пришлось немного подождать продавца. А так все быстро оформили.</t>
  </si>
  <si>
    <t>Сергей Черепанов</t>
  </si>
  <si>
    <t>Ессентуки</t>
  </si>
  <si>
    <t>04.07.2021 18:59</t>
  </si>
  <si>
    <t>Взломал мыло давно давно,на нем двушка.так что Триколор ТВ с того мыла,с хозяином поделили двушка попалам ,сотка владельцу вернётся с старого договора (деньгами,не разбрасывался)</t>
  </si>
  <si>
    <t>04.07.2021 18:56</t>
  </si>
  <si>
    <t>Триколор ТВ Экспресс АМУ1 36.0°E Радиоканал "Популярная классика" появился на 12303 L 27500 FEC 3/4, Mpeg-4 , DRE-Crypt.</t>
  </si>
  <si>
    <t>Неизвестный, думаю, скоро онлайн радио появяться.</t>
  </si>
  <si>
    <t>04.07.2021 18:51</t>
  </si>
  <si>
    <t>Скажите телевизор показывает или нет</t>
  </si>
  <si>
    <t>Триколор показывает</t>
  </si>
  <si>
    <t>Женя Истомин</t>
  </si>
  <si>
    <t>Подслушано Кунгур</t>
  </si>
  <si>
    <t>04.07.2021 18:50</t>
  </si>
  <si>
    <t>05.07.2021 03:57</t>
  </si>
  <si>
    <t>Пульт ДУ Gwire 99822 Триколор 2 для ресиверов General Satellite</t>
  </si>
  <si>
    <t>Достоинства: хороший пульт
Недостатки: нету</t>
  </si>
  <si>
    <t>василий</t>
  </si>
  <si>
    <t>04.07.2021 18:06</t>
  </si>
  <si>
    <t>ПОСЛЕ ГРОЗЫ В МУРАНИТНОМ Новость, но не новая для Муранитного. После вчерашней грозы с 23:00 до сих пор нет</t>
  </si>
  <si>
    <t>Gala, это как повезет. Интернет у меня рткашный сохранился, зато прикмник триколора сдох. Каждому устройству - своя судьба. Однако, как показывает практика, излишняя централизация на областном уровне не способствует оперативному решению проблем. Раньше с Белоярскими электриками, как и в Вашем случае, проблемы решались оперативнее,  чем после централизации и цифровизации.</t>
  </si>
  <si>
    <t>Владимир Чуев</t>
  </si>
  <si>
    <t>Зона-СГ: город Заречный и Белоярская АЭС</t>
  </si>
  <si>
    <t>Заречный</t>
  </si>
  <si>
    <t>05.07.2021 01:37</t>
  </si>
  <si>
    <t>У нас на Триколор ТВ, крутит постоянно этот РБК!!!!</t>
  </si>
  <si>
    <t>❤️Ксения Пупышева❤️</t>
  </si>
  <si>
    <t>Вежливые Люди. Русь Единая-НОД ☑ 18✚ Возрождение ☭</t>
  </si>
  <si>
    <t>Тяжинский</t>
  </si>
  <si>
    <t>04.07.2021 17:26</t>
  </si>
  <si>
    <t>Я 2000 плачу, но у меня 2 приёмника.</t>
  </si>
  <si>
    <t>Ольга Туркина</t>
  </si>
  <si>
    <t>04.07.2021 17:14</t>
  </si>
  <si>
    <t>Подскажите, в Агаповке кто-нибудь занимается триколором?</t>
  </si>
  <si>
    <t>Aleksandr, это спутниковое телевидение</t>
  </si>
  <si>
    <t>Евгения Власенко</t>
  </si>
  <si>
    <t>МедиаЛайм • Агаповка</t>
  </si>
  <si>
    <t>04.07.2021 17:12</t>
  </si>
  <si>
    <t>1800 стало, если один приёмник</t>
  </si>
  <si>
    <t>Татьяна Газизова</t>
  </si>
  <si>
    <t>Губаха</t>
  </si>
  <si>
    <t>04.07.2021 17:11</t>
  </si>
  <si>
    <t>В январе 1500 платила, сейчас‍♀️</t>
  </si>
  <si>
    <t>Мария Калябина</t>
  </si>
  <si>
    <t>04.07.2021 17:05</t>
  </si>
  <si>
    <t>Здравствуйте! Кто-то знает, какая в этом году стоимость услуг «Триколор ТВ», была 1500 р, я вчера заплатила, а каналы не показывают?</t>
  </si>
  <si>
    <t>Людмила Цинк</t>
  </si>
  <si>
    <t>05.07.2021 04:20</t>
  </si>
  <si>
    <t>Виснет и молчание? Ничего не слушается? До зависания надо успеть сбросить на заводские при выключенной антенне</t>
  </si>
  <si>
    <t>04.07.2021 16:32</t>
  </si>
  <si>
    <t>Триколор, добрый день у меня к вам вопрос когда будут новые кино каналы? я постоянно слежу за аносами но новостей про новые киноканалы пока нет и еще я так понимаю телеканал дорама это ваш собственный канал добавьте еще такой же канал собственного производства например дорама историческое фэнтези за ранее спасибо.</t>
  </si>
  <si>
    <t>04.07.2021 16:21</t>
  </si>
  <si>
    <t>Всех приветствую, нужен телефон для просмотра фильмов, и gps. бюджет 11-12к. рассматриваются варианты среди honor/huawei</t>
  </si>
  <si>
    <t>Денис, триколор ловит и ладно.</t>
  </si>
  <si>
    <t>Xiaomi Redmi 10 9 8 8T 8A 7 7A 6 Mi 9T Note Pro</t>
  </si>
  <si>
    <t>04.07.2021 16:13</t>
  </si>
  <si>
    <t>Доброго денёчка! Подскажите, у кого Триколор тарелка, сейчас телевизор показывает и не было сбоев?</t>
  </si>
  <si>
    <t>Антенна на 1 см сдвинулось. Сейчас поправила все работает</t>
  </si>
  <si>
    <t>Ирина Воронцова</t>
  </si>
  <si>
    <t>МАМОЧКИ ПЕРМИ</t>
  </si>
  <si>
    <t>04.07.2021 15:36</t>
  </si>
  <si>
    <t>Здравствуйте .Я оплатила Единый сегодня (суббота 03.07), но нет подключения каналов. Что делать?</t>
  </si>
  <si>
    <t>Теперь надо загрузить каналы,оставив включенным приемник,если прошла оплата</t>
  </si>
  <si>
    <t>04.07.2021 15:25</t>
  </si>
  <si>
    <t>Тоже на даче сегодня не показывал телевизор из за дождя подумали . Раньше такого не было.</t>
  </si>
  <si>
    <t>Анастасия Юлдашева</t>
  </si>
  <si>
    <t>04.07.2021 15:16</t>
  </si>
  <si>
    <t>Здравствуйте после оплаты перезагрузите пожалуйста ваш приемник и все услуги заработают корректно</t>
  </si>
  <si>
    <t>05.07.2021 23:03</t>
  </si>
  <si>
    <t>Комплект спутникового ТВ Триколор CI+ с картой доступа Триколор Центр (поддержка Ultra HD, абонентская плата 2500 р/год)</t>
  </si>
  <si>
    <t>Достоинства: Сразу заработал, никакие проблем я имел вставить модуля в телевизоре.
Настройка проста. Телевизор очень быстро сканировал и запомнил каналы.
Недостатки: Не заметил.
Нет</t>
  </si>
  <si>
    <t>personal care,label,text,cream,skin care,packaging and labeling,box</t>
  </si>
  <si>
    <t>04.07.2021 14:50</t>
  </si>
  <si>
    <t>Прямо сейчас на ЖД вокзале можно чипироваться без очереди. 10 минут вместе с заполнением анкет. Из них 7 минут на анкеты</t>
  </si>
  <si>
    <t>Andy, А еще Триколор-ТВ бесплатно транслируют))))</t>
  </si>
  <si>
    <t>Hans Steinberg</t>
  </si>
  <si>
    <t>Металобаза | Рок-бар</t>
  </si>
  <si>
    <t>04.07.2021 15:23</t>
  </si>
  <si>
    <t>Отличное приложение!
v2.5.0</t>
  </si>
  <si>
    <t>Операторский рес - не меньший затык в этом плане.Не будет Витрины - будет другая затычка.Если бы Триколор через свою сеть раздавал IP-тв,то я бы еще понял...А так...Накой сидеть в ящике и ждать у моря,когда на берег выкинет...?</t>
  </si>
  <si>
    <t>Saт-ТVорник</t>
  </si>
  <si>
    <t>04.07.2021 14:31</t>
  </si>
  <si>
    <t>Мы только уехали от мамы,из пригорода у нее тоже триколор не показывает.Дождь пошел и сигнал пропал.</t>
  </si>
  <si>
    <t>Мария Арамилева</t>
  </si>
  <si>
    <t>14:01</t>
  </si>
  <si>
    <t>Спутниковый конвертер ELGREEN EG-02C Circular Twin LNBF (Триколор ТВ , НТВ +)</t>
  </si>
  <si>
    <t>Достоинства: Отличный конвертер, своих денег стоит. 
Недостатки: Нет.</t>
  </si>
  <si>
    <t>04.07.2021 13:48</t>
  </si>
  <si>
    <t>Не могу понять где причина, из за погоды или у меня в ресивере, антенне</t>
  </si>
  <si>
    <t>04.07.2021 13:47</t>
  </si>
  <si>
    <t>04.07.2021 15:37</t>
  </si>
  <si>
    <t>И Смотрим, там идёт трансляция канала Россия и других из ВГТРК.</t>
  </si>
  <si>
    <t>У меня на Триколоре в приложении была ограничена трансляция, только Смотрим.тв от вгтрк</t>
  </si>
  <si>
    <t>Masko</t>
  </si>
  <si>
    <t>Бунинские луга 2.4 (84к1/84к2)</t>
  </si>
  <si>
    <t>Достоинства: Хороший пульт. Работает 
Недостатки: Нет
Подключили быстро, есть инструкции коды. Список цифровых приставок, для которых он подходит, большой.</t>
  </si>
  <si>
    <t>Мария К.</t>
  </si>
  <si>
    <t>04.07.2021 13:30</t>
  </si>
  <si>
    <t>Добрый вечер! Не работает триколор. Может ли кто-нибудь посмотреть?</t>
  </si>
  <si>
    <t>Проверьте места подключения к антенне</t>
  </si>
  <si>
    <t>Наталья Куминова</t>
  </si>
  <si>
    <t>Подслушано Отрадное на Неве</t>
  </si>
  <si>
    <t>04.07.2021 16:34</t>
  </si>
  <si>
    <t>liftman писал(а):Drovosek, тогда почему у оплативших нет каналов Россия и Россия24 ?
Да потому что убогий плеер втюхивали всем Витрина тв,вот и пока нет данных каналов в отт платформе</t>
  </si>
  <si>
    <t>04.07.2021 12:58</t>
  </si>
  <si>
    <t>#подслушанокемерово Анон. Добрый день всем. Пишу всем, чтобы не ошиблись с выбором оператора для домашнего интернета и</t>
  </si>
  <si>
    <t>Триколор Тв поставили, всё супер</t>
  </si>
  <si>
    <t>Елена Матушкина</t>
  </si>
  <si>
    <t>Подслушано Кемерово</t>
  </si>
  <si>
    <t>04.07.2021 12:24</t>
  </si>
  <si>
    <t>Триколор, добавьте пожалуйста ручной онлайн поиск каналов, то есть поиск каналов через интернет, например выбрал часовой пояс и нашлись каналы данного региона (сдвиг во времени и если есть региональные каналы), хотелось бы иметь возможность смотреть каналы с часовым сдвигом</t>
  </si>
  <si>
    <t>04.07.2021 12:16</t>
  </si>
  <si>
    <t>Посмотрите в личном кабинете,возможно деньги на личном счете!</t>
  </si>
  <si>
    <t>04.07.2021 11:55</t>
  </si>
  <si>
    <t>А я заранее оплатил, деньги со счёта списались, когда время пришло. И всё, дальше нормально показывает.</t>
  </si>
  <si>
    <t>Сергей Гудков</t>
  </si>
  <si>
    <t>Воскресенск</t>
  </si>
  <si>
    <t>04.07.2021 11:56</t>
  </si>
  <si>
    <t>Чего придумали?</t>
  </si>
  <si>
    <t>Виталий Королев</t>
  </si>
  <si>
    <t>electronic device,sports equipment,software,display device,scoreboard</t>
  </si>
  <si>
    <t>04.07.2021 18:37</t>
  </si>
  <si>
    <t>Женя, понимаем ваши чувства. К сожалению, 01.07.2021 «MTV Hits»  вышел из состава Триколора.  В качестве альтернативы, возможно, вас заинтересует канал «BRIDGE TV».</t>
  </si>
  <si>
    <t>04.07.2021 11:38</t>
  </si>
  <si>
    <t>Мы научены горьким опытом, когда приставка Триколор накрылась, как только гроза,сразу отключаем из сети.....</t>
  </si>
  <si>
    <t>Надежда Щелконогова</t>
  </si>
  <si>
    <t>04.07.2021 11:35</t>
  </si>
  <si>
    <t>а нах... ждете отключения а потом платите только.за ранее нельзя было оплатить.</t>
  </si>
  <si>
    <t>Паша С</t>
  </si>
  <si>
    <t>Сорочинск</t>
  </si>
  <si>
    <t>ПОЧЕМУ НЕ ОПОВЕЩАЮ КАКИЕ КАНАЛЫ ВЫШЛИ ИЗ СОСТАВА ТРИКОЛОР ТВ ИЛИ КАКИЕ ПОЯВИЛИСЬ КАКУЮТО ХРЕНЬ НА ТВ ПОЧТУ ПРИСЫЛАЮТ ОДНО И ТОЖЕ ВАМ САМИМ НЕНАДОЕЛО</t>
  </si>
  <si>
    <t>ЖЕНЯ МАРЕЕВ</t>
  </si>
  <si>
    <t>04.07.2021 11:14</t>
  </si>
  <si>
    <t>Здравствуйте! попробуйте отключить от сети рессивер на пару минут и снова включите.</t>
  </si>
  <si>
    <t>Алексей Ипатов</t>
  </si>
  <si>
    <t>04.07.2021 10:51</t>
  </si>
  <si>
    <t>Триколор, Лучше бы каналы aiva ru tv и муз тв вышли из состава триколор тв</t>
  </si>
  <si>
    <t>04.07.2021 10:55</t>
  </si>
  <si>
    <t>Триколор, верните их</t>
  </si>
  <si>
    <t>Света Янчук</t>
  </si>
  <si>
    <t>Или мтв Россия добавте в онлайн</t>
  </si>
  <si>
    <t>Верните его обратно</t>
  </si>
  <si>
    <t>Привет почему другие продолжают вешать этот канал</t>
  </si>
  <si>
    <t>Когда будет канал ?</t>
  </si>
  <si>
    <t>Алексей Ермилов</t>
  </si>
  <si>
    <t>text,signage,symbol,neon</t>
  </si>
  <si>
    <t>04.07.2021 10:32</t>
  </si>
  <si>
    <t>Очень плохо стал работать 
v2.4.0</t>
  </si>
  <si>
    <t>Мария Карпова</t>
  </si>
  <si>
    <t>04.07.2021 10:20</t>
  </si>
  <si>
    <t>Год виснет интернет, и ебаный триколор, тупит за то у путина всё заебись и интернет охуеть какой скоростной и тарелка в ливень показывает, а по сути, всё хуита</t>
  </si>
  <si>
    <t>04.07.2021 10:41</t>
  </si>
  <si>
    <t>Всем любителям американского футбола посвящается!  «Спартак» vs «Спартанцы»: кто одержит победу? 
Смотрите прямую трансляцию 4 июля в 13:00 в Триколоре!
 Бесплатно и без авторизации в онлайн-плеере «Наш спорт 9» в приложении «Триколор Кино и ТВ» на мобильных устройствах и планшетах, телевизорах с функцией Smart TV, TV Box и гибридных приёмниках с возможностью подключения к интернету.
 В веб-версии онлайн-кинотеатра по ссылке https://ok.me/mE1g 
За кого болеете?</t>
  </si>
  <si>
    <t>shirt,clothing,text,poster,t-shirt</t>
  </si>
  <si>
    <t>04.07.2021 17:58</t>
  </si>
  <si>
    <t>Всем любителям американского футбола посвящается!  «Спартак» vs «Спартанцы»: кто одержит победу? 
Смотрите прямую трансляцию 4 июля в 13:00 в Триколоре!
 Бесплатно и без авторизации в онлайн-плеере «Наш спорт 9» в приложении «Триколор Кино и ТВ» на мобильных устройствах и планшетах, телевизорах с функцией Smart TV, TV Box и гибридных приёмниках с возможностью подключения к интернету.
 В веб-версии онлайн-кинотеатра по ссылке https://clck.ru/UbTWa 
За кого болеете?</t>
  </si>
  <si>
    <t>https://scontent.fkdt1-1.fna.fbcdn.net/v/t1.6435-9/e15/q75/p960x960/210479228_4051329778254595_2628337696042733536_n.jpg?_nc_cat=111&amp;ccb=1-3&amp;_nc_sid=730e14&amp;_nc_ohc=b10BA0t_rKEAX8_3J0-&amp;_nc_ad=z-m&amp;_nc_cid=0&amp;_nc_ht=scontent.fkdt1-1.fna&amp;tp=21&amp;oh=955221723f906088520f4f3c0cf30759&amp;oe=60E70EDE</t>
  </si>
  <si>
    <t>04.07.2021 10:05</t>
  </si>
  <si>
    <t>Всем любителям американского футбола посвящается!  «Спартак» vs «Спартанцы»: кто одержит победу?
Смотрите прямую трансляцию 4 июля в 13:00 в онлайн-плеере «Наш спорт 9» в приложении «Триколор Кино и ТВ» и в веб-версии онлайн-кинотеатра по ссылке https://bit.ly/3htcwG6</t>
  </si>
  <si>
    <t>movie</t>
  </si>
  <si>
    <t>04.07.2021 09:56</t>
  </si>
  <si>
    <t>Хозяйке на заметку</t>
  </si>
  <si>
    <t>Я помню те времена, когда народ ломал тарелки спутникового ТВ, они, дескать, облучаютЪ. Оьъяснения, что те работают только и исключительно на приём, не помогали. 
Хотя, имхо, тут была банальная зависть, спутниковая тарелка в те времена была признаком серьёзной зажиточности. А потом пришёл Триколор и всё опошлил :)</t>
  </si>
  <si>
    <t>Севыч</t>
  </si>
  <si>
    <t>Надежда Попова</t>
  </si>
  <si>
    <t>liftman писал(а):Drovosek, тогда почему у оплативших нет каналов Россия и Россия24 ?
почему этих каналов нет. можно почитать тут https://telesputnik.ru/materials/tsifrovoe-televidenie/news/telekanaly-vgtrk-prekratili-veshchanie-na-onlayn-platforme-trikolora/</t>
  </si>
  <si>
    <t>Достоинства: Просто настраивается, тут недорого купил.
Недостатки: Нет.
Все в комплекте.</t>
  </si>
  <si>
    <t>04.07.2021 08:43</t>
  </si>
  <si>
    <t>Так все таки сколько стоит пакет ^единый^ 1500 или 1800 ?</t>
  </si>
  <si>
    <t>2000рлишним.</t>
  </si>
  <si>
    <t>Бекаримова Монгуш</t>
  </si>
  <si>
    <t>04.07.2021 08:30</t>
  </si>
  <si>
    <t>20 апреля оплатила на год 1500 .Почему не показывает телевизор?Помогите пожалуйста. 46003407049937 у меня триколор сибир</t>
  </si>
  <si>
    <t>2000рлишним за год.</t>
  </si>
  <si>
    <t>Достоинства: качество сигнала лучше,чем у "родного"
Недостатки: -
отличный,качественный конвертер.Рекомендую.</t>
  </si>
  <si>
    <t>Ирина П.</t>
  </si>
  <si>
    <t>07.07.2021 21:33</t>
  </si>
  <si>
    <t>Uni Пульт Триколор GS8306+TV универсальный для спутникового ресивера, приставки GENERAL SATELLITE</t>
  </si>
  <si>
    <t>Покупаю не первый раз, соответствует описанию. рекомендую.</t>
  </si>
  <si>
    <t>Марианна</t>
  </si>
  <si>
    <t>06.07.2021 00:36</t>
  </si>
  <si>
    <t>Скажите пожалуюста уковонебуд шаритця пакет  триколор Сибири 56е???</t>
  </si>
  <si>
    <t>G4 S</t>
  </si>
  <si>
    <t>@SputnikN1_SharingUy da qoling</t>
  </si>
  <si>
    <t>@крутой лудильщик  в магазине предлагают поменять на новый с доплатой 4 т.р</t>
  </si>
  <si>
    <t>olegk24russ</t>
  </si>
  <si>
    <t>@крутой лудильщик  GS B210</t>
  </si>
  <si>
    <t>Приемник какой?</t>
  </si>
  <si>
    <t>у меня виснет на заставке 5:37 и ничего не помогает, что может быть?</t>
  </si>
  <si>
    <t>06:26</t>
  </si>
  <si>
    <t>04.07.2021 06:44</t>
  </si>
  <si>
    <t>Александр, больше нет HD версии в Европе и Канала Дисней, там уже их позакрывали, а Disney  уже больше года уже нигде не транслируется</t>
  </si>
  <si>
    <t>06:23</t>
  </si>
  <si>
    <t>04.07.2021 06:24</t>
  </si>
  <si>
    <t>Александр, почему человеку должно быть 7 лет, чтобы ждать перехода канала Дисней широкоформатное разрешение 16:9, ведь его смотрят и родители 7 летних детей.</t>
  </si>
  <si>
    <t>03:05</t>
  </si>
  <si>
    <t>14.07.2021 19:49</t>
  </si>
  <si>
    <t>HUNTKEY Блок питания HKA02412020-3K для Ростелеком Триколор Gpon модемов роутеров ТВ-приставок ламп камер</t>
  </si>
  <si>
    <t>Получила 28 июня пока все нормально,работает.</t>
  </si>
  <si>
    <t>05.07.2021 06:10</t>
  </si>
  <si>
    <t>Ужс
Каждый раз нужна авторизация</t>
  </si>
  <si>
    <t>Ппцпросто</t>
  </si>
  <si>
    <t>03.07.2021</t>
  </si>
  <si>
    <t>03.07.2021 23:51</t>
  </si>
  <si>
    <t>Андрей, а толку?! Даже если отключат и вернут средства, то только 25% от остатка подключенного пакета.</t>
  </si>
  <si>
    <t>03.07.2021 23:50</t>
  </si>
  <si>
    <t>Валерий, а ни кто и не в курсе, что один раз подключив какой-либо пакет каналов он автоматически становиться на автопродление. У меня много таких клиентов кто так попал. Кто-то футбол, кто-то детский, кто-то ночной на месяц подключали. А раз на личном счете достаточно средств, раз и автоподключение сработало.</t>
  </si>
  <si>
    <t>04.07.2021 02:36</t>
  </si>
  <si>
    <t>Илон Маск Цель 20-30 полетов бустера Falcon9 и 100 тонн на НОО с Старшипом</t>
  </si>
  <si>
    <t>//ибо никто не будет монтировать дорогое оборудование там где низкая плотность потребителей//
 низкая плотность потребителей понятие относительное
у мня в деревне (хоть она и в черте города) уже оптика (1000 руб в мес за 100мбит/с) и все операторы каждый по вышке воткнул, благо вышка теперь это бетонный столб с небольшой металлической коробкой, только выше обычного.
Для деревни 4g  есть  и ладно, я даже к оптике подключаться не стал, жду пока тарифы божескими станут, а тв с Триколора, хотя  цифровые тв пакеты в наличие.
у меня на участке даже чей-то не совсем не дешёвый роутер keenetic видно</t>
  </si>
  <si>
    <t>red_army_1917</t>
  </si>
  <si>
    <t>vsatman888</t>
  </si>
  <si>
    <t>04.07.2021 03:56</t>
  </si>
  <si>
    <t>Триколор сейчас продаёт комплекты оборудования по 5к деревянных
Плюс тариф около 2к минималка</t>
  </si>
  <si>
    <t>Михаил Совалев</t>
  </si>
  <si>
    <t>Kod Chat</t>
  </si>
  <si>
    <t>03.07.2021 23:24</t>
  </si>
  <si>
    <t>Здравствуйте. Триколор очень радовал раньше. Но теперь только один негатив!!!Пропадает звук постоянно. До оператора не</t>
  </si>
  <si>
    <t>У бабушки тоже было подобное. То звука нет, то картинки, то на приставке пишет нет сигнала от антенны. Оказалось дело в конверторе (штучка крепится по центру тарелки)</t>
  </si>
  <si>
    <t>Олег Янковский</t>
  </si>
  <si>
    <t>ЧП 53 Великий Новгород. Новости</t>
  </si>
  <si>
    <t>03.07.2021 23:32</t>
  </si>
  <si>
    <t>Комментарий к записи Триколор ТВ принуждение к обмену (Николай)</t>
  </si>
  <si>
    <t>В ответ на Регина https://bloganten.ru/trikolor-tv-prinuzhdenie-k-obmenu/#comment-66488 .
Не надо врать людям, ваш приёмник не подлежит обмену и  вы смотрите  пакет ULTRA HD</t>
  </si>
  <si>
    <t>bloganten.ru</t>
  </si>
  <si>
    <t>05.07.2021 09:44</t>
  </si>
  <si>
    <t>Обзор за неделю с нашего телеграм-канала - ObOb TV</t>
  </si>
  <si>
    <t>быть подключённым к «к электронному документообороту (ЭДО)». По крайней мере так утверждается в официальном сообщении NLE (является генеральным дистрибьютором оборудования для «Триколор ТВ»).
Новость недели, однозначно! Вот попробуйте угадать кого решили назначить ген.директором ФГУП «Космическая связь» (группировка спутников «Экспресс»)? Учитывая «заслуги» этого господина в недавнем прошлом остаётся просто развести руками. Угадали? ОТВЕТ: из пяти букв. Проверить знания можно здесь. https://www.rscc.ru/press/aleksej-volin-naznachen-generalnym</t>
  </si>
  <si>
    <t>22:59</t>
  </si>
  <si>
    <t>03.07.2021 22:59</t>
  </si>
  <si>
    <t>Натали, попробуйте нажать на номер автоответчика что вы хотите купить приставку сразу отвечают, а потом требуйте перевода на нужного специалиста!</t>
  </si>
  <si>
    <t>Ольга Звёздочкина</t>
  </si>
  <si>
    <t>03.07.2021 22:50</t>
  </si>
  <si>
    <t>Мифология на службе законотворцев https://www.cableman.ru/article/mifologiya-na-sluzhbe-zakonotvortsev Когда в Госдуме</t>
  </si>
  <si>
    <t>мы в шоке мтв хитс убрали на триколор тв сразу видно страна бедная</t>
  </si>
  <si>
    <t>КАБЕЛЬЩИК</t>
  </si>
  <si>
    <t>03.07.2021 22:40</t>
  </si>
  <si>
    <t>Официально: У Первого Канала - самое убогое освещение на Евро 2020. Не показывают некоторые гимны, плеер на сайте это</t>
  </si>
  <si>
    <t>У телек на IVI -там не показывает вообще.Вот что за ##### такая. триколор спасает</t>
  </si>
  <si>
    <t>Максим Пантелеев</t>
  </si>
  <si>
    <t>03.07.2021 22:57</t>
  </si>
  <si>
    <t>Цифровое постянно отключается.</t>
  </si>
  <si>
    <t>03.07.2021 22:31</t>
  </si>
  <si>
    <t>Валентина, работает в последние месяцев отвратительно! Сигнала толком нет. Особенно если непогода,можно забыть о том,что у вас вообще есть телевизор.</t>
  </si>
  <si>
    <t>06.07.2021 04:07</t>
  </si>
  <si>
    <t>Ну пойдёть</t>
  </si>
  <si>
    <t>GangT4ing</t>
  </si>
  <si>
    <t>Drovosek, вопрос был риторический, в насмешку о "бесплатных" каналах и не требовал ответа.</t>
  </si>
  <si>
    <t>liftman</t>
  </si>
  <si>
    <t>03.07.2021 22:24</t>
  </si>
  <si>
    <t>Супер, как и всегда!!!
v2.5.0</t>
  </si>
  <si>
    <t>Рамис Юнусов</t>
  </si>
  <si>
    <t>04.07.2021 10:57</t>
  </si>
  <si>
    <t>Достоинства: Нет
Недостатки: Оборудование китай, эта модель хлам полный, картинка сыпится и с 2.20.2020 года это оборудование не регистрируется</t>
  </si>
  <si>
    <t>wikwas55</t>
  </si>
  <si>
    <t>03.07.2021 21:48</t>
  </si>
  <si>
    <t>Здравствуйте! Использую ТРИКОЛОР Сибирь. При поиске каналов по некоторым частота возникают проблемы, с другими частота и</t>
  </si>
  <si>
    <t>Андрей, я делая поиск после сброса приставки на заводские настройки. Если делаю просто перепоиск каналов, то получается как у вас, часть частот почему-то пишет проблема при сканировании</t>
  </si>
  <si>
    <t>Владимир Зуев</t>
  </si>
  <si>
    <t>03.07.2021 21:36</t>
  </si>
  <si>
    <t>Кал ТВ он такой</t>
  </si>
  <si>
    <t>Миша Пронин</t>
  </si>
  <si>
    <t>Меленки</t>
  </si>
  <si>
    <t>03.07.2021 21:31</t>
  </si>
  <si>
    <t>Как сбросить пинкод (pin) на Триколор ТВ</t>
  </si>
  <si>
    <t>На ресивере GS B211, просит трехзначный пин-код. Что делать??</t>
  </si>
  <si>
    <t>Юрий Кочемазов</t>
  </si>
  <si>
    <t>Триколор тв Петрозаводск</t>
  </si>
  <si>
    <t>03.07.2021 21:25</t>
  </si>
  <si>
    <t>Вот как работает кабельное. Так ещё и просят чтоб вовремя оплачивали. Нормально показываете.</t>
  </si>
  <si>
    <t>Кристинка, это не реклама, но будет гораздо проще Вам на TV от БЭГ перейти, альтернативы нет к сожалению, либо через интернет купите спутниковую тарелку триколор.</t>
  </si>
  <si>
    <t>Mikhail Shabanoff</t>
  </si>
  <si>
    <t>ПРИОЗЁРСК</t>
  </si>
  <si>
    <t>03.07.2021 21:22</t>
  </si>
  <si>
    <t>Если  триколор, то таким образом они вынуждают заменить ресивер.</t>
  </si>
  <si>
    <t>Надежда Некрасова</t>
  </si>
  <si>
    <t>Объячево</t>
  </si>
  <si>
    <t>06.07.2021 21:30</t>
  </si>
  <si>
    <t>Настройки телевизоров для приёма МТС</t>
  </si>
  <si>
    <t>sumaza, везде приходится ручками вбивать или где то есть предустановленный оператор "МТС ТВ" ? Так то на стареньком LG всё и ручками могу настроить, но там нет поддержки HEVC и модуль бесполезен, а вот с Sony никогда не заморачивался ручным поиском, поскольку у "Триколор ТВ" и "НТВ-Плюс" есть свои списки каналов, у первого предустановленный на телевизоре, у второго зашит в модуле. Пришлось отдать тёще свой модуль "Триколор ТВ", а смотреть спортивные трансляции через интернет не по мне, битрейт и fps не для моего видеофильского глаза, вот и</t>
  </si>
  <si>
    <t>Галя Андреева</t>
  </si>
  <si>
    <t>04.07.2021 10:04</t>
  </si>
  <si>
    <t>Это место. Вот уж точно - место.
Работает там молодой человек.
Когда заходишь ( как клиент) , сразу понятно, что ты ему мешаешь. Разговаривает через губу, сидит развалясь, во - работник. В прошлом году заходил ,так вообще в компе торчал, не отвлекался на посетителей. Гнать в шею, таких работников. Вред конторе только наносят. Так, кстати и не продлил я подписку с Триколором. Пользуюсь услугами - больше 10 лет...
Вот девушка попадалась. Это да, приветливая, умненькая, всё расскажет, сделает быстро. Приятно и спокойно. 
Пропало желание посещать это место... (</t>
  </si>
  <si>
    <t>Олег Берестов</t>
  </si>
  <si>
    <t>04.07.2021 01:16</t>
  </si>
  <si>
    <t>Вот думаю, стоит ли покупать Эппл тв? Триколор чёто совсем плох</t>
  </si>
  <si>
    <t>Amir</t>
  </si>
  <si>
    <t>Оношко чат</t>
  </si>
  <si>
    <t>21:00</t>
  </si>
  <si>
    <t>04.07.2021 03:30</t>
  </si>
  <si>
    <t>Работает и моя массажная Подушка тоже</t>
  </si>
  <si>
    <t>, что «Триколор» распространял нелицензионные версии каналов холдинга, отметив, что их легальное распространение возможно «только через техническое решение "Витрины ТВ"».
Можно подумать что в Сколково на аплинк не идут по оптике от каналов техническая передача контента в оригинальном виде  Конечно не факт что серваки отт оператора там,но не думаю что какой то умник догадался пиратские ссылки IPTV прикручивать на приём к своему серваку</t>
  </si>
  <si>
    <t>Пока всё устраивает.</t>
  </si>
  <si>
    <t>Дикий Горец</t>
  </si>
  <si>
    <t>03.07.2021 20:46</t>
  </si>
  <si>
    <t>Триколор во время дождя не показывал, сейчас ок</t>
  </si>
  <si>
    <t>Оксана Левина</t>
  </si>
  <si>
    <t>03.07.2021 20:47</t>
  </si>
  <si>
    <t>Повезло вам а я не смогу посмотреть футбол</t>
  </si>
  <si>
    <t>Потому что у тебя нет подписки на триколор тв</t>
  </si>
  <si>
    <t>Avokadik</t>
  </si>
  <si>
    <t>MEMES CHAT</t>
  </si>
  <si>
    <t>03.07.2021 23:49</t>
  </si>
  <si>
    <t>GS C593 "Триколор ТВ" приёмник клиент 4K. Стоит ли брать???</t>
  </si>
  <si>
    <t>Я  подключил по вай фаю 593тий к 626л без проблем сейчас смотрю фильмы по спутнику на двух ресиверах все работает четко не мутите людям мозги</t>
  </si>
  <si>
    <t>Загородная жизнь сегодня</t>
  </si>
  <si>
    <t>ИНТЕРНЕТ И ТВ</t>
  </si>
  <si>
    <t>04.07.2021 01:45</t>
  </si>
  <si>
    <t>Добавленная стоимость Если говорить о главной стратегии на целую жизнь, то я выберу путь создания добавленной стоимости. Купить кило грязных яблок, помыть, почистить, подать на красивой посуде — продать взыскательным едокам.  Починить старый «Урал», по</t>
  </si>
  <si>
    <t>Триколор интернет</t>
  </si>
  <si>
    <t>Michael</t>
  </si>
  <si>
    <t>Альт. шаблонам Chat</t>
  </si>
  <si>
    <t>04.07.2021 07:25</t>
  </si>
  <si>
    <t>Организация паршивая! Звонят, предлагают приемник 4к с доплатой в обмен. Вспоминаю 2015 - сделали общий тариф по цене в 2 раза больше предыдущего и у тех, у кого старый приемник с sd, у них больше 40 каналов не было, и у новых приемников с full hd. И безальтернативно. Теперь либо отдавай половину стоимости за каналы которых нет, либо меняй телевизор с приемником, и как раз была акцию ко дню страны. Ой чую скоро будет так же и с этим 4к, выкину приемник с тарелкой в помойку</t>
  </si>
  <si>
    <t>А</t>
  </si>
  <si>
    <t>Триколор ТВ вечная перезагрузка GS8307, GS8308, GS6301 на инфоканале, что делать?</t>
  </si>
  <si>
    <t>Спасибо! Нам помогло. А тех.служба стала нас разводить на новый приёмник. Ахах)))</t>
  </si>
  <si>
    <t>Владимир Чуриловский</t>
  </si>
  <si>
    <t>Достоинства: Хорошая цена 
Недостатки: Регистрация только дилера
Получил модуль Скинуть данные через час все заработало. Отличный продавец! Рекомендую!</t>
  </si>
  <si>
    <t>Vitali S.</t>
  </si>
  <si>
    <t>Недостатки: не работает</t>
  </si>
  <si>
    <t>Недостатки: не очень удобный в руке,маловат по сравнению с предыдущей моделью</t>
  </si>
  <si>
    <t>Ирина Г.</t>
  </si>
  <si>
    <t>03.07.2021 18:26</t>
  </si>
  <si>
    <t>Очень просим оставляйте фильмы на всегда когда нету моего фильма настроение плохое смотреть не чего</t>
  </si>
  <si>
    <t>ТВ-приставка Xiaomi Mi Box S EU (MDZ-22-AB)</t>
  </si>
  <si>
    <t>Достоинства: Отличная
Недостатки: Нет
До неё пользовался триколор, отстой полный, перебрал множество приставок, остановился на этой и не пожалел!</t>
  </si>
  <si>
    <t>Костернова Екатерина Валерьевна</t>
  </si>
  <si>
    <t>09.07.2021 16:48</t>
  </si>
  <si>
    <t>Брал для триколор тв,для модели u510, всё подошло!</t>
  </si>
  <si>
    <t>Горбунов С.</t>
  </si>
  <si>
    <t>03.07.2021 18:03</t>
  </si>
  <si>
    <t>Удобно знать что где когда
v2.5.0</t>
  </si>
  <si>
    <t>Николай Белов</t>
  </si>
  <si>
    <t>Достоинства: Пульт полностью соответствует описанию! Качественный пластик и кнопки!
Недостатки: Не обнаружено</t>
  </si>
  <si>
    <t>Артур Л.</t>
  </si>
  <si>
    <t>03.07.2021 17:10</t>
  </si>
  <si>
    <t>Добрый день. Нужен мастер по ремонту Триколор. Подскажите, пожалуйста контакты. Благодарю заранее.</t>
  </si>
  <si>
    <t>Что триколор телефон телевизор антена?</t>
  </si>
  <si>
    <t>Егор Фролов</t>
  </si>
  <si>
    <t>Подслушано Пугачёв</t>
  </si>
  <si>
    <t>04.07.2021 03:38</t>
  </si>
  <si>
    <t>«Все комики “Всероссийской лиги юмора” хотят одного…» 
Давайте закончим фразу! Мы предлагаем так: откройте 54 страницу любой попавшейся под руку книги и прочитайте 6 строчку снизу  А теперь дополните наше предложение этой цитатой в комментариях 
Но кто бы что ни говорил, мы-то знаем, что все комики лиги юмора хотят оказаться в финале, побороться за сладенькую сумму с шестью нолями и прославить свой город 
 Смотри новый выпуск «Всероссийской лиги юмора» из Ярославля сегодня и завтра в 21:00  в онлайн-проекте «Большой эфир». А с понедельника — в бесплатном приложении «Триколор Кино и ТВ» и веб-версии онлайн-сервиса по ссылке kino.tricolor.tv</t>
  </si>
  <si>
    <t>https://scontent-iev1-1.xx.fbcdn.net/v/t1.6435-9/p960x960/211360222_4053282788059294_4843921450217511453_n.png?_nc_cat=100&amp;ccb=1-3&amp;_nc_sid=730e14&amp;_nc_ohc=UOKlFqPuUkkAX9C_sMa&amp;_nc_ad=z-m&amp;_nc_cid=0&amp;_nc_ht=scontent-iev1-1.xx&amp;tp=30&amp;oh=640fbfd9d59c1f5b1b001b49678b3010&amp;oe=60E6B599</t>
  </si>
  <si>
    <t>03.07.2021 17:48</t>
  </si>
  <si>
    <t>03.07.2021 17:03</t>
  </si>
  <si>
    <t>Смотри новый выпуск «Всероссийской лиги юмора» из Ярославля сегодня и завтра в 21:00 в онлайн-проекте «Большой эфир». А с понедельника — в бесплатном приложении «Триколор Кино и ТВ» и веб-версии онлайн-сервиса по ссылке http://kino.tricolor.tv</t>
  </si>
  <si>
    <t>Евгений 1970 писал(а):Назрел вопрос,в свете принятого закона о бесплатном распространении 20ти каналов двух мультиплексов во всех средах вещания,появятся ли эти самые двадцать у оператора в онлайн тв Там приняли, что плеер должен быть. Не утверждается, что витрина, но не факт, что не появятся условия, которым только витрина будет соответствовать, поэтому пока лучше не питать надежд</t>
  </si>
  <si>
    <t>03.07.2021 16:42</t>
  </si>
  <si>
    <t>Станислав, Триколор ТВ</t>
  </si>
  <si>
    <t>03.07.2021 16:39</t>
  </si>
  <si>
    <t>Александр, такое было. Недавно когда избавлялись от формата MРEG - 2. Жди года 2 или 3 когда будет Триколор ТВ избавляется от MPEG-4. И ресиверы с поддержкой MPEG-4 уйдут в историю. Как ранее избавились от MPEG-2</t>
  </si>
  <si>
    <t>03.07.2021 16:18</t>
  </si>
  <si>
    <t>Александр, сделают 250 руб/месяц,- будете пищать дорого.</t>
  </si>
  <si>
    <t>03.07.2021 16:03</t>
  </si>
  <si>
    <t>Доброго всем дня. Что такое с Триколором, может у кого то уже было? Включается на инфоканале, на пульт не реагирует,</t>
  </si>
  <si>
    <t>С мая  месяца   очень  плохо ловит  сигнал,  постоянно квадратики  бегают особенно  центральные  каналы</t>
  </si>
  <si>
    <t>Елена Анашкина</t>
  </si>
  <si>
    <t>03.07.2021 15:48</t>
  </si>
  <si>
    <t>Андрей, Куда мне переходить не нужно мне указывать.Оплата за год это крайне неудобно и не нужно.Телекомпания обязана, хотя бы предоставить право выбора, как абоненту производить оплату, за месяц или за год, а в Триколоре нет никакого выбора.Поэтому телекомпания совсем не получит никаких денежных средств.</t>
  </si>
  <si>
    <t>03.07.2021 15:54</t>
  </si>
  <si>
    <t>Сделайте помесячную оплату или оплату по кварталам хотя бы.
v2.5.0</t>
  </si>
  <si>
    <t>VertiGo</t>
  </si>
  <si>
    <t>07.07.2021 23:00</t>
  </si>
  <si>
    <t>Сжог жде приставки, этим блоком, свою и соседа. Ранее нужен был только блок питания теперь сам без ТВ приставки остался и должен ещё одну.</t>
  </si>
  <si>
    <t>05.07.2021 02:38</t>
  </si>
  <si>
    <t>Адаптер HAMA mini jack 3.5 mm - 2 x RCA (00043254)</t>
  </si>
  <si>
    <t>Достоинства: Изделие выполняет свою функцию.
Недостатки: Недостатков нет
Необходимо было снять аудиосигнал с приемника Триколор для передачи через беспроводные наушники. Все работает.</t>
  </si>
  <si>
    <t>mw1j2595</t>
  </si>
  <si>
    <t>03.07.2021 15:20</t>
  </si>
  <si>
    <t>Уличные бои «СТРЕЛКА» уже в эти выходные в Казани!  Мощные схватки турнира от крупнейшего организатора уличных боёв в</t>
  </si>
  <si>
    <t>Триколор, тогда к чему реклама на канале мужское кино. Типо любишь ужасы? Смотри киноужас</t>
  </si>
  <si>
    <t>Дмитрий Бессмертный</t>
  </si>
  <si>
    <t>03.07.2021 15:03</t>
  </si>
  <si>
    <t>Канал киноужас уже появился в пакете каналов?</t>
  </si>
  <si>
    <t>Достоинства: Цена/качество. 
Недостатки: Упаковано недостаточно хорошо 
Подходит под приёмник триколор ТВ. Аналог оригинального блока питания.</t>
  </si>
  <si>
    <t>03.07.2021 14:41</t>
  </si>
  <si>
    <t>Александр, смотрите цифровое,бесплатное ТВ</t>
  </si>
  <si>
    <t>03.07.2021 14:38</t>
  </si>
  <si>
    <t>Отвратильное качество!!! - Отзывы о 3 колор ТВ</t>
  </si>
  <si>
    <t>Постоянно пропадает сигнал.В день могу по 20 раз делать поиск каналов.Нервов никаких не хватает.2 телевизора перевела на цифровик и если дальше так пойдет-уберу триколор.И эта проблема не у меня одной.</t>
  </si>
  <si>
    <t>Елизавета</t>
  </si>
  <si>
    <t>Лучше бы перевели пакет Единый на помесячную оплату. Почему пакет Единый не переводится на помесячную оплату? А если абоненту не нужно или абонент не может оплатить сразу за год?</t>
  </si>
  <si>
    <t>03.07.2021 14:54</t>
  </si>
  <si>
    <t>Подключил пакет каналов единый ультра,за 2500 в списке которых числятся каналы в 4к...а по факту ни один из них не работает!
v2.5.0</t>
  </si>
  <si>
    <t>Апп Ппа</t>
  </si>
  <si>
    <t>03.07.2021 14:31</t>
  </si>
  <si>
    <t>Ребята выручите если есть у кого блок питания на приставку триколор в районе ГЭС, можете дать проверить не с приставкой ли проблемы, а то мигает оранжевым и не вкл, родители достали с Этой проблемой, я просто не знаю покупать им новую такую же или же все</t>
  </si>
  <si>
    <t>https://tricolor.x-tk.ru/viewtopic.php?t=1835 флешку тоже сразу бери)
Ошибка - Индикатор горит оранжевым, ресивер триколора не включается - Триколор ТВ • Помощь абонентам
Ошибка - Индикатор горит оранжевым и ресивер не включается. Возникает при повреждении ПО или выхода из строя каких либо компонентов. В основном эта ошибка возникает на современных моделях. В некоторых случаях восстановить работу ресивера можно самос..
https://tricolor.x-tk.ru/viewtopic.php?t=1835</t>
  </si>
  <si>
    <t>Anton Belousov</t>
  </si>
  <si>
    <t>Ребята выручите если есть у кого блок питания на приставку триколор в районе ГЭС, можете дать проверить не с приставкой ли проблемы, а то мигает оранжевым и не вкл, родители достали с Этой проблемой, я просто не знаю покупать им новую такую же или же все таки проблема с блоком</t>
  </si>
  <si>
    <t>03.07.2021 18:38</t>
  </si>
  <si>
    <t>В посёлке, где живёт, например, моя мама, в пятиэтажках подключён триколор, а в районе домов частных нифига нет. Там только спутник нтв ловит и то плохо</t>
  </si>
  <si>
    <t>ну это печально конечно, но отдавать по 3 тысячи в месяц по сути ни за что, сомнительная затея )</t>
  </si>
  <si>
    <t>Marat</t>
  </si>
  <si>
    <t>GeekТусник: IT</t>
  </si>
  <si>
    <t>20.07.2021 21:53</t>
  </si>
  <si>
    <t>Достоинства: Небольшой размер. 
Недостатки: Пока невыявил
Купил две грозозащиты разных фирм для подстраховки, так как после последней грозы через антенный кабель сгорел тюнер, телик досихпор в ремонте. Надеюсь с грозозащитой такого не будет...</t>
  </si>
  <si>
    <t>Алексей Р.</t>
  </si>
  <si>
    <t>03.07.2021 13:27</t>
  </si>
  <si>
    <t>Всем доброго утра! Подскажите номер толкового мастера, который может починить ресивер Триколор</t>
  </si>
  <si>
    <t>89281204061, сначала глянуть бы что случилось с ресивером, может требуется ремонт, может питание всего лишь навернулось</t>
  </si>
  <si>
    <t>Максим Хансен</t>
  </si>
  <si>
    <t>Достоинства: простота использования, удобно, можно регулировать чувствительность, настройка "на слух" - по силе звукового сигнала
Недостатки: нужно подготовить дополнительный кабель с f-коннекторами
рекомендую - свою цену оправдывает полностью</t>
  </si>
  <si>
    <t>Евгений Т.</t>
  </si>
  <si>
    <t>03.07.2021 13:17</t>
  </si>
  <si>
    <t>Зделаете пожалуйста раздел радио</t>
  </si>
  <si>
    <t>Достоинства: работает. настроил антену лудше че после установеи</t>
  </si>
  <si>
    <t>Александр Ч.</t>
  </si>
  <si>
    <t>На рессивер триколора приклеился как родной, пароль вайфая только запросил. В настройках триколора надо указать - прием с интернета и спутника. А так каналов стало больше</t>
  </si>
  <si>
    <t>03.07.2021 12:23</t>
  </si>
  <si>
    <t>ДОРАМУ, пожалуйста!</t>
  </si>
  <si>
    <t>Женя Ермолина</t>
  </si>
  <si>
    <t>03.07.2021 12:02</t>
  </si>
  <si>
    <t>03.07.2021 12:00</t>
  </si>
  <si>
    <t>Фильмы одни и теже по кругу год за годом . Из познавательных хотябы дискавери добавили . Начал поглядывать в сторону мтс а .
v2.4.0</t>
  </si>
  <si>
    <t>михаил машков</t>
  </si>
  <si>
    <t>Комплект спутникового ТВ ТРИКОЛОР UHD Европа с модулем условного доступа</t>
  </si>
  <si>
    <t>Достоинства: Быстрый монтаж, комплект поставки совпадает до гаечки. Простая установка и настройка.</t>
  </si>
  <si>
    <t>Евгений М.</t>
  </si>
  <si>
    <t>04.07.2021 04:21</t>
  </si>
  <si>
    <t>Помогите с настройкой телевизора erisson 20ls01.</t>
  </si>
  <si>
    <t>телеку пофиг что подключено триколор или т2 тюнер
приставка рабочая?</t>
  </si>
  <si>
    <t>Ответы@Mail.Ru: Все категории &gt; Техника для дома</t>
  </si>
  <si>
    <t>03.07.2021 11:12</t>
  </si>
  <si>
    <t>Илья, самое каналы нормальное были убрали с музыкой 80s-90s интересные были?</t>
  </si>
  <si>
    <t>Роман Романов</t>
  </si>
  <si>
    <t>03.07.2021 11:04</t>
  </si>
  <si>
    <t>Может вы раньше подключали данный пакет и не отключили авто продление.</t>
  </si>
  <si>
    <t>05.07.2021 15:45</t>
  </si>
  <si>
    <t>Все подошло, брал для триколор.</t>
  </si>
  <si>
    <t>03.07.2021 11:02</t>
  </si>
  <si>
    <t>Семь раз Андрей, один Руслан! И ещё один Артём и одна Айтэн… Нет, это не список гостей на вечерний сеанс в сауну</t>
  </si>
  <si>
    <t>Римма, А я радио в телефоне слушаю. Поэтому не знаю какое там радио добавили‍♂</t>
  </si>
  <si>
    <t>10:45</t>
  </si>
  <si>
    <t>04.07.2021 01:41</t>
  </si>
  <si>
    <t>Yunus</t>
  </si>
  <si>
    <t>04.07.2021 18:08</t>
  </si>
  <si>
    <t>@shura_tv</t>
  </si>
  <si>
    <t>04.07.2021 06:37</t>
  </si>
  <si>
    <t>03.07.2021 19:33</t>
  </si>
  <si>
    <t>Купил по обмену на старый.Сильно греется новый приёмник.Поднял его на 10 см и поставил на четыре стойки по углам ресивера,тем самым обеспечивая ему вентиляцию снизу.Греется,но уже не так сильно.А блок питания и должен нагреваться,это не страшно.</t>
  </si>
  <si>
    <t>Vitalik Rozhkov</t>
  </si>
  <si>
    <t>03.07.2021 16:40</t>
  </si>
  <si>
    <t>На какой кнопке вещает новый телеканал Шаян ТВ и как его найти в интернете? ТНВ</t>
  </si>
  <si>
    <t>Телеканал магия промо теперь на триколор и нтв плюс</t>
  </si>
  <si>
    <t>ТНВ</t>
  </si>
  <si>
    <t>03.07.2021 10:17</t>
  </si>
  <si>
    <t>Триколор ТВ Экспресс АМУ1 36.0°E Радиоканал "ПИТЕР FM" появился на 11996 L 27500 FEC 3/4, Mpeg-4 , DRE-Crypt Кнопка 896</t>
  </si>
  <si>
    <t>привет всем как обновить новую версию какие приемники сейчас можно обновить выходить сделайте новую версию</t>
  </si>
  <si>
    <t>Алёша Кузьмин</t>
  </si>
  <si>
    <t>03.07.2021 16:11</t>
  </si>
  <si>
    <t>"Онлайн ТВ" от Триколор ТВ</t>
  </si>
  <si>
    <t>Вышло очередное обновление для телевизоров LG,самое интересное что мал по малу но улучьшения реально видны,каналы быстрее открываются.А вот в ресивере что то накосячили с инет конектом,все конекты отт каналов через ошибку 28 приключаются,разве что инфоканал сразу стартует.Похоже сие связано с кодированием,права толи проверяет дольше чем надо или ещё что</t>
  </si>
  <si>
    <t>03.07.2021 10:56</t>
  </si>
  <si>
    <t>Хорошая вещь но очень дорого
v2.5.0</t>
  </si>
  <si>
    <t>Руслан Лутфуллин</t>
  </si>
  <si>
    <t>Бесплатных каналов нтв плюс и триколор на кабеле ABS-2A</t>
  </si>
  <si>
    <t>03.07.2021 18:09</t>
  </si>
  <si>
    <t>Бесплатные каналы на спутнике НТВ плюс и Триколор - EUTELSAT 36B</t>
  </si>
  <si>
    <t>Канал Радиолюбителя</t>
  </si>
  <si>
    <t>Либо не выбран нужный вход, либо приставка нерабочая. Приставка Триколор была подключена через SCART?</t>
  </si>
  <si>
    <t>09:24</t>
  </si>
  <si>
    <t>С приставкой от Триколора он работал как со спутника. Кадена смотри цифровой или аналоговый в настройках.</t>
  </si>
  <si>
    <t>Bzdyszek Dzapadłowski</t>
  </si>
  <si>
    <t>03.07.2021 10:00</t>
  </si>
  <si>
    <t>Нормуль
v2.4.0</t>
  </si>
  <si>
    <t>Евгений Ващенко</t>
  </si>
  <si>
    <t>Достоинства: Работает, подошел к Триколор без проблем.  
Недостатки: Нет.
Рекомендую.</t>
  </si>
  <si>
    <t>03.07.2021 16:12</t>
  </si>
  <si>
    <t>Назрел вопрос,в свете принятого закона о бесплатном распространении 20ти каналов двух мультиплексов во всех средах вещания,появятся ли эти самые двадцать у оператора в онлайн тв</t>
  </si>
  <si>
    <t>Этот старый тв отлично работал с приставкой от триколора, а с приставкой CADENA работать не хочет. Просто не видит ее. Подключено через scard, все перепроверял. Саму антену воткнул в приставку. Как сделать, чтобы тв видел ее?</t>
  </si>
  <si>
    <t>анатолий</t>
  </si>
  <si>
    <t>03.07.2021 07:03</t>
  </si>
  <si>
    <t>Ирина, попробуйте поменять блок питания (если у вас рессивер с блоком). Нам помогло.</t>
  </si>
  <si>
    <t>Василий Сухогузов</t>
  </si>
  <si>
    <t>03.07.2021 07:24</t>
  </si>
  <si>
    <t>Спутниковое телевидение "Триколор ТВ" - весьма спорная вещь...</t>
  </si>
  <si>
    <t>Так за все нужно платить. Спутниковый белый провод на улице тоже недолго, может от этого и ресивер глючить
 Все к деньгам</t>
  </si>
  <si>
    <t>06:52</t>
  </si>
  <si>
    <t>03.07.2021 06:55</t>
  </si>
  <si>
    <t>Надо чтобы стояло без продления а так ложишь на счет  ближайшая услуга списывается</t>
  </si>
  <si>
    <t>Александр Бочкарёв</t>
  </si>
  <si>
    <t>Реж</t>
  </si>
  <si>
    <t>05:15</t>
  </si>
  <si>
    <t>03.07.2021 18:47</t>
  </si>
  <si>
    <t>Скажите этот ресивер подойдёт к этой антенне</t>
  </si>
  <si>
    <t>Скажите подойдёт этот ресивер к этой антенне (триколор)</t>
  </si>
  <si>
    <t>Даниил Маликов</t>
  </si>
  <si>
    <t>04:54</t>
  </si>
  <si>
    <t>Подскажите лучший сервис с телевизионными каналами.</t>
  </si>
  <si>
    <t>Андрей Щеников</t>
  </si>
  <si>
    <t>04:38</t>
  </si>
  <si>
    <t>03.07.2021 04:39</t>
  </si>
  <si>
    <t>Ну ушёл и фиг с ним, пусть хот все уберут. Музыкальные каналы, 30% экрана которых наши вещатели обклеили  всякой херней, на фиг не нужны. Но у нас этого не понимают. А раньше ведь смотрел. Вот смотрю европейские нормальные версии и нормально. И качество не зарезано, как в России пересжато все.</t>
  </si>
  <si>
    <t>blond,skin</t>
  </si>
  <si>
    <t>friendship</t>
  </si>
  <si>
    <t>03:27</t>
  </si>
  <si>
    <t>03.07.2021 03:32</t>
  </si>
  <si>
    <t>Ярослав, он уже ушел и его заменили радио и все.</t>
  </si>
  <si>
    <t>Римма Гиззатуллина</t>
  </si>
  <si>
    <t>Югорск</t>
  </si>
  <si>
    <t>03.07.2021 19:04</t>
  </si>
  <si>
    <t>0562ua.com</t>
  </si>
  <si>
    <t>03.07.2021 02:47</t>
  </si>
  <si>
    <t>да вооще ништяк</t>
  </si>
  <si>
    <t>Агасики) 
А то вечно в этом триколоре в дождь "нет сигнала"</t>
  </si>
  <si>
    <t>Алисия</t>
  </si>
  <si>
    <t>Ոℴगนʓպя Ⴁ₳Ŧ Знакомства, общение 16+</t>
  </si>
  <si>
    <t>04.07.2021 04:15</t>
  </si>
  <si>
    <t>Евгений 1970 писал(а):Назрел вопрос,в свете принятого закона о бесплатном распространении 20ти каналов двух мультиплексов во всех средах вещания,появятся ли эти самые двадцать у оператора в онлайн тв 
Там права доступа различны. Об этом писалось уже не раз.</t>
  </si>
  <si>
    <t>Drovosek, тогда почему у оплативших нет каналов Россия и Россия24 ?</t>
  </si>
  <si>
    <t>00:08</t>
  </si>
  <si>
    <t>03.07.2021 00:08</t>
  </si>
  <si>
    <t>Когда появиться радио в онлайн и раздел радио зделайте</t>
  </si>
  <si>
    <t>03.07.2021 00:01</t>
  </si>
  <si>
    <t>Что происходит с антеннами, или это только у меня? Может кто-то установить нормально, мне установили не прошло и двух</t>
  </si>
  <si>
    <t>Какое подключение? ,МТС,триколор, или НТВ +</t>
  </si>
  <si>
    <t>Надежда Тарова</t>
  </si>
  <si>
    <t>Село-Медведь</t>
  </si>
  <si>
    <t>04.07.2021 01:55</t>
  </si>
  <si>
    <t>Отзывы о Спутниковый ресивер General Satellite GS B 621 L</t>
  </si>
  <si>
    <t>Плюсы:  —
			Минусы: На старом пошли косяки с сигналом приобрел новый по обмену работал четко примерно месяц и пошли косяки  потом вдруг заработал на не долго дней 7-10 и все сдал на гарантийный ремонт .Чинили примерно две недели ( говорят заменили все нутро начиная с материнки ) работал четко дней двадцать и опять пошли косяки Сижу и думаю что делать ,не пора ли отказываться от этого Триколора.Что посоветуете?
			Отзыв: короче не было проблем с тем первым выпуском!Умные люди их никогда не меняли и они пашут до сих пор!</t>
  </si>
  <si>
    <t>Леонид</t>
  </si>
  <si>
    <t>nanegative.ru</t>
  </si>
  <si>
    <t>02.07.2021</t>
  </si>
  <si>
    <t>03.07.2021 10:19</t>
  </si>
  <si>
    <t>ZTE MTS 837F (MF79) | ZTE MTS 836F (MF833T Билайн) – обсуждение</t>
  </si>
  <si>
    <t>Подскажите что делать и как исправить. Все было ок. На даче произошел скачок напряжения. Вырубился триколор и юсб модем zte mf833t, стабилизатор сработал, но видимо не помог. Модем теперь горит красным, разные сим определяет, но сети нет, сигнала нет, интернет по итогу не работает. Модем был взломан под разных операторов. Заходу на 192.168.8.1, кнопка «подключить» не активна. Настройик никакие не сбились вроде, все что было, то и стоит. Слетела прошивка для работы со всеми операторами? Сейчас версия ПО написано BD_ENRUSMF833TV1.0.0B02
Сообщение отредактировал Trigger_ref //4pda.to/forum/index.php?showuser=7447493  - Вчера, 23:44</t>
  </si>
  <si>
    <t>Trigger_ref</t>
  </si>
  <si>
    <t>4PDA &gt; ZTE</t>
  </si>
  <si>
    <t>02.07.2021 22:48</t>
  </si>
  <si>
    <t>Привет всем! Интересно,есть ли у кого,в эти дни проблемы с сигналом на Триколор тв.? У меня,одни каналы показывает</t>
  </si>
  <si>
    <t>Алексей, Я понял! Просто,тогда бы все каналы одинаково залипали,а здесь, половина-хорошо, а другая-плохо..</t>
  </si>
  <si>
    <t>Сергей Карманов</t>
  </si>
  <si>
    <t>Типичный Малоярославец</t>
  </si>
  <si>
    <t>Достоинства: все понравилась)
Недостатки: нет
стандартная приставка) работает отлично)</t>
  </si>
  <si>
    <t>Обухова Т.</t>
  </si>
  <si>
    <t>02.07.2021 22:42</t>
  </si>
  <si>
    <t>Новости Триколор ТВ На спутнике появилась радиостанция «Популярная классика» LCN 897 На спутнике появилась радиостанция</t>
  </si>
  <si>
    <t>Алексей-Хозяин-Димогонь, радио карнавал добавте оно классное радио</t>
  </si>
  <si>
    <t>02.07.2021 22:52</t>
  </si>
  <si>
    <t>Оплатил в апреле, приложение это показывает, а в личном кабинете - нет.
v2.5.0</t>
  </si>
  <si>
    <t>Aleks Ver</t>
  </si>
  <si>
    <t>03.07.2021 17:39</t>
  </si>
  <si>
    <t>Хорошее, грамотное обслуживание,  и главное - очень обаятельный и стрессоустойчивый руководитель.</t>
  </si>
  <si>
    <t>Ольга Забелина</t>
  </si>
  <si>
    <t>по поводу 20 каналов. Как раз в них и была проблема. Установили, попросив знакомых установить и антенну. А это весьма тяжелая труба. И высокая. За лет 5 антенный провод пришел в негодность. А валить опять антенну и опять поднимать - это опять надо кого то просить. Спутник хоть невысоко находится. Если этот провод выйдет из строя. От областных центров далековато, поэтому антенну на 20 каналов приходилось поднимать высоко.</t>
  </si>
  <si>
    <t>kisa7</t>
  </si>
  <si>
    <t>02.07.2021 22:26</t>
  </si>
  <si>
    <t>Лучше бы "Радиолу" и ХайпFM добавили!</t>
  </si>
  <si>
    <t>02.07.2021 22:01</t>
  </si>
  <si>
    <t>Здравствуйте Позвоните на горячую линию Триколор ТВ или уточните информацию через приложение Триколор ТВ приложение Вы можете скачать через Play Market</t>
  </si>
  <si>
    <t>Личный кабинет
Молодцы! Очень удобно стало!</t>
  </si>
  <si>
    <t>051198</t>
  </si>
  <si>
    <t>02.07.2021 21:59</t>
  </si>
  <si>
    <t>Артем Пронин</t>
  </si>
  <si>
    <t>Фрязино</t>
  </si>
  <si>
    <t>02.07.2021 21:43</t>
  </si>
  <si>
    <t>Илья, если мы всегда будем стараться, но, очень скоро включат Триколор "Радио Вера", " ТМ-Радио", РАДИОЛА, LIKE FM, также радио "Говорим Москва" и "Эхо Москва"! Надо всегда поверить!</t>
  </si>
  <si>
    <t>02.07.2021 21:53</t>
  </si>
  <si>
    <t>Андрей Долгов</t>
  </si>
  <si>
    <t>03.07.2021 10:10</t>
  </si>
  <si>
    <t>Хочу ли я странного, или, вдруг, моё желание естественно?
На второй год наличия на даче проводного интернета задумался - а не подключить ли мне к нему триколор? Ведь провод, в отличие от тарелки, на погоду реагировать не будет, и в дождь квадратиками не пойдёт?..</t>
  </si>
  <si>
    <t>Boris  Tyurin</t>
  </si>
  <si>
    <t>02.07.2021 21:10</t>
  </si>
  <si>
    <t>Корона ФМ для тренда</t>
  </si>
  <si>
    <t>03.07.2021 00:12</t>
  </si>
  <si>
    <t>CAM модуль CI+ Триколор ТВ, все по полочкам!</t>
  </si>
  <si>
    <t>Хуета редкосная</t>
  </si>
  <si>
    <t>Александр Чернышев</t>
  </si>
  <si>
    <t>02.07.2021 23:45</t>
  </si>
  <si>
    <t>Хорошен качество!</t>
  </si>
  <si>
    <t>02.07.2021 20:38</t>
  </si>
  <si>
    <t>Это очередная ложь,никогда канал Disney не перейдёт на 16:9. Такая ложь появляется ежемесячно. Они уже давно в прошлом.В Европе уже давно канал Disney транслируется в формате HD.</t>
  </si>
  <si>
    <t>02.07.2021 22:58</t>
  </si>
  <si>
    <t>Почему я перестал смотреть телевизор?</t>
  </si>
  <si>
    <t>Я вот честно не смотрю это говно ТВ уже 1 года . У меня Триколор в Эстонии установлен . В прошлом году позвонили из Триколора (живу в Нарве и есть Российский телефон)и спросили почему я не пользуюсь им , предложили заплатить 1000 руб и наслаждаться Триколором .Я перевел им 1000 руб. Заебала реклама на всех каналах . Выключил и не смотрю эту хуету .Так что телевизор у меня только для интерьера ,Даже два ,ещё на кухне есть</t>
  </si>
  <si>
    <t>juk205</t>
  </si>
  <si>
    <t>yaplakal.com</t>
  </si>
  <si>
    <t>ЯПлакалъ - Разделы -&gt; Тексты</t>
  </si>
  <si>
    <t>02.07.2021 19:48</t>
  </si>
  <si>
    <t>Андрей, такое бывает,сила сигнала,разная на частотах,нужен прибор для точной настройки тарелки. Возможно,у вас облачно,дождь,сигнал на этих частотах так и будет пропадать.</t>
  </si>
  <si>
    <t>02.07.2021 20:13</t>
  </si>
  <si>
    <t>Вот и подошла к концу наша акция «Ревизор в вашем доме»  В ней мы рассказывали, насколько безопасно ваше жилище, как</t>
  </si>
  <si>
    <t>Вот и подошла к концу наша акция «Ревизор в вашем доме»  В ней мы рассказывали, насколько безопасно ваше жилище, как можно сэкономить на коммунальных услугах и как обустроить дом с пользой для себя и природы ✨
Среди участников проекта мы провели конкурс, в котором разыграли «Умный дом» от Триколора, домашнюю камеру для использования сервиса «Триколор Видеонаблюдение» и призы от телеканала «Загородный»  Список победителей по ссылке eco.zagorodny.tv/winners 
Конкурс завершён, но «Ревизор» всегда будет к вашим услугам, в любое время вы можете проверить себя на нашем сайте.
 А пока листайте карусель и смотрите экологичные советы участников проекта! И пишите свои рекомендации в комментариях</t>
  </si>
  <si>
    <t>text,furniture,table,diagram,chair</t>
  </si>
  <si>
    <t>design,interior design</t>
  </si>
  <si>
    <t>02.07.2021 21:36</t>
  </si>
  <si>
    <t>https://scontent-ssn1-1.xx.fbcdn.net/v/t1.6435-9/p960x960/210389983_4051284771592429_124717438004241177_n.png?_nc_cat=111&amp;ccb=1-3&amp;_nc_sid=730e14&amp;_nc_ohc=o35au3T5whEAX8hD48E&amp;_nc_oc=AQkZWyhxQ0UZF7wxh-ImRWaxlCDs6kleL4UB_z61agggED9Jw4RCBx1XBBv4GqGWN7c&amp;_nc_ad=z-m&amp;_nc_cid=0&amp;_nc_ht=scontent-ssn1-1.xx&amp;tp=30&amp;oh=bcdb9958ec33539f234031f362b87035&amp;oe=60E35EE5</t>
  </si>
  <si>
    <t>03.07.2021 00:55</t>
  </si>
  <si>
    <t>Покупал для приставки триколор. Проверил напряжение мултиметром честные 12.3 вольт. Все работает, блок имеет голубой диод.</t>
  </si>
  <si>
    <t>cash,money</t>
  </si>
  <si>
    <t>03.07.2021 08:36</t>
  </si>
  <si>
    <t>Класс, грамотно, понятно. Все заработало!!!</t>
  </si>
  <si>
    <t>максим силкин</t>
  </si>
  <si>
    <t>02.07.2021 18:52</t>
  </si>
  <si>
    <t>Всем добрый вечер! Кто пользуется телевидением Триколор, какое у вас качество сигнала приёмника последний месяц?</t>
  </si>
  <si>
    <t>Алексей, а эффект все тот же - шиш на постном масле...</t>
  </si>
  <si>
    <t>Юлия Немова</t>
  </si>
  <si>
    <t>Алексей, сбросила, после этого на 333 канал, никаких обновлений нет.</t>
  </si>
  <si>
    <t>02.07.2021 18:41</t>
  </si>
  <si>
    <t>Люблю слушать</t>
  </si>
  <si>
    <t>Ждём много радио на триколор</t>
  </si>
  <si>
    <t>02.07.2021 18:37</t>
  </si>
  <si>
    <t>Ура! Самые последние из всех центральных и не только (почти) каналов.</t>
  </si>
  <si>
    <t>02.07.2021 17:57</t>
  </si>
  <si>
    <t>Юлия, делайте сброс до заводских настроек, если есть обновление - обновитесь. Похоже на глюки прошивки. Либо пишите в поддержку, решат) Но попробуйте сначала сами. У меня было 1 раз подлагивание, сбросил, обновился и уже пару лет без проблем работает</t>
  </si>
  <si>
    <t>Алексей Примшиц</t>
  </si>
  <si>
    <t>17:53</t>
  </si>
  <si>
    <t>Такое же предположение и у меня!! GS 8306 работал нормально, и перестал с ошибкой 5 - нет Смарт карты. Купил точно такой же ресивер Б/У - поработал 2 недели и снова такая же проблема.. И часто названивают с Триколора - предлагают за плату поменять ресивер на новый.. Ур..ды</t>
  </si>
  <si>
    <t>Денис Канаев</t>
  </si>
  <si>
    <t>02.07.2021 17:48</t>
  </si>
  <si>
    <t>Была такая проблема:пропадал сигнал. После консультации заменил головку (конвертер), что стоит на самой тарелке. Всё появилось, косяки пропали. А вообще, если уже долго стоит, не мешало бы проверить саму настройку антенны, кабель. Да и сама поверхность тарелки не должна быть ржавой. А вообще, по-честному, у меня последнее время Триколор  запарил, мягко говоря. Когда поставил в 2008 году, вообще, чтобы сигнал исчез, это надо было не знаю чему случиться. Было один раз,когда тарелку залепило снегом, сантимов на 10. Сейчас пошёл дождь, гроза, сигнал пропадает. Долго не включал (неделю, может чуть больше) - перенастройте каналы. На телевизоре нет в настройках "только каналы Триколор", поэтому находит при поиске всё попало, под 1000 каналов. Ну последний пункт это скорее к телику претензии))</t>
  </si>
  <si>
    <t>Эндрю Селиванов</t>
  </si>
  <si>
    <t>02.07.2021 17:09</t>
  </si>
  <si>
    <t>У нас тоже не показывает ни один канал, пишет нет сигнала и всё тут, и поиск делали, пишет что вобще нет доступа, смотрели саму тарелку, нет никаких трещин, ничего не мешает и кабель нормальный, но вот не показывает и все тут, уже месяц без телевизора(( подскажите кого вызвать, чтоб посмотрели?</t>
  </si>
  <si>
    <t>Ирина К-Можегова</t>
  </si>
  <si>
    <t>02.07.2021 17:14</t>
  </si>
  <si>
    <t>Андрей, я сколько прошу каналы . Но не добавляют их не стоит ждать .</t>
  </si>
  <si>
    <t>02.07.2021 16:48</t>
  </si>
  <si>
    <t>Внимание! В последнее время участились случаи мошенничества. Мошенник представляется Александром Васельцовым, менеджером</t>
  </si>
  <si>
    <t>Дмитрий, У многих. Триколор ТВ, НТВ плюс, Билайн, MEGOGO, МегаФон ТВ (приложение). Кабельщиков перечислять не буду (их много).</t>
  </si>
  <si>
    <t>Достоинства: Отличный блок питания, подошёл как родной. Цена в 3раза меньше, чем мне предложили в Триколоре
Недостатки: нет
Озон - это палочка-выручалочка</t>
  </si>
  <si>
    <t>Елена С.</t>
  </si>
  <si>
    <t>05.07.2021 03:10</t>
  </si>
  <si>
    <t>Блок питания MRM-POWER для Триколор ТВ 12В 2А и других спутниковых приставок</t>
  </si>
  <si>
    <t>Достоинства: Понравилась цена. В два раза дешевле чем в Трикалоре. Подключила всё работает. Спасибо.
Недостатки: Нет</t>
  </si>
  <si>
    <t>Марина Проскурина</t>
  </si>
  <si>
    <t>Ступино</t>
  </si>
  <si>
    <t>02.07.2021 16:24</t>
  </si>
  <si>
    <t>Е-тв пропал?</t>
  </si>
  <si>
    <t>Денис Баскаков</t>
  </si>
  <si>
    <t>02.07.2021 16:15</t>
  </si>
  <si>
    <t>Здравствуйте,  у нас телевизор Haier 55 Smart TV HV. Если открыть любое приложение ( нетфликс, стс, триколор,ютуб) изображение хорошое, но когда включаешь  сам фильм/сериал, видео именно в каком-то приложении экран становится очень темным и ничего практически не видно. Подскажите пожалуйста  чём может быть причина?
Если включить каналы просто через тв, а не через интернет, изображение хорошее
P.S. Фото прилагаю
На интернет не грешу, вайфай роутер стоит рядом с телевизоров haier. В другой комнате телевизор Самсунг и там все приложения работают через интернет хорошо</t>
  </si>
  <si>
    <t>Дарья Любимова</t>
  </si>
  <si>
    <t>Рыльск</t>
  </si>
  <si>
    <t>display device,electronic device,television,flat panel display,screen</t>
  </si>
  <si>
    <t>02.07.2021 16:02</t>
  </si>
  <si>
    <t>«Давайте футбол будет футболом, а цирковой аттракцион – цирковым аттракционом» ❌⚽️  Черчесов прокомментировал слова</t>
  </si>
  <si>
    <t>Дмитрий, он точно федеральный. 2 февраля 2021 года мы абоненты спутникового телевидения Триколор Тв остались без телеканалов Газпром медиа на целый месяц. Все телеканалы свои Газпром медиа тогда забраковал  , но матч тв работал.</t>
  </si>
  <si>
    <t>МАТЧ ТВ</t>
  </si>
  <si>
    <t>02.07.2021 15:41</t>
  </si>
  <si>
    <t>Дмитрий, матч тв не какого отношения не имеет к казпром медиа, уж мы обоненты Триколор Тв точно это знаем .</t>
  </si>
  <si>
    <t>Достоинства: Не увидела.
Недостатки: Оформлен был уже на другого человека.Пришлось делать возврат.</t>
  </si>
  <si>
    <t>Ващенко О.</t>
  </si>
  <si>
    <t>02.07.2021 15:11</t>
  </si>
  <si>
    <t>Чтобы вы не думали, будто для нас лишь на антипрививочниках свет клином сошёлся, повесим вот такую картинку. #меморезная</t>
  </si>
  <si>
    <t>Кто хочет словить лулзов рекомендую к просмотру т.н. биолога, Ю.А.Фролова, которого иногда показывают на триколоре на канале "Первый веганский" (да вы тут сидите и ещё не знаете что их даже по триколору показывают :)))</t>
  </si>
  <si>
    <t>Андрей Шестаков</t>
  </si>
  <si>
    <t>Биология</t>
  </si>
  <si>
    <t>02.07.2021 15:00</t>
  </si>
  <si>
    <t>Уимблдон в самом разгаре   У Новака Джоковича есть все шансы сравняться с Роджером Федерером и Рафаэлем Надалем по</t>
  </si>
  <si>
    <t>Евро спорт на доступные каналы!</t>
  </si>
  <si>
    <t>02.07.2021 14:54</t>
  </si>
  <si>
    <t>Это что за бардак с каналами? С 1 по 20 вроде норм.,а дальше не бардак.вы сами пробовали запомнить какой канал на какой кнопке?все в разнобой. Не кому не советую триколор тв.</t>
  </si>
  <si>
    <t>02.07.2021 14:50</t>
  </si>
  <si>
    <t>Новости Триколор ТВ На спутнике появился радиостанция «Популярная классика» LCN 897 На спутнике появился радиостанция</t>
  </si>
  <si>
    <t>появился радиостанция ?
Может, появилась?</t>
  </si>
  <si>
    <t>02.07.2021 18:58</t>
  </si>
  <si>
    <t>Странное нынче лето у нас. Оно вроде есть,  и вроде его нет. ‍♀️
 Дождливое, холодное. От частых дождей уже спутник триколор перестал ловить сигнал,  телевизор работает через раз. Плюсом с 16го июня ужесточили Covid-ограничения, из-за ухудшения ситуации в области  Сидим дома.
  Хорошо что есть животные. Это постоянные хлопоты, заботы, вечно с ними занят,  игры, бесконечные эмоции. А то так и  от тоски совсем зачахнуть можно .
 В кадр попал Icon Style Grillage. 5 месяцев. 
 Обожаю этого безухова. Так и съела бы</t>
  </si>
  <si>
    <t>Svetlana  Oskolkova</t>
  </si>
  <si>
    <t>felidae,carnivore,mammal,animal,cat,fur,kitten,whiskers,paw</t>
  </si>
  <si>
    <t>https://scontent-gmp1-1.xx.fbcdn.net/v/t15.5256-10/e15/q75/s960x960/206667566_851733319072758_9198173091319880070_n.jpg?_nc_cat=104&amp;ccb=1-3&amp;_nc_sid=ad6a45&amp;_nc_ohc=tOK5fJX8nHEAX8AghLM&amp;_nc_ad=z-m&amp;_nc_cid=0&amp;_nc_ht=scontent-gmp1-1.xx&amp;tp=22&amp;oh=804ee6834a7d5c143e9e6471bcea9aff&amp;oe=60E4A67F</t>
  </si>
  <si>
    <t>02.07.2021 14:44</t>
  </si>
  <si>
    <t>Продам триколор тв. Приставка +пульт Спутниковое ТВ, Триколор https://youla</t>
  </si>
  <si>
    <t>6 рублей за зомби-каналы..За это барахло надо самим доплачивать..</t>
  </si>
  <si>
    <t>Сергей Микоян</t>
  </si>
  <si>
    <t>Объявления • Барахолка • Озерск • Кыштым • Касли</t>
  </si>
  <si>
    <t>02.07.2021 14:41</t>
  </si>
  <si>
    <t>Я понимаю если бы проблемы были со всеми частотами и каналами. Но ведь это только по некоторым частотам. По другим частотам все в порядке и сила и качество сигнала</t>
  </si>
  <si>
    <t>Андрей Кох</t>
  </si>
  <si>
    <t>02.07.2021 14:39</t>
  </si>
  <si>
    <t>Новости Спутникового ТВ! и Кабельного ТВ!, Нашёл! Тебе так поверишь?</t>
  </si>
  <si>
    <t>text,electronic device,payment card</t>
  </si>
  <si>
    <t>02.07.2021 14:33</t>
  </si>
  <si>
    <t>У нас снова каналы исчезли,нет сети или нет доступа к каналам,или нет сигнала. Самим не получается настраивать,каждый раз надо вызывать мастера. Наша тарелка с 2013 года уже золотая стала.</t>
  </si>
  <si>
    <t>Ольга Кустышева</t>
  </si>
  <si>
    <t>02.07.2021 15:09</t>
  </si>
  <si>
    <t>источников питания для светодиодного освещения (LED драйверы), светодиодных модулей, оптико-акустических датчиков. 
Производство располагается в Ленинградской области рядом с Санкт-Петербургом в деревне Горбунки на территории площадью более 6000 квадратных метров. 
Но особенно меня заинтересовал холдинг GS Group. Вообще данная компания известна, как производитель и поставщик телекоммуникационного оборудования, в частности приставок для сети "Триколор". 
Но недавно они реализовали в Калининградской области проект по производству светодиодов</t>
  </si>
  <si>
    <t>Отсталая Россия</t>
  </si>
  <si>
    <t>02.07.2021 14:17</t>
  </si>
  <si>
    <t>Новости Триколор ТВ На спутнике появился радиостанция «Популярная классика» На спутнике появился радиостанция «ПИТЕР FM»</t>
  </si>
  <si>
    <t>Новости Спутникового ТВ! и Кабельного ТВ!, покажите номер списка радиостанции "Популярная классика" и "Питер ФМ", пожалуйста!</t>
  </si>
  <si>
    <t>02.07.2021 14:11</t>
  </si>
  <si>
    <t>Почему прекратил?</t>
  </si>
  <si>
    <t>Марина Фадеева</t>
  </si>
  <si>
    <t>Ухта</t>
  </si>
  <si>
    <t>02.07.2021 13:50</t>
  </si>
  <si>
    <t>Руслан, ещё зачастую мешают деревья как раз актуально в этот период! или пусть ждут осени!</t>
  </si>
  <si>
    <t>Виталик Нестеренко</t>
  </si>
  <si>
    <t>02.07.2021 14:02</t>
  </si>
  <si>
    <t>Добавьте пожалуйста телеканалы:
#Ктокуда
Мужской
Охота и рыбалка
Ретро
Усадьба</t>
  </si>
  <si>
    <t>Андрей Крутой</t>
  </si>
  <si>
    <t>Лучше канал передет в HD чем менять соотношение сторон</t>
  </si>
  <si>
    <t>03.07.2021 03:06</t>
  </si>
  <si>
    <t>Телевизор харпер, инструкция</t>
  </si>
  <si>
    <t>НАжала на телевизоре Харпер какую то кнопку, наверно dtv, теперь показывает юсби не обнаружено. И теперь не могу вернуться к каналам триколор. Хоть плачь. Помогите пожалуйста</t>
  </si>
  <si>
    <t>Жанна</t>
  </si>
  <si>
    <t>02.07.2021 13:43</t>
  </si>
  <si>
    <t>В последнее время меня начинает огорчать Триколор!Вот и вчера прoпал мой любимый канал"MTV Hits"!
v2.5.0</t>
  </si>
  <si>
    <t>Ирина Кузнецова</t>
  </si>
  <si>
    <t>02.07.2021 13:23</t>
  </si>
  <si>
    <t>Сергей, плюс автору выше, была подобная проблема. Новое или старое оборудование тут не при чем</t>
  </si>
  <si>
    <t>02.07.2021 13:22</t>
  </si>
  <si>
    <t>Юлия, попробуйте другого найти мастера, дело похоже не в ресивере, а в соединениях до него и настройке тарелки</t>
  </si>
  <si>
    <t>05.07.2021 12:59</t>
  </si>
  <si>
    <t>Достоинства: Работает хорошо, самое главное чтоб был интернет(у нас ролтер на передачу). И должен быть личный кабинет Сбербанка, для работы приставки. Нравится, что есть доступ к фильмам, ютюб (в основном им больше пользуюсь). Основные бесплатные каналы доступны к просмотру. Абон. плату платить не нужно. До этого пользовались Триколор приставкой, но как только приобрёли SberBox больше нечего не нужно здесь все есть и даже больше. Нравится голосовой поиск. Заказал что надо, быстро найдёт и смотри, ещё и пообщяется с тобой. 
Недостатки: Нет
Приставкой очень довольны. Подключили очень быстро и не сложно и смотреть одно удовольствие.</t>
  </si>
  <si>
    <t>Татьяна Щ.</t>
  </si>
  <si>
    <t>Всё хорошо 
v2.5.0</t>
  </si>
  <si>
    <t>дмитрий кузнецов</t>
  </si>
  <si>
    <t>02.07.2021 19:04</t>
  </si>
  <si>
    <t>Генетический мусор. Часть 7</t>
  </si>
  <si>
    <t>. Он так решил. Ладно, еду в магазин, вместе с ним, выбираем стиральную машину, оформляю доставку, обговариваю детали.
Думаете, все?
Примерно в 10 вечера новый звонок.
– Да сколько можно!! Телевизор твой поганый не включается! Как ты настраивал тарелку, картинка без конца виснет. Сделай что-нибудь!
Матерюсь сквозь зубы, вскакиваю с дивана, еду. Захожу в настройки спутникового ресивера, за спиной чувствую тяжелый сверлящий взгляд папаши. Делаю, что нужно. Уфф. Пора баиньки.
Когда я дарил ему на юбилей набор Триколор, не думал, что приобретаю еще одну головную боль.
https://zen.yandex.ru/media/ermakovb/geneticheskii-musor-chast-6-60dd9dd24f502d1ca3ef9a16
#семья, #отношения между людьми, #литература, #измена мужа, #истории из жизни</t>
  </si>
  <si>
    <t>Борис Ермаков</t>
  </si>
  <si>
    <t>zen.yandex.ru</t>
  </si>
  <si>
    <t>skin</t>
  </si>
  <si>
    <t>03.07.2021 09:25</t>
  </si>
  <si>
    <t>Не могу дозвониться уже второй день</t>
  </si>
  <si>
    <t>Сергей В.</t>
  </si>
  <si>
    <t>02.07.2021 12:20</t>
  </si>
  <si>
    <t>Дмитрий, тебе что, семь лет, что ты с нетерпением и недержанием ждёшь, когда "Disney" перейдёт в формат 16:9?</t>
  </si>
  <si>
    <t>Не плохой блок , пока работает</t>
  </si>
  <si>
    <t>02.07.2021 12:39</t>
  </si>
  <si>
    <t>Очень интересно!!!
v2.5.0</t>
  </si>
  <si>
    <t>Игорь Кабанин</t>
  </si>
  <si>
    <t>02.07.2021 11:58</t>
  </si>
  <si>
    <t>Триколор ТВ VK, С ссылку на официальный нет.
Стал известен более точный срок перехода Канала Disney в 16:9. Он может состоятся уже во второй половине июля. Об этом сообщили сотрудники Канала Disney с официальной почты. Спасибо за информацию Николай Колесов
UPD: поступила информация, что дата перехода - ночь с 18 на 19 июля, однако официальными источниками пока не подтверждена.
UPD2: Информация касательно дат подтверждена.</t>
  </si>
  <si>
    <t>03.07.2021 05:20</t>
  </si>
  <si>
    <t>Работает всего один оператор и без маски  общается с клиентами.</t>
  </si>
  <si>
    <t>Спартак Московский</t>
  </si>
  <si>
    <t>02.07.2021 11:59</t>
  </si>
  <si>
    <t>Уже давно пора в HD и 4К формат вещания переходить ))) а они все это "мыло" SD крутят</t>
  </si>
  <si>
    <t>Пришло быстро, всё работает. Единственный минус нельзя изменить тариф.</t>
  </si>
  <si>
    <t>Yura K.</t>
  </si>
  <si>
    <t>02.07.2021 11:30</t>
  </si>
  <si>
    <t>Лидия, то "нет сигнала", то " Нет аудио", " Нет видео ", ошибка 10, 8 и 0. От чего оно там такое множество вариантов выдаёт- не догадываюсь. Каналы то находит с радио, то сокращённый список (около 60 всего, без радио). А если и показывает что, то очень долго переключается с канала на канал( около 10 сек), и на пикселя разбивает, полосами, а то и просто картинка застывает, а звук идёт. В общем, нервов не хватит так 'смотреть' телек.</t>
  </si>
  <si>
    <t>02.07.2021 11:18</t>
  </si>
  <si>
    <t>Экспресс АМУ1 36.0°E Телеканал «NHK WORLD-JAPAN» ушёл с 12341 L DVB-S2/8 PSK/ MPEG-4 SR 27500 Fec 3/4. Провайдер НТВ+ С</t>
  </si>
  <si>
    <t>Большинству он и не нужен без русского языка.</t>
  </si>
  <si>
    <t>02.07.2021 11:01</t>
  </si>
  <si>
    <t>Юлия, сочувствую вам, сама в такой же ситуации.  У меня качество на 100%, а вот сигнал скачет страшно от 2% до 47%. Пишет либо "нет сигнала", либо "ошибка 10".</t>
  </si>
  <si>
    <t>Лидия Шаповалова</t>
  </si>
  <si>
    <t>02.07.2021 10:57</t>
  </si>
  <si>
    <t>Здравствуйте T t Проверьте пожалуйста в настройках приемника силу качество сигнала Если сила и качество сигнала показывают маленькие то настройки пожалуйста антенну после настройки антенны Проведите пожалуйста поиск каналов</t>
  </si>
  <si>
    <t>02.07.2021 10:44</t>
  </si>
  <si>
    <t>Для телевизоров Smart TV LG вышло обновление приложения "Триколор Кино и ТВ" до вер.1.4.2 ЧТО НОВОГО: В новой версии мы</t>
  </si>
  <si>
    <t>Уже обновил когда появиться раздел радио устал листать все каналы</t>
  </si>
  <si>
    <t>03.07.2021 05:21</t>
  </si>
  <si>
    <t>Никогда не отвечают, ужасно!</t>
  </si>
  <si>
    <t>Evgenia</t>
  </si>
  <si>
    <t>02.07.2021 10:16</t>
  </si>
  <si>
    <t>не замечал, всё как работало так и работает</t>
  </si>
  <si>
    <t>Павел Куртягин</t>
  </si>
  <si>
    <t>02.07.2021 10:15</t>
  </si>
  <si>
    <t>Константин, всё ок показывает</t>
  </si>
  <si>
    <t>02.07.2021 10:13</t>
  </si>
  <si>
    <t>всё ок показывает</t>
  </si>
  <si>
    <t>02.07.2021 10:43</t>
  </si>
  <si>
    <t>Всё доступно и понятно
v2.5.0</t>
  </si>
  <si>
    <t>Андрей Харыбин</t>
  </si>
  <si>
    <t>02.07.2021 09:38</t>
  </si>
  <si>
    <t>Изменение в телепрограммах BRIDGE MEDIA , на BRIDGE TV HITS и на BRIDGE TV Шлягер больше не будет Ювелирный бутик TORRE</t>
  </si>
  <si>
    <t>Жалко,я так любил смотреть</t>
  </si>
  <si>
    <t>Алексей Куклин</t>
  </si>
  <si>
    <t>02.07.2021 09:21</t>
  </si>
  <si>
    <t>Подскажите пожалуйста, в Чкаловске ловит каналы телевидения приставка с домашней антенной?</t>
  </si>
  <si>
    <t>Сама приставка зависит от мощности антенны. Нужна хорошая  и мощная антенна . Ведь даже кабельное тв иногда зависает. К Триколору нареканий нет. Лично у меня не зависал ни разу. В соседней комнате стоит просто смарт телевизор . Через интернет от Ростелеком бывают подвисания. Через модем с усилением антенны тоже были. Но все же через кабель лучше прием.</t>
  </si>
  <si>
    <t>Андрей Львович</t>
  </si>
  <si>
    <t>Подслушано  Чкаловск</t>
  </si>
  <si>
    <t>09:15</t>
  </si>
  <si>
    <t>02.07.2021 09:18</t>
  </si>
  <si>
    <t>Подскажите уже несколько дней картинка распадается, в чем причина как исправить? В другой комнате нтв показывает хорошо!</t>
  </si>
  <si>
    <t>Антенна!</t>
  </si>
  <si>
    <t>02.07.2021 09:24</t>
  </si>
  <si>
    <t>ОБЗОР СМИ (выбор редакции 02.07.2021)</t>
  </si>
  <si>
    <t>парламентариями и сенаторами только в июне этого года. 1 июля его подписал президент Владимир Путин.
Закон, который вступит в силу 1 августа, предполагает создание единой системы онлайн-трансляции телеканалов так называемых первого и второго мультиплексов («Первый канал», НТВ, «Россия 1», СТС, «Спас» и др.). Выполнять эти требования должны аудиовизуальные сервисы (АВС), вошедшие в специальный реестр Роскомнадзора, напримерIvi, Megogo, More.tv, Okko, Premier, Start, Amediateka, «Кинопоиск», «Смотрим», «Триколор кино и ТВ онлайн» и т. д.
В России планируют</t>
  </si>
  <si>
    <t>Триколор Чехол защитный для пультов спутниковых приемников SS1-1034</t>
  </si>
  <si>
    <t>Подошёл отлично. Рекомендую для покупки</t>
  </si>
  <si>
    <t>02.07.2021 15:53</t>
  </si>
  <si>
    <t>Каналы на платформе Триколор ТВ</t>
  </si>
  <si>
    <t>pangs8300n писал(а):Триколор создал 3 "спортивных" канала на коленке, что ему мешает сделать парочку музыкальных?
Они для этого и сотрудничают с "Бриджем". Уходит какой-то канал MTV что-то там - на коленке Bridge Media делает канал, направленный на тот же музыкальный формат. Так, танцевальный канал появился в момент ухода аналогичного от MTV, а канал с "классической" иностранной музыкой после...
Ну короче, у Триколора есть партнёр, который забивает дыру, образованную уходом каналов, делая копии на коленке.
Хотя, я щас вспоминаю. Дискотека ТВ была как-то лучше, чем брилдж шлягер.</t>
  </si>
  <si>
    <t>02.07.2021 08:09</t>
  </si>
  <si>
    <t>В воздухе повисла интрига — какая команда заберёт главный трофей Чемпионата России по пляжному футболу? Следите за</t>
  </si>
  <si>
    <t>Как будет работать приложения на макофоне</t>
  </si>
  <si>
    <t>Rykin Warlen</t>
  </si>
  <si>
    <t>02.07.2021 07:59</t>
  </si>
  <si>
    <t>Президент России Владимир Путин подписал закон о создании бесплатной общероссийской системы интернет-трансляций</t>
  </si>
  <si>
    <t>На триколор это не распространяется, у них все платно.</t>
  </si>
  <si>
    <t>Светлана Набиулина</t>
  </si>
  <si>
    <t>МОЕ ПРАВО: консультации юристов</t>
  </si>
  <si>
    <t>02.07.2021 08:34</t>
  </si>
  <si>
    <t>В новой версии работает быстро и четко Просто супер
v2.5.0</t>
  </si>
  <si>
    <t>Сергей Колотилов</t>
  </si>
  <si>
    <t>Поставить козырек из пластиковой бутылки над конвертером от осадков. Поменять установщика, который не может устранить проблему. 
И зачем бабушке было тратить свою пенсию на комплект СТВ?ведь ещё нужно копить внукам на гаджететы, да и детям помощь оказать материальную с пенсии.
Наземная цифра с 20 каналами в помощь населению от государства не дошла?</t>
  </si>
  <si>
    <t>02.07.2021 07:20</t>
  </si>
  <si>
    <t>Роман,Проблема в антенне
Сигнал плохо проходит, тарелку сместить надо
У меня такое был пришлось на метр тарелку двигать</t>
  </si>
  <si>
    <t>02.07.2021 07:19</t>
  </si>
  <si>
    <t>Проблема в антенне
Сигнал плохо проходит, либо тарелку сместить надо
У меня такое был пришлось на метр тарелку двигать</t>
  </si>
  <si>
    <t>05:49</t>
  </si>
  <si>
    <t>02.07.2021 05:49</t>
  </si>
  <si>
    <t>Е-тв ушёл с триколора?</t>
  </si>
  <si>
    <t>02.07.2021 05:41</t>
  </si>
  <si>
    <t>Почему я не могу перейти на менее дорогой тариф с Ультра ТВ?
-Потому что ваш обмен оборудования  на Триколор ТВ не предусматривает более дешёвый тариф. 
С сегодняшнего дня прощай Триколор. Мне тебя будет не хватать</t>
  </si>
  <si>
    <t>KremlinDoc</t>
  </si>
  <si>
    <t>Соловецкий</t>
  </si>
  <si>
    <t>02.07.2021 04:47</t>
  </si>
  <si>
    <t>Поменяйте конвертор, провод 75 ОМ с F разъёмами.</t>
  </si>
  <si>
    <t>03.07.2021 02:19</t>
  </si>
  <si>
    <t>0412ua.com</t>
  </si>
  <si>
    <t>Установлены особенности телевизионного онлайн-вещания - IKSMEDIA.RU</t>
  </si>
  <si>
    <t>июле 2019 президент поручил правительству обеспечить вещание региональных и муниципальных телеканалов «в цифровой среде». Тогда же в Думу был внесён законопроект о трансляции «мультиплексного» ТВ-контента в Интернете. В третьем чтении документ был принят 9 июня 2021.
Закон предполагает создание единого поставщика контента двадцати общедоступных телеканалов для интернет-площадок. Доступ к этому контенту будет бесплатным для пользователей. Требования к программному обеспечению для распространения телеканалов в Интернете установит Роскомнадзор. Он</t>
  </si>
  <si>
    <t>02.07.2021 01:28</t>
  </si>
  <si>
    <t>Магазин спутник (Россия, Тимашевск) - Отличный магазин и отличный персонал</t>
  </si>
  <si>
    <t>делают скидки тем самым на новую, в итоге и по карману не ударило и с новой приставкой. 
Попутно мне порекомендовал продавец приобрести кабель hdmi для более лучшего сигнала, у них же приобрёл батарейки в пульт приставки и телевизора. То есть чтобы я не спросил, все в магазине есть и не только для телевидения, но и помимо много мелочей. В общем я остался доволен пунктуальностью персонала и наличием товара.</t>
  </si>
  <si>
    <t>Graffa2</t>
  </si>
  <si>
    <t>Магазин спутник (тимашевск)</t>
  </si>
  <si>
    <t>01:10</t>
  </si>
  <si>
    <t>02.07.2021 01:10</t>
  </si>
  <si>
    <t>У меня такая же фигня, пушка на два ресивера, меняю местами и обновляю каналы</t>
  </si>
  <si>
    <t>00:23</t>
  </si>
  <si>
    <t>02.07.2021 06:15</t>
  </si>
  <si>
    <t>согласна, могут быть и такие проблемы - тарелка ушла. 
А теперь опять возвращаемся к бабушке в 80 лет в деревне. Ей то что делать? С пенсией, например, в 8 тыс. 
ВСЯ система должна работать так, что бы не было таких сбоев. Ладно, согласна, молния в тарелку шарахнула. Можно понять. Но вызывать настройщика после каждого дождики с ветром - не слишком ли?</t>
  </si>
  <si>
    <t>02.07.2021 00:23</t>
  </si>
  <si>
    <t>Уровень сигнала 100%, качество 40%. Ultra HD, зависания и распада картинки не наблюдаю.</t>
  </si>
  <si>
    <t>Вася Кролик</t>
  </si>
  <si>
    <t>00:17</t>
  </si>
  <si>
    <t>Достоинства: Скорость,  простота
Недостатки: Пока не обнаружила
На ноутбуке сломался встроенный передатчик вай фай. Решила купить внешний. Никаких драйверов для адаптера устанавливать не пришлось, компьютер сам его нашел. Только делала еще диагностику подключения так как подключиться подключилось,  а в интернет не могла выйти. Но это в самом ноутбуке дело было. После сброса сети и переустановки драйвера интернета все получилось.</t>
  </si>
  <si>
    <t>Любовь О.</t>
  </si>
  <si>
    <t>Постоянно слетает авторизация
При каждом входе в приложение требует авторизацию.</t>
  </si>
  <si>
    <t>Классное приложениеp</t>
  </si>
  <si>
    <t>02.07.2021 00:18</t>
  </si>
  <si>
    <t>А это вообще кто то смотрит‍♂️</t>
  </si>
  <si>
    <t>Алексей Серокуров</t>
  </si>
  <si>
    <t>президент поручил правительству обеспечить вещание региональных и муниципальных телеканалов «в цифровой среде». Тогда же в Думу был внесён законопроект о трансляции «мультиплексного» ТВ-контента в Интернете. В третьем чтении документ был принят 9 июня 2021.
Закон предполагает создание единого поставщика контента двадцати общедоступных телеканалов для интернет-площадок. Доступ к этому контенту будет бесплатным для пользователей. Требования к программному обеспечению для распространения телеканалов в Интернете установит Роскомнадзор. Он же должен</t>
  </si>
  <si>
    <t>01.07.2021</t>
  </si>
  <si>
    <t>23:59</t>
  </si>
  <si>
    <t>01.07.2021 23:59</t>
  </si>
  <si>
    <t>После последнего обновления (как раз примерно месяц) это ппц. Все что можно и нельзя (шучу) обновляла, и пофигу. То вообще ничё не найдено, то постоянно выскакивало окно "проблема с частотой..." Уровень сигнала скачет, а качества сигнала нет вообще. Приёмник новый. Хорошо, что я телек не смотрю, а у детей в комнате телекарта.</t>
  </si>
  <si>
    <t>01.07.2021 23:57</t>
  </si>
  <si>
    <t>Появление настроечной таблицы MTV HITS 1 июля 2021 года. Убирание плашки 16+ MTV HITS (1.07.2021) Появление настроечной</t>
  </si>
  <si>
    <t>Замена адекватная будет интересно?</t>
  </si>
  <si>
    <t>Анатолий Симакин</t>
  </si>
  <si>
    <t>01.07.2021 23:34</t>
  </si>
  <si>
    <t>Всё круто Работаем дальше
v2.5.0</t>
  </si>
  <si>
    <t>Николай Филиппов</t>
  </si>
  <si>
    <t>01.07.2021 23:19</t>
  </si>
  <si>
    <t>Сергей, осмотрите саму тарелку, у вас может быть повреждено приёмное устройство или как оно правильно называется не знаю. У нас была подобная ситуация, весной сосулька видимо с крыши упала и повредила.</t>
  </si>
  <si>
    <t>Екатерина Никифорова</t>
  </si>
  <si>
    <t>01.07.2021 23:06</t>
  </si>
  <si>
    <t>Не смотрите на комп, пожалуйста #cgrage_критика_работ</t>
  </si>
  <si>
    <t>Carla, сигнал плохой, нужно триколор ТВ обновить)))</t>
  </si>
  <si>
    <t>Виктор Ижевский</t>
  </si>
  <si>
    <t>3D ДЕГРАДИРОВАНИЕ | CG BLOG</t>
  </si>
  <si>
    <t>01.07.2021 22:57</t>
  </si>
  <si>
    <t>"тарелку" поправь и не eби мозги.</t>
  </si>
  <si>
    <t>Люсёк Сорокин</t>
  </si>
  <si>
    <t>01.07.2021 22:53</t>
  </si>
  <si>
    <t>Рекомендую</t>
  </si>
  <si>
    <t>Эльфият</t>
  </si>
  <si>
    <t>Перезагрузить</t>
  </si>
  <si>
    <t>Светлана Никипелова</t>
  </si>
  <si>
    <t>Медведь</t>
  </si>
  <si>
    <t>22:33</t>
  </si>
  <si>
    <t>01.07.2021 22:33</t>
  </si>
  <si>
    <t>Главное,некоторые каналы показывает отлично,а другие го*но. Я думаю,вынуждают покупать новое оборудование!</t>
  </si>
  <si>
    <t>01.07.2021 22:22</t>
  </si>
  <si>
    <t>Вот слово в слово таких постов уже миллион был...  И основная причина у них одна - плохой сигнал на приемнике.  А это уже следствие либо настройки антенны, либо наличия деления сигнала на несколько устройств,  либо неисправный блок питания приемника</t>
  </si>
  <si>
    <t>Кирилл Ёлкин</t>
  </si>
  <si>
    <t>01.07.2021 22:49</t>
  </si>
  <si>
    <t>Пульт отличный. Цена замечательная - 193 рубля. В магазине такой пульт стоит 850 рублей.</t>
  </si>
  <si>
    <t>01.07.2021 21:55</t>
  </si>
  <si>
    <t>Триколор ТВ Обзор изменений каналов ТриколорТВ за Июнь. Пришли: 1) Ключ Ушли: 1) ТДК Также был ребрединг: 1) - На 267</t>
  </si>
  <si>
    <t>А чего вы хотели за 1500 в год</t>
  </si>
  <si>
    <t>Кстати такая же беда</t>
  </si>
  <si>
    <t>Роман Безматерных</t>
  </si>
  <si>
    <t>Достоинства: Все работает 
Недостатки: Нет</t>
  </si>
  <si>
    <t>01.07.2021 21:41</t>
  </si>
  <si>
    <t>Никаких проблем нет. Проверь саму тарелку( был случай что профиль крепления сгнивал, сигнал сбивался). Версию и обновление ресивера проверь, может устарело до нельзя. Ну и провод сам. Крепление к тарелке и у ресивера.</t>
  </si>
  <si>
    <t>Руслан Головко</t>
  </si>
  <si>
    <t>Триколор, Почему бы не прийти к соглашению?  Каналы-то и правда хорошие.</t>
  </si>
  <si>
    <t>Господа, у всех ли в личном кабинете Триколора включилось автопродление? У меня несколько договоров, в том числе,</t>
  </si>
  <si>
    <t>Тоже было такое.</t>
  </si>
  <si>
    <t>01.07.2021 21:27</t>
  </si>
  <si>
    <t>Здравствуйте.Подскажите пожалуйста,есть ли тут люди которые проживаю по адресу ул.М.Горького дома 111,112 и т.д.? Какую</t>
  </si>
  <si>
    <t>Спутниковое тв от триколора, мтс и нтв+ вещают одинаково что на ул. Грького, что на ул. Ленина. Выбирайте любую по своим финансовым и вкусовым предпочтениям. Так же, если нужен интернет, можете подключить Уфанет вместе с тв. В месяц 800 рублей, зато оборудование покупать не нужно.</t>
  </si>
  <si>
    <t>Алексей Александров</t>
  </si>
  <si>
    <t>Подслушано | в Скопине•</t>
  </si>
  <si>
    <t>01.07.2021 21:24</t>
  </si>
  <si>
    <t>Господа, у всех ли в личном кабинете Триколора включилось автопродление? У меня несколько договоров, в том числе, которыми не пользуюсь и на всех поголовно включили автопродление и списали деньги на пакеты. Никогда не было автопродления и вдруг оно включилось. Сопоставил это с запуском нового личного кабинета, где это видно в настройках профиля в привязанных картах, которых ранее кстати тоже не было, даже на старом портале. Значит все это время Триколор сохранял у себя номера банковских карт.</t>
  </si>
  <si>
    <t>01.07.2021 21:35</t>
  </si>
  <si>
    <t>Триколор, к сожалению в Твери триколор так и не заработал, что делать?</t>
  </si>
  <si>
    <t>Ксюня Толина</t>
  </si>
  <si>
    <t>01.07.2021 21:36</t>
  </si>
  <si>
    <t>Здравствуйте! Использую ТРИКОЛОР Сибирь. При поиске каналов по некоторым частота возникают проблемы, с другими частота и все в порядке. С чем связана проблема? И как устранить?</t>
  </si>
  <si>
    <t>monitor,output device,computer,display device,electronic device,screen,flat panel display,television,computer monitor,software,gadget,projection screen,laptop,signage,personal computer</t>
  </si>
  <si>
    <t>01.07.2021 21:14</t>
  </si>
  <si>
    <t>Всем добрый вечер! Кто пользуется телевидением Триколор, какое у вас качество сигнала приёмника последний месяц? Пропадает ли изображение? У меня сигнал почти не ловит, постоянно пропадает изображение.</t>
  </si>
  <si>
    <t>01.07.2021 22:16</t>
  </si>
  <si>
    <t>2 тарелки на 1 телик</t>
  </si>
  <si>
    <t>У меня 1 тарелка триколор</t>
  </si>
  <si>
    <t>У меня пульт от триколор ТВ пульт от тарелки Ростелеком и от телика</t>
  </si>
  <si>
    <t>ℒ</t>
  </si>
  <si>
    <t>01.07.2021 21:09</t>
  </si>
  <si>
    <t>Дмитрий, долго объяснять вопервых каждую неделю обновлять приёмник смаьреть за точным положением тарелки чтоб не было потери нужного сигнала и обновлять приемнник</t>
  </si>
  <si>
    <t>Владимир Тяпин</t>
  </si>
  <si>
    <t>01.07.2021 21:17</t>
  </si>
  <si>
    <t>Светлана, во во, тоже сейчас с работы пришла, включаю, а список каналов сам обновился</t>
  </si>
  <si>
    <t>01.07.2021 20:56</t>
  </si>
  <si>
    <t>По Твери и сегодня не все каналы показывают. И совсем забавно стало, когда после работы вечером включили, а там прошла сама по себе настройка каналов, на экране список тех, что остались - ни одного HD. Остальные все или не показывают, или замаются и аудио, и видео. Пара каналов , никому не нужным, показывает. Первая двадцатка кое-как</t>
  </si>
  <si>
    <t>01.07.2021 20:42</t>
  </si>
  <si>
    <t>Владимир, а как нужно обслуживать тарелку? Масло менять?</t>
  </si>
  <si>
    <t>Дмитрий Литвинов</t>
  </si>
  <si>
    <t>01.07.2021 20:22</t>
  </si>
  <si>
    <t>Отлично.</t>
  </si>
  <si>
    <t>Алексей Анисимов</t>
  </si>
  <si>
    <t>01.07.2021 20:11</t>
  </si>
  <si>
    <t>Я так понимаю на высокоскоростной интернет от ростелекома ожидать не стоит? Тут вытекает второй вопрос. На каком</t>
  </si>
  <si>
    <t>Мне уже обещают почти год провести оптику, но от такой серьезной компании как ростелеком такого чуда не дождаться, мтс предлогает нормальный интернет с нормальными тарифами. Жду как триколор тв закончится и подведу мтс,там тв, симка, домашний интернет.</t>
  </si>
  <si>
    <t>Миша Мансуров</t>
  </si>
  <si>
    <t>Подслушано Шаркан</t>
  </si>
  <si>
    <t>01.07.2021 20:00</t>
  </si>
  <si>
    <t>⭐ Letícia Sabatella ⭐ #LeticiaSabatella #LetíciaSabatella #ЛетисияСабателла #ВавилонскаяБашня #БерегМечты #OClone #Клон</t>
  </si>
  <si>
    <t>Извините,я перепутала название,вы правы,у меня спутник &lt; триколор ТВ &gt; показывает 922 канала. Там, после этого,у меня ювелирный магазин.  8 канал - это 42 кнопка.</t>
  </si>
  <si>
    <t>Галина Шатулина</t>
  </si>
  <si>
    <t>Латиноамериканские сериалы. Сериальные злодеи.</t>
  </si>
  <si>
    <t>01.07.2021 20:15</t>
  </si>
  <si>
    <t>Ярослав, ну так смотри их "в другом месте" свои низкожанровые каналы с постоянными повторами</t>
  </si>
  <si>
    <t>02.07.2021 00:08</t>
  </si>
  <si>
    <t>Что будет с нашим космосом? (часть 9) [41]</t>
  </si>
  <si>
    <t>Test2010
Kenkel
триколор
Вы же видите, что там тарифы с ограничением на объем? В лучшем случае за 7 т.р. вы получите 55 ГБ / месяц. А фраза до 100 мб вообще никакой полезной инфы не несет. 2 мб, тоже до 100 вы уж определитесь вы про скорость или про объём. это разные вещи...',[])</t>
  </si>
  <si>
    <t>Kenkel</t>
  </si>
  <si>
    <t>Современная политика и макроэкономика</t>
  </si>
  <si>
    <t>Kenkel
триколор
Вы же видите, что там тарифы с ограничением на объем? В лучшем случае за 7 т.р. вы получите 55 ГБ / месяц. А фраза до 100 мб вообще никакой полезной инфы не несет. 2 мб, тоже до 100',[])</t>
  </si>
  <si>
    <t>Test2010</t>
  </si>
  <si>
    <t>01.07.2021 19:46</t>
  </si>
  <si>
    <t>Триколор ТВ 3 день мозги делает ,связь теряет</t>
  </si>
  <si>
    <t>Роман Корх</t>
  </si>
  <si>
    <t>Ненецкий автономный округ</t>
  </si>
  <si>
    <t>Нарьян-Мар</t>
  </si>
  <si>
    <t>01.07.2021 19:35</t>
  </si>
  <si>
    <t>Ушёл и ушёл и что.</t>
  </si>
  <si>
    <t>01.07.2021 19:32</t>
  </si>
  <si>
    <t>Триколор, И не будет. В интернете нашёл информацию, что каналы Дискавери, National Geographic, National Geographic Wild (к примеру)</t>
  </si>
  <si>
    <t>01.07.2021 19:23</t>
  </si>
  <si>
    <t>Владимир Путин подписал закон о едином распространителе ТВ-каналов в интернете Президент РФ Владимир Путин подписал</t>
  </si>
  <si>
    <t>Илья, А я не жду, скоро уйду от Триколора,
у меня Сейчас wink и smart tv</t>
  </si>
  <si>
    <t>Достоинства: 
Недостатки: 
Хорошо роботает</t>
  </si>
  <si>
    <t>ХАМРАКУЛОВА М.</t>
  </si>
  <si>
    <t>01.07.2021 18:59</t>
  </si>
  <si>
    <t>Надоели
v2.4.0</t>
  </si>
  <si>
    <t>Анатолий Прокофьев</t>
  </si>
  <si>
    <t>02.07.2021 00:04</t>
  </si>
  <si>
    <t>Что будет с нашим космосом? 9) [40]</t>
  </si>
  <si>
    <t>doplin
Kenkel
задержки 50 нм
Типичный наглый баран. Не позорься! погугли чудик.
Добавление от 01.07.2021 20:25:
Test2010
Kenkel
не только Старлинк, а скорее все новые спутники для интернета.
Это точно не правда. У какого-нибудь триколора просто столько денег и клиентов нет. Вообще не похоже, что таких группировок останется много, хорошо если пара в конкурентной борьбе выживет. а в чём не правда? у триколора и тд у всех старый Ямал-601 или аналог.',[])</t>
  </si>
  <si>
    <t>01.07.2021 18:27</t>
  </si>
  <si>
    <t>MTV Hits вышел из состава Триколор. на Телекарте тоже вышел.</t>
  </si>
  <si>
    <t>Что взамен телеканал мтв хитс в триколор ТВ</t>
  </si>
  <si>
    <t>Kenkel
не только Старлинк, а скорее все новые спутники для интернета.
Это точно не правда. У какого-нибудь триколора просто столько денег и клиентов нет. Вообще не похоже, что таких группировок останется много, хорошо если пара в конкурентной борьбе выживет.',[])</t>
  </si>
  <si>
    <t>01.07.2021 18:05</t>
  </si>
  <si>
    <t>Точно. Не работает</t>
  </si>
  <si>
    <t>Дмитрий Баженов</t>
  </si>
  <si>
    <t>03.07.2021 04:07</t>
  </si>
  <si>
    <t>stitofff, Бридж неплох сам по себе,но спам на экране выбешивает,чего нет на оригинальном мтиви 80,всяких от 16 и курения   Собственно не передиваю есть откуда смотреть,и оба как ни странно в мп2 идут там с относительно вменяемым битрейтом,а вот где пережатка,вопрос вопросов (издевательство над исходником)и дело то не в мп4 как у соседа,а в том,что он получает перед отправкой на спутник....
p.s вроде как "орион" распростанитель сигнала для раздачи всем (хватались на этот счёт совсем недавно)</t>
  </si>
  <si>
    <t>01.07.2021 18:01</t>
  </si>
  <si>
    <t>Анонимно. Предложите пульт для телевизора "Триколор".</t>
  </si>
  <si>
    <t>Агаповка</t>
  </si>
  <si>
    <t>02.07.2021 01:58</t>
  </si>
  <si>
    <t>САЛАТЫ ►►Вступай в группу! Кто помнит "Дикую Розу" и "Богатые тоже плачут", сколько нас?!</t>
  </si>
  <si>
    <t>На триколор тв  по 2 каналам семейные узы и  воздушные замки  бразильские сериалы</t>
  </si>
  <si>
    <t>Татьяна Муржухина</t>
  </si>
  <si>
    <t>Дачные хитрости от А до Я. Журнал №1!</t>
  </si>
  <si>
    <t>01.07.2021 17:53</t>
  </si>
  <si>
    <t>Не удобно оплачивать сразу за год, сделайте оплату по месяцам!
v2.4.0</t>
  </si>
  <si>
    <t>Марина Марина</t>
  </si>
  <si>
    <t>01.07.2021 17:38</t>
  </si>
  <si>
    <t>Дмитрий, как не касается?, у триколор тоже интернет есть ОТТ</t>
  </si>
  <si>
    <t>01.07.2021 17:36</t>
  </si>
  <si>
    <t>Дмитрий, так Триколор вещает и через интернет</t>
  </si>
  <si>
    <t>01.07.2021 17:33</t>
  </si>
  <si>
    <t>Скоро!Различные Фильмы и муз хит парады (TOP 30.Крутяк недели ,и 10 самых горячих клипов дня, Т/канал МУЗ ТВ )продолжатся,сам соскучился по своему триколору</t>
  </si>
  <si>
    <t>Виталий Нугаев</t>
  </si>
  <si>
    <t>Минусинск</t>
  </si>
  <si>
    <t>01.07.2021 17:29</t>
  </si>
  <si>
    <t>а у триколор тв будет бесплатные каналы</t>
  </si>
  <si>
    <t>Миша Мартынов</t>
  </si>
  <si>
    <t>Дмитрий, тоже интересно, что будет теперь Триколор делать, если там только 12 каналов вещает</t>
  </si>
  <si>
    <t>01.07.2021 16:59</t>
  </si>
  <si>
    <t>ФИНАНСОВАЯ ГРАМОТНОСТЬ - залог вашей безопасности! Предлагаем изучить серию видеороликов по финансовой грамотности</t>
  </si>
  <si>
    <t>Татьяна, я выхожу в интернет дома, у меня дома Интернет Триколор. Дети ходили на берег реки под деревней. в рамках летней занятости мы проводили мероприятия два раза в неделю. 5   июня школьники ходили в мини поход на реку. В рамках дня эколога они прибрали берег от мусора. Педагогами было приготовлено спортивно-развлекательное мероприятие. Также учителя сварили суп и чай. Всего было 12 детей и 5 педагогов. Всем все понравилось.</t>
  </si>
  <si>
    <t>Ирина Котельникова</t>
  </si>
  <si>
    <t>МКОУ ООШ д.Стрельская</t>
  </si>
  <si>
    <t>Стрельская</t>
  </si>
  <si>
    <t>01.07.2021 16:52</t>
  </si>
  <si>
    <t>12 лет пользуюсь Триколор ТВ, все четко работает</t>
  </si>
  <si>
    <t>Самвел Фитунц</t>
  </si>
  <si>
    <t>01.07.2021 16:49</t>
  </si>
  <si>
    <t>А у Триколор ТВ будет?</t>
  </si>
  <si>
    <t>16:31</t>
  </si>
  <si>
    <t>01.07.2021 17:59</t>
  </si>
  <si>
    <t>Всем доброго дня!В общем приобрел по советам местных гуру саундбар от самсунга Т-650 к тв этой же фирмы 50RU7400,плюс заказал тылы 8500s(через пару дней будут дома)Копаюсь сейчас в настройках,смотрю фильмы(подключил пока на месяц нетфликс премиум),вроде всё нравится,но есть несколько вопросов:
Хочу обновить прошивку-в каком формате подготовить флешку(fat32 или nfts)
У меня связка-тв,тюнер триколор и саундбар,подключил изначально тюнер через hdmi к тв,от тв через hdmi arc в такой же разьем к саундбару,при этом сценарии тюнер перестал</t>
  </si>
  <si>
    <t>01.07.2021 16:38</t>
  </si>
  <si>
    <t>text,electronic device,gadget,display device,flat panel display,screen</t>
  </si>
  <si>
    <t>01.07.2021 16:24</t>
  </si>
  <si>
    <t>#FoxRockИнтервью: Диана Арбенина о фаворитах на фестивале, концерте в Ташкенте и жизни сегодняшним днем. Саша Шевцов и</t>
  </si>
  <si>
    <t>Триколор ТВ
Экспресс АМУ1 36.0°E
Телеканал "MTV Hits" ушёл с 11728 L 27500 FEC 3/4, Mpeg-4 , DRE-Crypt
Телеканал прекратил вещание в России!</t>
  </si>
  <si>
    <t>01.07.2021 16:37</t>
  </si>
  <si>
    <t>Здравствуйте! Использую ТРИКОЛОР Сибирь. При поиске каналов по некоторым частотам возникают проблемы, с другими частотами все в порядке. С чем связана проблема? И как устранить?</t>
  </si>
  <si>
    <t>01.07.2021 16:16</t>
  </si>
  <si>
    <t>GS Group выпустил цифровую 4К-приставку в новом корпусе с дополнительной индикацией на передней панели Холдинг GS Group</t>
  </si>
  <si>
    <t>Павел, Сколько всего 4к каналов?</t>
  </si>
  <si>
    <t>16:04</t>
  </si>
  <si>
    <t>01.07.2021 16:04</t>
  </si>
  <si>
    <t>Вот, у меня тоже перебои в работе</t>
  </si>
  <si>
    <t>Светлана Грицюк</t>
  </si>
  <si>
    <t>Перечень каналов для Севастополя</t>
  </si>
  <si>
    <t>Денис, Какой Триколор в цифровом вещании? Вы подумали над чем то писать?</t>
  </si>
  <si>
    <t>Iiya Khorolsky</t>
  </si>
  <si>
    <t>Цифровое эфирное телевидение в формате DVB-T2</t>
  </si>
  <si>
    <t>01.07.2021 16:01</t>
  </si>
  <si>
    <t>Новости НТВ-ПЛЮС Телеканал «NHK WORLD-JAPAN» вышел из состава НТВ-ПЛЮС. Новости Триколор ТВ Телеканал «MTV HITS» вышел</t>
  </si>
  <si>
    <t>Илья, «MTV HITS» прекратил вещание в России.</t>
  </si>
  <si>
    <t>См.рекомендации выше. Нестабильный сигнал сам не пройдет, будете ждать и просить чуда. Не официального установщика поищите в объявлениях, главное результат</t>
  </si>
  <si>
    <t>01.07.2021 15:51</t>
  </si>
  <si>
    <t>Ничего интересного</t>
  </si>
  <si>
    <t>Ivan Dizily</t>
  </si>
  <si>
    <t>Староминская</t>
  </si>
  <si>
    <t>01.07.2021 15:49</t>
  </si>
  <si>
    <t>Песков заявил, что жесткие меры необходимы при вспышке коронавируса в России Жизнь и здоровье россиян - это абсолютный</t>
  </si>
  <si>
    <t>Привет почему в нашей стране не пускают иностранные каналы на триколор тв и другие операторы</t>
  </si>
  <si>
    <t>Владимир Путин</t>
  </si>
  <si>
    <t>01.07.2021 22:50</t>
  </si>
  <si>
    <t>Спасибо большое продавцу. Товар отличный. Продавец достойный, рекомендую</t>
  </si>
  <si>
    <t>02.07.2021 04:44</t>
  </si>
  <si>
    <t>ТОП 5 ОШИБОК  ПРИ УСТАНОВКЕ И НАСТРОЙКЕ  СПУТНИКОВЫХ  АНТЕНН. Это нужно знать всем!</t>
  </si>
  <si>
    <t>А вот такой случай .. шла тарелка 2 года и резко перестала идти , и настроить её невозможно уже 3 дня провел на крыше зная при том что все шло и как все перестало идти и всё что можно перепробывал и менял на другую тарелку и всё бестолку , как в этом случае быть мне , кстати тарелка была настроена на триколор</t>
  </si>
  <si>
    <t>Ильдар Башаров</t>
  </si>
  <si>
    <t>Достоинства: Запаковано хорошо
Еще не заменил вышедший из строя предыдущий конвертер. По замене отпишу.</t>
  </si>
  <si>
    <t>03.07.2021 23:45</t>
  </si>
  <si>
    <t>Теледом</t>
  </si>
  <si>
    <t>Хоть и маленький магазинчик, но всё что нужно есть, так же там можно установить себе сплит систему и триколор тв</t>
  </si>
  <si>
    <t>Евгений Пустовой</t>
  </si>
  <si>
    <t>Прасковея</t>
  </si>
  <si>
    <t>01.07.2021 15:11</t>
  </si>
  <si>
    <t>Вадим, не вводите в заблуждение) 2к это не только за эти каналы, а за всё остальное + 4к каналы. Либо тариф с 4к каналами и подпиской на фильмы</t>
  </si>
  <si>
    <t>01.07.2021 15:04</t>
  </si>
  <si>
    <t>Привет всем, а где у нас в Соликамске можно купить триколор ТВ или смарт карту на триколор?</t>
  </si>
  <si>
    <t>Вера, Значит дело не в ресивере, проверяйте кабель, настройку тарелки..</t>
  </si>
  <si>
    <t>Типичный Соликамск [TC]</t>
  </si>
  <si>
    <t>01.07.2021 14:30</t>
  </si>
  <si>
    <t>Пользователи "ВКонтакте" пожаловались на сбои в работе соцсети 11:46, 1 июля 2021 МОСКВА, 1 июл - РИА Новости</t>
  </si>
  <si>
    <t>Валерий, глупости! И прошлый год была жарано сбоев не было! Второй день с 11 часов невозможно смотреть ТВ Триколор! То экран на секунду тухнет,а то сигнал прерывается,треск и нет изображения! Выключила ,сейчас в 14 часов нормально !</t>
  </si>
  <si>
    <t>Татьяна Тяглеева</t>
  </si>
  <si>
    <t>Артём Шейнин | Время покажет</t>
  </si>
  <si>
    <t>03.07.2021 03:11</t>
  </si>
  <si>
    <t>Телевизор Samsung LT32E315EX 32" (2020)</t>
  </si>
  <si>
    <t>Достоинства: Цена, красивый,стойка у него и выходы для тюльпана.
На триколор картинка отличная!
Недостатки: Для дачного телека всё есть
Громкость глуховата- ну и что)))
На пульте кнопка ( Мютэ)  должна быть большая,но я пользуюсь кнопкой приставки.
И если у вас приставка то ( картинка в картинке ) вам не понадобится  или я не разобрался как там...
Кто не смог ножку прикрутить- тот не мужик (3 минуты).
А кто советовал поискать способ на 13 странице- враг народа,там страниц совсем нет( есть рисунок и всё).
Флэшка показывает,двд через тюльпаны тоже, спутниковое хорошо ловит- что ещё нужно за 15900?</t>
  </si>
  <si>
    <t>Павел Маруков</t>
  </si>
  <si>
    <t>06.07.2021 21:32</t>
  </si>
  <si>
    <t>МТС:приставка "DSD 4614i".</t>
  </si>
  <si>
    <t>sumaza писал(а):Что бы ты не говорил и как бы не оправдывал нск. Слизал блин привычку с трикошной техподдержки всё валить на установщиков.... 
А причём здесь НСКа, я всегда говорил, дело не в Триколор, а ЧудоУстановщиках Триколора ...
И не надо с больной на здоровую, эт вы впаривали 0,55, я как то неплохо обходился 0,8 Супралами и ни как не мог помнить что бы был отвал черз 5-10 секунд, т.к. его по определению не могло быть с нормальным кабелем на   0,8</t>
  </si>
  <si>
    <t>01.07.2021 13:56</t>
  </si>
  <si>
    <t>Все хорошо
v2.4.0</t>
  </si>
  <si>
    <t>Фёдор Ермолаев</t>
  </si>
  <si>
    <t>01.07.2021 13:36</t>
  </si>
  <si>
    <t>Всем привет. Подскажите какой лучше интернет использовать в Видном, дом 8 ??? ( МТС, Триколор, проводной ), окна на обе</t>
  </si>
  <si>
    <t>Интернет лучше проводной.</t>
  </si>
  <si>
    <t>Denis Koshelev</t>
  </si>
  <si>
    <t>ЖК Видный Кошелев Парк</t>
  </si>
  <si>
    <t>Илья, телеканал «MTV HITS» прекратил вещание в России.
Окончание вещания на территории России MTV Hits 1.07.2021</t>
  </si>
  <si>
    <t>01.07.2021 13:33</t>
  </si>
  <si>
    <t>Перезагрузить приёмник. скинуть на завод.</t>
  </si>
  <si>
    <t>88 6880р шбь лллшщj9nim8mmnio7, iminu
v2.3.0</t>
  </si>
  <si>
    <t>Александр Смирнов</t>
  </si>
  <si>
    <t>01.07.2021 15:27</t>
  </si>
  <si>
    <t>С 1.07.2021 NHK WORLD-JAPAN прекращает вещание в открытом виде на спутниковой платформе НТВ-ПЛЮС с транспондера ER33 на спутнике Eutelsat 36C (Экспресс-АМУ1).  Прием сигнала будет доступен: Через наземного дистрибьютора «Медиалогистика» в форматах HD и S</t>
  </si>
  <si>
    <t>нахер их. заморачиваться с триколором или медиа логистикой ради канала который ни кто не смотрит</t>
  </si>
  <si>
    <t>ping-85</t>
  </si>
  <si>
    <t>cesbo_ru</t>
  </si>
  <si>
    <t>03.07.2021 00:19</t>
  </si>
  <si>
    <t>Отличный блок питания. До сих пор (3 месяца) пашет</t>
  </si>
  <si>
    <t>01.07.2021 13:15</t>
  </si>
  <si>
    <t>Вчера снова в Твери триколор не работал, и сегодня утром тоже, как это уже регулярно становиться</t>
  </si>
  <si>
    <t>01.07.2021 12:40</t>
  </si>
  <si>
    <t>Более половины россиян считают, что у России с Беларусью сложились хорошие отношения и страны стремятся к еще большему</t>
  </si>
  <si>
    <t>Павел, у меня тарелка Триколор и я отчетливо вижу , как Россиянам на их телевидении преподносится информация в стиле БТ! Когда же друзьям из России скидываю реальные новости с Беларуси - у них ШОК! Народы и правительства это не одно и тоже!</t>
  </si>
  <si>
    <t>Эдуард Зотов</t>
  </si>
  <si>
    <t>Белорусский портал TUT.BY</t>
  </si>
  <si>
    <t>01.07.2021 12:34</t>
  </si>
  <si>
    <t>Уезжаете в отпуск? Не волнуйтесь за квартиру! Сервис «Триколор Умный дом» поможет защитить ваше имущество даже на расстоянии 
 Подробности по ссылке https://home.tricolor.tv/home/</t>
  </si>
  <si>
    <t>smartphone,gadget,communication device,electronic device,portable communications device</t>
  </si>
  <si>
    <t>01.07.2021 12:49</t>
  </si>
  <si>
    <t>Уезжаете в отпуск? Не волнуйтесь за квартиру! Сервис «Триколор Умный дом» поможет защитить ваше имущество даже на</t>
  </si>
  <si>
    <t>Уезжаете в отпуск? Не волнуйтесь за квартиру! Сервис «Триколор Умный дом» поможет защитить ваше имущество даже на расстоянии
 Датчики среагируют, если кто-то откроет окна или двери в ваше отсутствие.
 Сможете дистанционно регулировать освещение и работу электроприборов.
 Мгновенные уведомления на смартфон сообщат о протечках, задымлении, утечке газа или проникновении в дом грабителей.
 Подробности по ссылке https://home.tricolor.tv/home/</t>
  </si>
  <si>
    <t>01.07.2021 17:11</t>
  </si>
  <si>
    <t>https://scontent-hel3-1.xx.fbcdn.net/v/t1.6435-9/e15/q75/p960x960/209741503_4047589068628666_9014738070921732602_n.jpg?_nc_cat=106&amp;ccb=1-3&amp;_nc_sid=730e14&amp;_nc_ohc=Zc7Aw0HmxWUAX-iYk27&amp;_nc_ad=z-m&amp;_nc_cid=0&amp;_nc_ht=scontent-hel3-1.xx&amp;tp=21&amp;oh=2aff64407aeaed41cccec08e14068b18&amp;oe=60E33FD1</t>
  </si>
  <si>
    <t>02.07.2021 03:56</t>
  </si>
  <si>
    <t>Всегда помогают решить возникающие проблемы с Триколором.</t>
  </si>
  <si>
    <t>Shels Sh.</t>
  </si>
  <si>
    <t>Мытищи</t>
  </si>
  <si>
    <t>01.07.2021 12:51</t>
  </si>
  <si>
    <t>Быстро,четко,надежно!
v2.5.0</t>
  </si>
  <si>
    <t>Александр Лиховидько</t>
  </si>
  <si>
    <t>01.07.2021 12:17</t>
  </si>
  <si>
    <t>Инет тоже тупит.</t>
  </si>
  <si>
    <t>Дима Тарбинский</t>
  </si>
  <si>
    <t>09.07.2021 16:43</t>
  </si>
  <si>
    <t>Блок питания Триколор (сетевой адаптер) универсальный 12V/2A (5,5*2,1 мм)</t>
  </si>
  <si>
    <t>Достоинства: Цена, качество
Недостатки: Нет
Желательно, чтобы кабель был подлинней.</t>
  </si>
  <si>
    <t>Вахрушев Сергей Александрович</t>
  </si>
  <si>
    <t>01.07.2021 12:01</t>
  </si>
  <si>
    <t>Нормально работает, без помех</t>
  </si>
  <si>
    <t>Валентина Ловкова</t>
  </si>
  <si>
    <t>Быстро доставили. Установил, всё работает.</t>
  </si>
  <si>
    <t>01.07.2021 17:07</t>
  </si>
  <si>
    <t>Что будет с нашим космосом? (часть 9) [38]</t>
  </si>
  <si>
    <t>Jorew
спутникового Интернета «Триколор»
15Гб на скорости 10мбит за 2 тыр. На такое можно подписаться только от полной безнадеги.
Эта технология не взлетит, ну очевидно же.',[])</t>
  </si>
  <si>
    <t>woozle</t>
  </si>
  <si>
    <t>02.07.2021 13:53</t>
  </si>
  <si>
    <t>Работает отлично, без всяких проблем.... Пришёл упакован</t>
  </si>
  <si>
    <t>01.07.2021 11:04</t>
  </si>
  <si>
    <t>У меня всё работает  даже в дождь ☔ я вовремя обслуживаю свою тарелку</t>
  </si>
  <si>
    <t>01.07.2021 12:20</t>
  </si>
  <si>
    <t>Подключили к электрическому насосу, не тянет. Можно ли вернуть и перезаказать?</t>
  </si>
  <si>
    <t>01.07.2021 11:02</t>
  </si>
  <si>
    <t>Задолбал этот триколор.особенно последние недели 2.то плохо показывает,то ошибки вылетают.</t>
  </si>
  <si>
    <t>Константин Жуков</t>
  </si>
  <si>
    <t>01.07.2021 11:00</t>
  </si>
  <si>
    <t>Всем привет. Подскажите какой лучше интернет использовать в Видном, дом 8 ??? ( МТС, Триколор, проводной ), окна на обе стороны.</t>
  </si>
  <si>
    <t>Алёна Жукова</t>
  </si>
  <si>
    <t>01.07.2021 10:58</t>
  </si>
  <si>
    <t>Привет всем! Интересно,есть ли у кого,в эти дни проблемы с сигналом на Триколор тв.? У меня,одни каналы показывает хорошо,а другие,в основном-1, ртр,нтв, очень плохо,как при грозе...
Сергей Карманов</t>
  </si>
  <si>
    <t>01.07.2021 10:57</t>
  </si>
  <si>
    <t>Кот, По поводу рекламмы, полностью согласа. Она уже и в телефоне надоела. Мы покупали Триколор давно, по акции на 3 года. Установили тоже сами. Услуги дилеров дорогие. А с приемниками она нокосячили новыми( еще и с обновлением програмного обеспечения) намудрили так. Приемники зависали, звука не было вовсе и еще много чего.А блокировать карту( которая в приемнике) быстрее и удобней у дилера. Поэтому никогда не оставляю приемник на даче.Раньше можно было пол года оплачивать, теперь нет. А отключает автомат. Альтернативы пока нет. 20 каналов от антенны, тоже не всегда хорошо работают.</t>
  </si>
  <si>
    <t>Виктория Богомолова</t>
  </si>
  <si>
    <t>01.07.2021 10:52</t>
  </si>
  <si>
    <t>Спутниковый интернет Илона Маска Starlink начнет работать уже в этом году — vk.cc/c3tQKi</t>
  </si>
  <si>
    <t>Виталий, выше кто-то писал, что примерно такие же цены у Триколора при меньших скоростях</t>
  </si>
  <si>
    <t>Серж Потаман</t>
  </si>
  <si>
    <t>C-c-combo breaker</t>
  </si>
  <si>
    <t>Апатиты</t>
  </si>
  <si>
    <t>07.07.2021 10:25</t>
  </si>
  <si>
    <t>Роутер Ростелеком RT-GM-2 режет скорость WiFi на 5 ГГц</t>
  </si>
  <si>
    <t>Kop
неприятно, что Ростелеком экономит на конечном оборудовании.
он не просто экономит, а нехилые бабки с клиентов на этом барахле рубит.
Может чуть поменее чем Триколор на своих ресиверах. но где-то сравнимые.
И схема аналогичная: "Чтобы пользоваться нашими услугами вы должны приобрести наше проприетарное оборудование"
И ценник на оборудование - от пятикратного себестоимости ',[])</t>
  </si>
  <si>
    <t>Vose</t>
  </si>
  <si>
    <t>Сети, сетевые технологии, подключение к интернету</t>
  </si>
  <si>
    <t>01.07.2021 17:05</t>
  </si>
  <si>
    <t>Техническая поддержка</t>
  </si>
  <si>
    <t>Заказ пришел мгновенно , все работает, в наших магазинах цена 700р</t>
  </si>
  <si>
    <t>01.07.2021 09:59</t>
  </si>
  <si>
    <t>Не впечатлило. Меня мой GS B211 всем устраивает)</t>
  </si>
  <si>
    <t>electronic device,computer hardware</t>
  </si>
  <si>
    <t>01.07.2021 09:26</t>
  </si>
  <si>
    <t>Лучше обычная приставка dvb t2 и нормальная антена с усилителем, правда показывает лишь 20 каналов , но зато стабильно уже более 5 лет</t>
  </si>
  <si>
    <t>Константин Дыблин</t>
  </si>
  <si>
    <t>01.07.2021 09:24</t>
  </si>
  <si>
    <t>Аналогично отказался и забыл про это недоразумение. Поставил вместо Триколора антенну и с отличным качеством, а главное бесплатно 20 каналов. Если надо что еще посмотреть Интернет рулит. В начале лет 15 назад  Триколор предоставлял 20 бесплатных каналов, а сейчас плати от 1500 за лето и не дай бог тучи или дождь. Да и вообще много находится людей на даче кто смотрит телевизор, а тем более 200+ каналов? Теперь висят пустые не нужные тарелки почти в каждом доме, а рядом антенна на 20 каналов</t>
  </si>
  <si>
    <t>Фрол Бероев</t>
  </si>
  <si>
    <t>01.07.2021 09:35</t>
  </si>
  <si>
    <t>вы смотрели стоимость спутникового интернета от ростелекома или триколора. 2000 в месяц и 5000 подключение.</t>
  </si>
  <si>
    <t>Константин Чернышев</t>
  </si>
  <si>
    <t>Чат игроманов</t>
  </si>
  <si>
    <t>08:52</t>
  </si>
  <si>
    <t>01.07.2021 09:00</t>
  </si>
  <si>
    <t>Триколор, будет ли включён канал Ералаш, очень жду его!)</t>
  </si>
  <si>
    <t>01.07.2021 08:39</t>
  </si>
  <si>
    <t>Да обслуживания у вас на вышем уравни и пользоваться не охота</t>
  </si>
  <si>
    <t>Сережа Стеценко</t>
  </si>
  <si>
    <t>01.07.2021 12:29</t>
  </si>
  <si>
    <t>Blaupunkt Телевизор</t>
  </si>
  <si>
    <t>Телевизор понравился. Брала за 31. Свои денег стоит. А вот с доставкой у wb беда. Курьер на телефон не отвечал. Позвонил за 15 минут, пришлось разворачиваться и нестись домой. В удобное время он приехать отказался. Открыть и посмотреть вообще предлагал на улице.
По поводу карты в слот CI+ от Триколора узнавали, 99% работать не будет. Эту карту худо-бедно тянут только лыжи и самсунг.</t>
  </si>
  <si>
    <t>08:01</t>
  </si>
  <si>
    <t>01.07.2021 08:18</t>
  </si>
  <si>
    <t>Привет сколько стоит пакет единый 1500 или 1800</t>
  </si>
  <si>
    <t>01.07.2021 07:59</t>
  </si>
  <si>
    <t>Триколор, првет сколко стоит пакет единый  1500 или 1800</t>
  </si>
  <si>
    <t>01.07.2021 07:57</t>
  </si>
  <si>
    <t>Триколор ТВ, привет  сколько стоит единый  пакет 1500 или 1800</t>
  </si>
  <si>
    <t>01.07.2021 07:44</t>
  </si>
  <si>
    <t>У нас в Реконструкторе уже почти неделю почти каждый вечер пропадает Сигнал в телевизоре. С утра всё работает, а после</t>
  </si>
  <si>
    <t>Здравствуйте. У Вас антенна-тарелка?У нас триколор. Пару лет назад было подобное. Сначала нормально всё, потом распадается на кубики и зависание. Сдали ресивер на ремонт (знакомому). Он нам сказал следующее, что это делается специально, чтобы через определённое время покупали новый ресивер (одно время часто реклама была). А предлагают ресивера плохого качества, дёшево. Нам ресивер перепрошил и пользуемся дальше. Пока всё нормально.</t>
  </si>
  <si>
    <t>Евгения Нищенкодова</t>
  </si>
  <si>
    <t>Аксай город ● События и новости</t>
  </si>
  <si>
    <t>Аксай</t>
  </si>
  <si>
    <t>06:17</t>
  </si>
  <si>
    <t>01.07.2021 06:47</t>
  </si>
  <si>
    <t>Пользуюсь два года. Нравится за удобство и практичность. Платеж производится в какие то секунды, и вся информация доступна.
v2.5.0</t>
  </si>
  <si>
    <t>Галина Калинина</t>
  </si>
  <si>
    <t>03:11</t>
  </si>
  <si>
    <t>01.07.2021 03:11</t>
  </si>
  <si>
    <t>Подскажите пожалуйста, кто пользуется услугами спутника МТС интернет + ТВ... Как со скоростью?? И кто устанавливает??</t>
  </si>
  <si>
    <t>берите триколор все нормально .</t>
  </si>
  <si>
    <t>Иван Иванов</t>
  </si>
  <si>
    <t>Подслушано в Порхове</t>
  </si>
  <si>
    <t>02.07.2021 00:12</t>
  </si>
  <si>
    <t>GS Group выпустил цифровую 4К-приставку в новом корпусе с дополнительной индикацией на передней панели</t>
  </si>
  <si>
    <t>Satellite особая конфигурация двойного тюнера позволяет подключить GS B523L к антенне без дополнительного конвертера и оборудования. Подключив устройство одним кабелем к конвертеру с одним выходом, пользователь получает преимущества двухтюнерного приемника. Среди них — независимый стриминг контента на второй экран, фоновое обеспечение системных процессов.
Новая приставка принимает спутниковый сигнал и транслирует контент сверхвысокого разрешения на телевизоры, планшеты или смартфоны, поддерживающие технологию Ultra HD. Также она может</t>
  </si>
  <si>
    <t>rlocman.ru</t>
  </si>
  <si>
    <t>electronic device,gadget,computer hardware</t>
  </si>
  <si>
    <t>00:39</t>
  </si>
  <si>
    <t>01.07.2021 00:41</t>
  </si>
  <si>
    <t>Я в 2007 году купила тарелку триколор ТВ, и как-то включаю СТС а там шоу СТС зажигает суперзвезду и было выступления Нюши Танцы на стеклах, я рыдала от этого исполнения от Фадеева не было такого а от Нюши были озера слез.
Потом в 2008 видела её в фестивале Новая волна и с тех пор я с Ню.
Эта @nyusha малышка поразила меня в самое сердце навсегда я буду с ней до смерти пока моё сердце стучит и будет жить я с Нюшей навсегда.
Извините что так много пишу просто я тут давно в группе у меня было много страниц но когда начала защищать Ню меня начили</t>
  </si>
  <si>
    <t>Ольга Шурочкина</t>
  </si>
  <si>
    <t>ОФИЦИАЛЬНЫЙ ФАН-КЛУБ ПЕВИЦЫ NYUSHA / НЮША</t>
  </si>
  <si>
    <t>electronic device,microphone,hairstyle,audio equipment,hair coloring,blond</t>
  </si>
  <si>
    <t>art,performance,entertainment,stage,concert,performing arts,talent show,music venue,nightclub</t>
  </si>
  <si>
    <t>01.07.2021 00:16</t>
  </si>
  <si>
    <t>Куплю видеокарту Go Force Nvidia GTX 550</t>
  </si>
  <si>
    <t>Зачем брать старую серию GO, когда можно взять Let's GO. Например Let's GO NVIDIA GTX RX BMW 1762 на 12 гб видеопамяти, и со встроенным триколор ТВ?</t>
  </si>
  <si>
    <t>The-Last Dragon</t>
  </si>
  <si>
    <t>Подслушано Вербилки</t>
  </si>
  <si>
    <t>01.07.2021 00:27</t>
  </si>
  <si>
    <t>Очень долго запускается если какое-то время не пользоваться
v2.5.0</t>
  </si>
  <si>
    <t>Сергей Баранов</t>
  </si>
  <si>
    <t>00:06</t>
  </si>
  <si>
    <t>01.07.2021 00:06</t>
  </si>
  <si>
    <t>Вопросы телеканалу ЮМОР TV</t>
  </si>
  <si>
    <t>Когда появитесь на НТВ-ПЛЮС и Триколор?</t>
  </si>
  <si>
    <t>Глеб Галтеев</t>
  </si>
  <si>
    <t>ЮМОР TV</t>
  </si>
  <si>
    <t>01.07.2021 09:16</t>
  </si>
  <si>
    <t>Всё работает, всё хорошо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</si>
</sst>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I3685"/>
  <sheetViews>
    <sheetView tabSelected="1" topLeftCell="A249" workbookViewId="0"/>
  </sheetViews>
  <sheetFormatPr baseColWidth="10" defaultColWidth="8.83203125" defaultRowHeight="15" x14ac:dyDescent="0.2"/>
  <sheetData>
    <row r="1" spans="1:11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row>
    <row r="2" spans="1:113" x14ac:dyDescent="0.2">
      <c r="A2" t="s">
        <v>113</v>
      </c>
      <c r="B2" t="s">
        <v>114</v>
      </c>
      <c r="C2" t="s">
        <v>115</v>
      </c>
      <c r="D2" t="s">
        <v>116</v>
      </c>
      <c r="E2" t="s">
        <v>117</v>
      </c>
      <c r="F2" t="s">
        <v>118</v>
      </c>
      <c r="G2" t="str">
        <f>HYPERLINK("https://vk.com/wall-30315369_510084?reply=511325&amp;thread=510095")</f>
        <v>https://vk.com/wall-30315369_510084?reply=511325&amp;thread=510095</v>
      </c>
      <c r="H2" t="s">
        <v>119</v>
      </c>
      <c r="I2" t="s">
        <v>120</v>
      </c>
      <c r="J2" t="str">
        <f>HYPERLINK("http://vk.com/id263596038")</f>
        <v>http://vk.com/id263596038</v>
      </c>
      <c r="K2">
        <v>110</v>
      </c>
      <c r="L2" t="s">
        <v>121</v>
      </c>
      <c r="M2">
        <v>23</v>
      </c>
      <c r="N2" t="s">
        <v>122</v>
      </c>
      <c r="O2" t="s">
        <v>123</v>
      </c>
      <c r="P2" t="str">
        <f>HYPERLINK("http://vk.com/club30315369")</f>
        <v>http://vk.com/club30315369</v>
      </c>
      <c r="Q2">
        <v>595734</v>
      </c>
      <c r="R2" t="s">
        <v>124</v>
      </c>
      <c r="S2" t="s">
        <v>125</v>
      </c>
      <c r="T2" t="s">
        <v>126</v>
      </c>
      <c r="U2" t="s">
        <v>127</v>
      </c>
      <c r="AJ2" t="s">
        <v>128</v>
      </c>
      <c r="AK2" t="s">
        <v>129</v>
      </c>
      <c r="AL2" t="str">
        <f>HYPERLINK("https://sun2.megafon-nn.userapi.com/impg/lYEc3GgfNggtgYmqtQFsYnvLFCiJaxXQESqF_g/HywATG-YYvY.jpg?size=1080x1920&amp;quality=96&amp;sign=abbd0f7c8557d211ed66aaf27d718361&amp;c_uniq_tag=4_TUn923FmYD8t-yQ7FyKfmwI_7QxiBKvBS7ldV6BRE&amp;type=album")</f>
        <v>https://sun2.megafon-nn.userapi.com/impg/lYEc3GgfNggtgYmqtQFsYnvLFCiJaxXQESqF_g/HywATG-YYvY.jpg?size=1080x1920&amp;quality=96&amp;sign=abbd0f7c8557d211ed66aaf27d718361&amp;c_uniq_tag=4_TUn923FmYD8t-yQ7FyKfmwI_7QxiBKvBS7ldV6BRE&amp;type=album</v>
      </c>
      <c r="AM2" t="s">
        <v>129</v>
      </c>
      <c r="AN2" t="s">
        <v>130</v>
      </c>
      <c r="AP2" t="s">
        <v>41</v>
      </c>
      <c r="AW2" t="s">
        <v>48</v>
      </c>
      <c r="AZ2" t="s">
        <v>51</v>
      </c>
      <c r="BB2" t="s">
        <v>53</v>
      </c>
    </row>
    <row r="3" spans="1:113" x14ac:dyDescent="0.2">
      <c r="A3" t="s">
        <v>113</v>
      </c>
      <c r="B3" t="s">
        <v>131</v>
      </c>
      <c r="C3" t="s">
        <v>132</v>
      </c>
      <c r="D3" t="s">
        <v>133</v>
      </c>
      <c r="E3" t="s">
        <v>134</v>
      </c>
      <c r="F3" t="s">
        <v>118</v>
      </c>
      <c r="G3" t="str">
        <f>HYPERLINK("https://vk.com/wall-2290850_687875?reply=687911")</f>
        <v>https://vk.com/wall-2290850_687875?reply=687911</v>
      </c>
      <c r="H3" t="s">
        <v>119</v>
      </c>
      <c r="I3" t="s">
        <v>135</v>
      </c>
      <c r="J3" t="str">
        <f>HYPERLINK("http://vk.com/id739997")</f>
        <v>http://vk.com/id739997</v>
      </c>
      <c r="K3">
        <v>165</v>
      </c>
      <c r="L3" t="s">
        <v>121</v>
      </c>
      <c r="N3" t="s">
        <v>122</v>
      </c>
      <c r="O3" t="s">
        <v>136</v>
      </c>
      <c r="P3" t="str">
        <f>HYPERLINK("http://vk.com/club2290850")</f>
        <v>http://vk.com/club2290850</v>
      </c>
      <c r="Q3">
        <v>14544</v>
      </c>
      <c r="R3" t="s">
        <v>124</v>
      </c>
      <c r="S3" t="s">
        <v>125</v>
      </c>
      <c r="T3" t="s">
        <v>137</v>
      </c>
      <c r="U3" t="s">
        <v>137</v>
      </c>
      <c r="AM3" t="s">
        <v>129</v>
      </c>
      <c r="AN3" t="s">
        <v>130</v>
      </c>
      <c r="AP3" t="s">
        <v>41</v>
      </c>
      <c r="AZ3" t="s">
        <v>51</v>
      </c>
      <c r="BA3" t="s">
        <v>52</v>
      </c>
      <c r="BL3" t="s">
        <v>63</v>
      </c>
    </row>
    <row r="4" spans="1:113" x14ac:dyDescent="0.2">
      <c r="A4" t="s">
        <v>113</v>
      </c>
      <c r="B4" t="s">
        <v>138</v>
      </c>
      <c r="C4" t="s">
        <v>139</v>
      </c>
      <c r="D4" t="s">
        <v>140</v>
      </c>
      <c r="E4" t="s">
        <v>141</v>
      </c>
      <c r="F4" t="s">
        <v>118</v>
      </c>
      <c r="G4" t="str">
        <f>HYPERLINK("https://telegram.me/nag_public/548242")</f>
        <v>https://telegram.me/nag_public/548242</v>
      </c>
      <c r="H4" t="s">
        <v>119</v>
      </c>
      <c r="I4" t="s">
        <v>142</v>
      </c>
      <c r="J4" t="str">
        <f>HYPERLINK("https://telegram.me/nevzorofff")</f>
        <v>https://telegram.me/nevzorofff</v>
      </c>
      <c r="L4" t="s">
        <v>121</v>
      </c>
      <c r="N4" t="s">
        <v>143</v>
      </c>
      <c r="O4" t="s">
        <v>144</v>
      </c>
      <c r="P4" t="str">
        <f>HYPERLINK("https://telegram.me/nag_public")</f>
        <v>https://telegram.me/nag_public</v>
      </c>
      <c r="Q4">
        <v>2251</v>
      </c>
      <c r="R4" t="s">
        <v>145</v>
      </c>
      <c r="AM4" t="s">
        <v>129</v>
      </c>
      <c r="AN4" t="s">
        <v>130</v>
      </c>
      <c r="AP4" t="s">
        <v>41</v>
      </c>
      <c r="AY4" t="s">
        <v>50</v>
      </c>
      <c r="AZ4" t="s">
        <v>51</v>
      </c>
      <c r="BD4" t="s">
        <v>55</v>
      </c>
    </row>
    <row r="5" spans="1:113" x14ac:dyDescent="0.2">
      <c r="A5" t="s">
        <v>113</v>
      </c>
      <c r="B5" t="s">
        <v>146</v>
      </c>
      <c r="C5" t="s">
        <v>147</v>
      </c>
      <c r="D5" t="s">
        <v>148</v>
      </c>
      <c r="E5" t="s">
        <v>149</v>
      </c>
      <c r="F5" t="s">
        <v>118</v>
      </c>
      <c r="G5" t="str">
        <f>HYPERLINK("https://vk.com/wall-79599578_879613?reply=879737")</f>
        <v>https://vk.com/wall-79599578_879613?reply=879737</v>
      </c>
      <c r="H5" t="s">
        <v>119</v>
      </c>
      <c r="I5" t="s">
        <v>150</v>
      </c>
      <c r="J5" t="str">
        <f>HYPERLINK("http://vk.com/id189358859")</f>
        <v>http://vk.com/id189358859</v>
      </c>
      <c r="K5">
        <v>704</v>
      </c>
      <c r="L5" t="s">
        <v>151</v>
      </c>
      <c r="M5">
        <v>38</v>
      </c>
      <c r="N5" t="s">
        <v>122</v>
      </c>
      <c r="O5" t="s">
        <v>152</v>
      </c>
      <c r="P5" t="str">
        <f>HYPERLINK("http://vk.com/club79599578")</f>
        <v>http://vk.com/club79599578</v>
      </c>
      <c r="Q5">
        <v>31269</v>
      </c>
      <c r="R5" t="s">
        <v>124</v>
      </c>
      <c r="S5" t="s">
        <v>125</v>
      </c>
      <c r="T5" t="s">
        <v>153</v>
      </c>
      <c r="U5" t="s">
        <v>154</v>
      </c>
      <c r="AM5" t="s">
        <v>129</v>
      </c>
      <c r="AN5" t="s">
        <v>130</v>
      </c>
      <c r="AP5" t="s">
        <v>41</v>
      </c>
      <c r="AX5" t="s">
        <v>49</v>
      </c>
      <c r="AZ5" t="s">
        <v>51</v>
      </c>
      <c r="BD5" t="s">
        <v>55</v>
      </c>
    </row>
    <row r="6" spans="1:113" x14ac:dyDescent="0.2">
      <c r="A6" t="s">
        <v>113</v>
      </c>
      <c r="B6" t="s">
        <v>155</v>
      </c>
      <c r="C6" t="s">
        <v>156</v>
      </c>
      <c r="D6" t="s">
        <v>157</v>
      </c>
      <c r="E6" t="s">
        <v>158</v>
      </c>
      <c r="F6" t="s">
        <v>118</v>
      </c>
      <c r="G6" t="str">
        <f>HYPERLINK("https://vk.com/wall-61101621_254888?reply=254893")</f>
        <v>https://vk.com/wall-61101621_254888?reply=254893</v>
      </c>
      <c r="H6" t="s">
        <v>119</v>
      </c>
      <c r="I6" t="s">
        <v>159</v>
      </c>
      <c r="J6" t="str">
        <f>HYPERLINK("http://vk.com/id27298520")</f>
        <v>http://vk.com/id27298520</v>
      </c>
      <c r="K6">
        <v>113</v>
      </c>
      <c r="L6" t="s">
        <v>121</v>
      </c>
      <c r="N6" t="s">
        <v>122</v>
      </c>
      <c r="O6" t="s">
        <v>160</v>
      </c>
      <c r="P6" t="str">
        <f>HYPERLINK("http://vk.com/club61101621")</f>
        <v>http://vk.com/club61101621</v>
      </c>
      <c r="Q6">
        <v>21119</v>
      </c>
      <c r="R6" t="s">
        <v>124</v>
      </c>
      <c r="S6" t="s">
        <v>125</v>
      </c>
      <c r="T6" t="s">
        <v>161</v>
      </c>
      <c r="U6" t="s">
        <v>162</v>
      </c>
      <c r="W6">
        <v>0</v>
      </c>
      <c r="X6">
        <v>0</v>
      </c>
      <c r="AM6" t="s">
        <v>129</v>
      </c>
      <c r="AN6" t="s">
        <v>130</v>
      </c>
      <c r="AP6" t="s">
        <v>41</v>
      </c>
      <c r="AW6" t="s">
        <v>48</v>
      </c>
      <c r="AY6" t="s">
        <v>50</v>
      </c>
      <c r="AZ6" t="s">
        <v>51</v>
      </c>
      <c r="BA6" t="s">
        <v>52</v>
      </c>
    </row>
    <row r="7" spans="1:113" x14ac:dyDescent="0.2">
      <c r="A7" t="s">
        <v>113</v>
      </c>
      <c r="B7" t="s">
        <v>163</v>
      </c>
      <c r="C7" t="s">
        <v>164</v>
      </c>
      <c r="D7" t="s">
        <v>165</v>
      </c>
      <c r="E7" t="s">
        <v>166</v>
      </c>
      <c r="F7" t="s">
        <v>118</v>
      </c>
      <c r="G7" t="str">
        <f>HYPERLINK("https://vk.com/wall-39325472_2007364?reply=2007750&amp;thread=2007378")</f>
        <v>https://vk.com/wall-39325472_2007364?reply=2007750&amp;thread=2007378</v>
      </c>
      <c r="H7" t="s">
        <v>119</v>
      </c>
      <c r="I7" t="s">
        <v>167</v>
      </c>
      <c r="J7" t="str">
        <f>HYPERLINK("http://vk.com/id185745724")</f>
        <v>http://vk.com/id185745724</v>
      </c>
      <c r="K7">
        <v>116</v>
      </c>
      <c r="L7" t="s">
        <v>151</v>
      </c>
      <c r="N7" t="s">
        <v>122</v>
      </c>
      <c r="O7" t="s">
        <v>168</v>
      </c>
      <c r="P7" t="str">
        <f>HYPERLINK("http://vk.com/club39325472")</f>
        <v>http://vk.com/club39325472</v>
      </c>
      <c r="Q7">
        <v>94622</v>
      </c>
      <c r="R7" t="s">
        <v>124</v>
      </c>
      <c r="S7" t="s">
        <v>125</v>
      </c>
      <c r="T7" t="s">
        <v>169</v>
      </c>
      <c r="U7" t="s">
        <v>169</v>
      </c>
      <c r="AM7" t="s">
        <v>129</v>
      </c>
      <c r="AN7" t="s">
        <v>130</v>
      </c>
      <c r="AP7" t="s">
        <v>41</v>
      </c>
      <c r="AW7" t="s">
        <v>48</v>
      </c>
      <c r="AZ7" t="s">
        <v>51</v>
      </c>
      <c r="BA7" t="s">
        <v>52</v>
      </c>
    </row>
    <row r="8" spans="1:113" x14ac:dyDescent="0.2">
      <c r="A8" t="s">
        <v>113</v>
      </c>
      <c r="B8" t="s">
        <v>170</v>
      </c>
      <c r="C8" t="s">
        <v>171</v>
      </c>
      <c r="D8" t="s">
        <v>172</v>
      </c>
      <c r="E8" t="s">
        <v>173</v>
      </c>
      <c r="F8" t="s">
        <v>118</v>
      </c>
      <c r="G8" t="str">
        <f>HYPERLINK("https://vk.com/wall-27863223_292619?reply=292677")</f>
        <v>https://vk.com/wall-27863223_292619?reply=292677</v>
      </c>
      <c r="H8" t="s">
        <v>119</v>
      </c>
      <c r="I8" t="s">
        <v>174</v>
      </c>
      <c r="J8" t="str">
        <f>HYPERLINK("http://vk.com/id456414908")</f>
        <v>http://vk.com/id456414908</v>
      </c>
      <c r="K8">
        <v>240</v>
      </c>
      <c r="L8" t="s">
        <v>151</v>
      </c>
      <c r="M8">
        <v>32</v>
      </c>
      <c r="N8" t="s">
        <v>122</v>
      </c>
      <c r="O8" t="s">
        <v>175</v>
      </c>
      <c r="P8" t="str">
        <f>HYPERLINK("http://vk.com/club27863223")</f>
        <v>http://vk.com/club27863223</v>
      </c>
      <c r="Q8">
        <v>134698</v>
      </c>
      <c r="R8" t="s">
        <v>124</v>
      </c>
      <c r="W8">
        <v>0</v>
      </c>
      <c r="X8">
        <v>0</v>
      </c>
      <c r="AM8" t="s">
        <v>129</v>
      </c>
      <c r="AN8" t="s">
        <v>130</v>
      </c>
      <c r="AO8" t="s">
        <v>40</v>
      </c>
      <c r="AP8" t="s">
        <v>41</v>
      </c>
      <c r="AZ8" t="s">
        <v>51</v>
      </c>
      <c r="BA8" t="s">
        <v>52</v>
      </c>
    </row>
    <row r="9" spans="1:113" x14ac:dyDescent="0.2">
      <c r="A9" t="s">
        <v>113</v>
      </c>
      <c r="B9" t="s">
        <v>176</v>
      </c>
      <c r="C9" t="s">
        <v>177</v>
      </c>
      <c r="D9" t="s">
        <v>178</v>
      </c>
      <c r="E9" t="s">
        <v>179</v>
      </c>
      <c r="F9" t="s">
        <v>180</v>
      </c>
      <c r="G9" t="str">
        <f>HYPERLINK("https://www.ozon.ru/context/detail/id/267765014/#63490609")</f>
        <v>https://www.ozon.ru/context/detail/id/267765014/#63490609</v>
      </c>
      <c r="H9" t="s">
        <v>181</v>
      </c>
      <c r="I9" t="s">
        <v>182</v>
      </c>
      <c r="J9" t="str">
        <f>HYPERLINK("https://www.ozon.ru/context/client_opinion/ClientGuid/f5e99164-ab45-42ef-abae-1494b5a8acbb/")</f>
        <v>https://www.ozon.ru/context/client_opinion/ClientGuid/f5e99164-ab45-42ef-abae-1494b5a8acbb/</v>
      </c>
      <c r="L9" t="s">
        <v>151</v>
      </c>
      <c r="N9" t="s">
        <v>183</v>
      </c>
      <c r="O9" t="s">
        <v>178</v>
      </c>
      <c r="P9" t="str">
        <f>HYPERLINK("https://www.ozon.ru/context/detail/id/267765014/")</f>
        <v>https://www.ozon.ru/context/detail/id/267765014/</v>
      </c>
      <c r="R9" t="s">
        <v>184</v>
      </c>
      <c r="S9" t="s">
        <v>125</v>
      </c>
      <c r="W9">
        <v>0</v>
      </c>
      <c r="X9">
        <v>0</v>
      </c>
      <c r="AH9">
        <v>5</v>
      </c>
      <c r="AM9" t="s">
        <v>129</v>
      </c>
      <c r="AN9" t="s">
        <v>130</v>
      </c>
      <c r="AP9" t="s">
        <v>41</v>
      </c>
      <c r="AZ9" t="s">
        <v>51</v>
      </c>
      <c r="BA9" t="s">
        <v>52</v>
      </c>
      <c r="BL9" t="s">
        <v>63</v>
      </c>
    </row>
    <row r="10" spans="1:113" x14ac:dyDescent="0.2">
      <c r="A10" t="s">
        <v>113</v>
      </c>
      <c r="B10" t="s">
        <v>185</v>
      </c>
      <c r="C10" t="s">
        <v>186</v>
      </c>
      <c r="D10" t="s">
        <v>172</v>
      </c>
      <c r="E10" t="s">
        <v>187</v>
      </c>
      <c r="F10" t="s">
        <v>118</v>
      </c>
      <c r="G10" t="str">
        <f>HYPERLINK("https://vk.com/wall-27863223_292619?reply=292675")</f>
        <v>https://vk.com/wall-27863223_292619?reply=292675</v>
      </c>
      <c r="H10" t="s">
        <v>119</v>
      </c>
      <c r="I10" t="s">
        <v>188</v>
      </c>
      <c r="J10" t="str">
        <f>HYPERLINK("http://vk.com/id405850912")</f>
        <v>http://vk.com/id405850912</v>
      </c>
      <c r="K10">
        <v>189</v>
      </c>
      <c r="L10" t="s">
        <v>121</v>
      </c>
      <c r="M10">
        <v>42</v>
      </c>
      <c r="N10" t="s">
        <v>122</v>
      </c>
      <c r="O10" t="s">
        <v>175</v>
      </c>
      <c r="P10" t="str">
        <f t="shared" ref="P10:P15" si="0">HYPERLINK("http://vk.com/club27863223")</f>
        <v>http://vk.com/club27863223</v>
      </c>
      <c r="Q10">
        <v>134698</v>
      </c>
      <c r="R10" t="s">
        <v>124</v>
      </c>
      <c r="S10" t="s">
        <v>125</v>
      </c>
      <c r="T10" t="s">
        <v>189</v>
      </c>
      <c r="U10" t="s">
        <v>190</v>
      </c>
      <c r="W10">
        <v>0</v>
      </c>
      <c r="X10">
        <v>0</v>
      </c>
      <c r="AM10" t="s">
        <v>129</v>
      </c>
      <c r="AN10" t="s">
        <v>130</v>
      </c>
      <c r="AO10" t="s">
        <v>40</v>
      </c>
      <c r="AP10" t="s">
        <v>41</v>
      </c>
      <c r="AZ10" t="s">
        <v>51</v>
      </c>
      <c r="BA10" t="s">
        <v>52</v>
      </c>
    </row>
    <row r="11" spans="1:113" x14ac:dyDescent="0.2">
      <c r="A11" t="s">
        <v>113</v>
      </c>
      <c r="B11" t="s">
        <v>191</v>
      </c>
      <c r="C11" t="s">
        <v>186</v>
      </c>
      <c r="D11" t="s">
        <v>172</v>
      </c>
      <c r="E11" t="s">
        <v>187</v>
      </c>
      <c r="F11" t="s">
        <v>118</v>
      </c>
      <c r="G11" t="str">
        <f>HYPERLINK("https://vk.com/wall-27863223_292619?reply=292674")</f>
        <v>https://vk.com/wall-27863223_292619?reply=292674</v>
      </c>
      <c r="H11" t="s">
        <v>119</v>
      </c>
      <c r="I11" t="s">
        <v>192</v>
      </c>
      <c r="J11" t="str">
        <f>HYPERLINK("http://vk.com/id620720545")</f>
        <v>http://vk.com/id620720545</v>
      </c>
      <c r="K11">
        <v>62</v>
      </c>
      <c r="L11" t="s">
        <v>151</v>
      </c>
      <c r="M11">
        <v>33</v>
      </c>
      <c r="N11" t="s">
        <v>122</v>
      </c>
      <c r="O11" t="s">
        <v>175</v>
      </c>
      <c r="P11" t="str">
        <f t="shared" si="0"/>
        <v>http://vk.com/club27863223</v>
      </c>
      <c r="Q11">
        <v>134698</v>
      </c>
      <c r="R11" t="s">
        <v>124</v>
      </c>
      <c r="S11" t="s">
        <v>125</v>
      </c>
      <c r="T11" t="s">
        <v>189</v>
      </c>
      <c r="U11" t="s">
        <v>190</v>
      </c>
      <c r="W11">
        <v>0</v>
      </c>
      <c r="X11">
        <v>0</v>
      </c>
      <c r="AM11" t="s">
        <v>129</v>
      </c>
      <c r="AN11" t="s">
        <v>130</v>
      </c>
      <c r="AO11" t="s">
        <v>40</v>
      </c>
      <c r="AP11" t="s">
        <v>41</v>
      </c>
      <c r="AZ11" t="s">
        <v>51</v>
      </c>
      <c r="BA11" t="s">
        <v>52</v>
      </c>
    </row>
    <row r="12" spans="1:113" x14ac:dyDescent="0.2">
      <c r="A12" t="s">
        <v>113</v>
      </c>
      <c r="B12" t="s">
        <v>193</v>
      </c>
      <c r="C12" t="s">
        <v>194</v>
      </c>
      <c r="D12" t="s">
        <v>172</v>
      </c>
      <c r="E12" t="s">
        <v>187</v>
      </c>
      <c r="F12" t="s">
        <v>118</v>
      </c>
      <c r="G12" t="str">
        <f>HYPERLINK("https://vk.com/wall-27863223_292619?reply=292673")</f>
        <v>https://vk.com/wall-27863223_292619?reply=292673</v>
      </c>
      <c r="H12" t="s">
        <v>119</v>
      </c>
      <c r="I12" t="s">
        <v>195</v>
      </c>
      <c r="J12" t="str">
        <f>HYPERLINK("http://vk.com/id596609295")</f>
        <v>http://vk.com/id596609295</v>
      </c>
      <c r="K12">
        <v>39</v>
      </c>
      <c r="L12" t="s">
        <v>151</v>
      </c>
      <c r="M12">
        <v>60</v>
      </c>
      <c r="N12" t="s">
        <v>122</v>
      </c>
      <c r="O12" t="s">
        <v>175</v>
      </c>
      <c r="P12" t="str">
        <f t="shared" si="0"/>
        <v>http://vk.com/club27863223</v>
      </c>
      <c r="Q12">
        <v>134698</v>
      </c>
      <c r="R12" t="s">
        <v>124</v>
      </c>
      <c r="S12" t="s">
        <v>125</v>
      </c>
      <c r="T12" t="s">
        <v>189</v>
      </c>
      <c r="U12" t="s">
        <v>190</v>
      </c>
      <c r="W12">
        <v>0</v>
      </c>
      <c r="X12">
        <v>0</v>
      </c>
      <c r="AM12" t="s">
        <v>129</v>
      </c>
      <c r="AN12" t="s">
        <v>130</v>
      </c>
      <c r="AO12" t="s">
        <v>40</v>
      </c>
      <c r="AP12" t="s">
        <v>41</v>
      </c>
      <c r="AZ12" t="s">
        <v>51</v>
      </c>
      <c r="BA12" t="s">
        <v>52</v>
      </c>
    </row>
    <row r="13" spans="1:113" x14ac:dyDescent="0.2">
      <c r="A13" t="s">
        <v>113</v>
      </c>
      <c r="B13" t="s">
        <v>196</v>
      </c>
      <c r="C13" t="s">
        <v>194</v>
      </c>
      <c r="D13" t="s">
        <v>172</v>
      </c>
      <c r="E13" t="s">
        <v>187</v>
      </c>
      <c r="F13" t="s">
        <v>118</v>
      </c>
      <c r="G13" t="str">
        <f>HYPERLINK("https://vk.com/wall-27863223_292619?reply=292672")</f>
        <v>https://vk.com/wall-27863223_292619?reply=292672</v>
      </c>
      <c r="H13" t="s">
        <v>119</v>
      </c>
      <c r="I13" t="s">
        <v>197</v>
      </c>
      <c r="J13" t="str">
        <f>HYPERLINK("http://vk.com/id552337659")</f>
        <v>http://vk.com/id552337659</v>
      </c>
      <c r="K13">
        <v>73</v>
      </c>
      <c r="L13" t="s">
        <v>121</v>
      </c>
      <c r="M13">
        <v>26</v>
      </c>
      <c r="N13" t="s">
        <v>122</v>
      </c>
      <c r="O13" t="s">
        <v>175</v>
      </c>
      <c r="P13" t="str">
        <f t="shared" si="0"/>
        <v>http://vk.com/club27863223</v>
      </c>
      <c r="Q13">
        <v>134698</v>
      </c>
      <c r="R13" t="s">
        <v>124</v>
      </c>
      <c r="S13" t="s">
        <v>125</v>
      </c>
      <c r="W13">
        <v>0</v>
      </c>
      <c r="X13">
        <v>0</v>
      </c>
      <c r="AM13" t="s">
        <v>129</v>
      </c>
      <c r="AN13" t="s">
        <v>130</v>
      </c>
      <c r="AO13" t="s">
        <v>40</v>
      </c>
      <c r="AP13" t="s">
        <v>41</v>
      </c>
      <c r="AZ13" t="s">
        <v>51</v>
      </c>
      <c r="BA13" t="s">
        <v>52</v>
      </c>
    </row>
    <row r="14" spans="1:113" x14ac:dyDescent="0.2">
      <c r="A14" t="s">
        <v>113</v>
      </c>
      <c r="B14" t="s">
        <v>198</v>
      </c>
      <c r="C14" t="s">
        <v>194</v>
      </c>
      <c r="D14" t="s">
        <v>172</v>
      </c>
      <c r="E14" t="s">
        <v>187</v>
      </c>
      <c r="F14" t="s">
        <v>118</v>
      </c>
      <c r="G14" t="str">
        <f>HYPERLINK("https://vk.com/wall-27863223_292619?reply=292671")</f>
        <v>https://vk.com/wall-27863223_292619?reply=292671</v>
      </c>
      <c r="H14" t="s">
        <v>119</v>
      </c>
      <c r="I14" t="s">
        <v>199</v>
      </c>
      <c r="J14" t="str">
        <f>HYPERLINK("http://vk.com/id541540544")</f>
        <v>http://vk.com/id541540544</v>
      </c>
      <c r="K14">
        <v>114</v>
      </c>
      <c r="L14" t="s">
        <v>121</v>
      </c>
      <c r="M14">
        <v>43</v>
      </c>
      <c r="N14" t="s">
        <v>122</v>
      </c>
      <c r="O14" t="s">
        <v>175</v>
      </c>
      <c r="P14" t="str">
        <f t="shared" si="0"/>
        <v>http://vk.com/club27863223</v>
      </c>
      <c r="Q14">
        <v>134698</v>
      </c>
      <c r="R14" t="s">
        <v>124</v>
      </c>
      <c r="S14" t="s">
        <v>125</v>
      </c>
      <c r="T14" t="s">
        <v>189</v>
      </c>
      <c r="U14" t="s">
        <v>190</v>
      </c>
      <c r="W14">
        <v>0</v>
      </c>
      <c r="X14">
        <v>0</v>
      </c>
      <c r="AM14" t="s">
        <v>129</v>
      </c>
      <c r="AN14" t="s">
        <v>130</v>
      </c>
      <c r="AO14" t="s">
        <v>40</v>
      </c>
      <c r="AP14" t="s">
        <v>41</v>
      </c>
      <c r="AZ14" t="s">
        <v>51</v>
      </c>
      <c r="BA14" t="s">
        <v>52</v>
      </c>
    </row>
    <row r="15" spans="1:113" x14ac:dyDescent="0.2">
      <c r="A15" t="s">
        <v>113</v>
      </c>
      <c r="B15" t="s">
        <v>200</v>
      </c>
      <c r="C15" t="s">
        <v>194</v>
      </c>
      <c r="D15" t="s">
        <v>172</v>
      </c>
      <c r="E15" t="s">
        <v>187</v>
      </c>
      <c r="F15" t="s">
        <v>118</v>
      </c>
      <c r="G15" t="str">
        <f>HYPERLINK("https://vk.com/wall-27863223_292619?reply=292670")</f>
        <v>https://vk.com/wall-27863223_292619?reply=292670</v>
      </c>
      <c r="H15" t="s">
        <v>119</v>
      </c>
      <c r="I15" t="s">
        <v>201</v>
      </c>
      <c r="J15" t="str">
        <f>HYPERLINK("http://vk.com/id438282281")</f>
        <v>http://vk.com/id438282281</v>
      </c>
      <c r="K15">
        <v>208</v>
      </c>
      <c r="L15" t="s">
        <v>151</v>
      </c>
      <c r="M15">
        <v>33</v>
      </c>
      <c r="N15" t="s">
        <v>122</v>
      </c>
      <c r="O15" t="s">
        <v>175</v>
      </c>
      <c r="P15" t="str">
        <f t="shared" si="0"/>
        <v>http://vk.com/club27863223</v>
      </c>
      <c r="Q15">
        <v>134698</v>
      </c>
      <c r="R15" t="s">
        <v>124</v>
      </c>
      <c r="S15" t="s">
        <v>125</v>
      </c>
      <c r="T15" t="s">
        <v>189</v>
      </c>
      <c r="U15" t="s">
        <v>190</v>
      </c>
      <c r="W15">
        <v>0</v>
      </c>
      <c r="X15">
        <v>0</v>
      </c>
      <c r="AM15" t="s">
        <v>129</v>
      </c>
      <c r="AN15" t="s">
        <v>130</v>
      </c>
      <c r="AO15" t="s">
        <v>40</v>
      </c>
      <c r="AP15" t="s">
        <v>41</v>
      </c>
      <c r="AZ15" t="s">
        <v>51</v>
      </c>
      <c r="BA15" t="s">
        <v>52</v>
      </c>
    </row>
    <row r="16" spans="1:113" x14ac:dyDescent="0.2">
      <c r="A16" t="s">
        <v>113</v>
      </c>
      <c r="B16" t="s">
        <v>202</v>
      </c>
      <c r="C16" t="s">
        <v>203</v>
      </c>
      <c r="D16" t="s">
        <v>204</v>
      </c>
      <c r="E16" t="s">
        <v>205</v>
      </c>
      <c r="F16" t="s">
        <v>180</v>
      </c>
      <c r="G16" t="str">
        <f>HYPERLINK("https://play.google.com/store/apps/details?id=ru.iflex.android.a3colortv&amp;reviewId=gp:AOqpTOGzvX1Thw4E8HP8wEsS03D1uTKF1sAa3XprppT3WqcUOu9jvWm7njI80nyb6V1Fl0-Yyig8ESugMGN9Mg")</f>
        <v>https://play.google.com/store/apps/details?id=ru.iflex.android.a3colortv&amp;reviewId=gp:AOqpTOGzvX1Thw4E8HP8wEsS03D1uTKF1sAa3XprppT3WqcUOu9jvWm7njI80nyb6V1Fl0-Yyig8ESugMGN9Mg</v>
      </c>
      <c r="H16" t="s">
        <v>181</v>
      </c>
      <c r="I16" t="s">
        <v>206</v>
      </c>
      <c r="J16" t="str">
        <f>HYPERLINK("https://plus.google.com/108791208976588584247")</f>
        <v>https://plus.google.com/108791208976588584247</v>
      </c>
      <c r="L16" t="s">
        <v>151</v>
      </c>
      <c r="N16" t="s">
        <v>207</v>
      </c>
      <c r="O16" t="s">
        <v>204</v>
      </c>
      <c r="P16" t="str">
        <f>HYPERLINK("https://play.google.com/store/apps/details?id=ru.iflex.android.a3colortv&amp;hl=ru")</f>
        <v>https://play.google.com/store/apps/details?id=ru.iflex.android.a3colortv&amp;hl=ru</v>
      </c>
      <c r="R16" t="s">
        <v>184</v>
      </c>
      <c r="S16" t="s">
        <v>125</v>
      </c>
      <c r="W16">
        <v>0</v>
      </c>
      <c r="X16">
        <v>0</v>
      </c>
      <c r="AH16">
        <v>5</v>
      </c>
      <c r="AM16" t="s">
        <v>129</v>
      </c>
      <c r="AN16" t="s">
        <v>130</v>
      </c>
      <c r="AP16" t="s">
        <v>41</v>
      </c>
      <c r="AZ16" t="s">
        <v>51</v>
      </c>
      <c r="BA16" t="s">
        <v>52</v>
      </c>
      <c r="BQ16" t="s">
        <v>68</v>
      </c>
    </row>
    <row r="17" spans="1:89" x14ac:dyDescent="0.2">
      <c r="A17" t="s">
        <v>113</v>
      </c>
      <c r="B17" t="s">
        <v>208</v>
      </c>
      <c r="C17" t="s">
        <v>209</v>
      </c>
      <c r="D17" t="s">
        <v>172</v>
      </c>
      <c r="E17" t="s">
        <v>210</v>
      </c>
      <c r="F17" t="s">
        <v>118</v>
      </c>
      <c r="G17" t="str">
        <f>HYPERLINK("https://vk.com/wall-27863223_292619?reply=292669")</f>
        <v>https://vk.com/wall-27863223_292619?reply=292669</v>
      </c>
      <c r="H17" t="s">
        <v>119</v>
      </c>
      <c r="I17" t="s">
        <v>211</v>
      </c>
      <c r="J17" t="str">
        <f>HYPERLINK("http://vk.com/id69897514")</f>
        <v>http://vk.com/id69897514</v>
      </c>
      <c r="K17">
        <v>1088</v>
      </c>
      <c r="L17" t="s">
        <v>151</v>
      </c>
      <c r="N17" t="s">
        <v>122</v>
      </c>
      <c r="O17" t="s">
        <v>175</v>
      </c>
      <c r="P17" t="str">
        <f>HYPERLINK("http://vk.com/club27863223")</f>
        <v>http://vk.com/club27863223</v>
      </c>
      <c r="Q17">
        <v>134698</v>
      </c>
      <c r="R17" t="s">
        <v>124</v>
      </c>
      <c r="S17" t="s">
        <v>125</v>
      </c>
      <c r="T17" t="s">
        <v>212</v>
      </c>
      <c r="U17" t="s">
        <v>213</v>
      </c>
      <c r="W17">
        <v>0</v>
      </c>
      <c r="X17">
        <v>0</v>
      </c>
      <c r="AM17" t="s">
        <v>129</v>
      </c>
      <c r="AN17" t="s">
        <v>130</v>
      </c>
      <c r="AO17" t="s">
        <v>40</v>
      </c>
      <c r="AP17" t="s">
        <v>41</v>
      </c>
      <c r="AZ17" t="s">
        <v>51</v>
      </c>
      <c r="BA17" t="s">
        <v>52</v>
      </c>
    </row>
    <row r="18" spans="1:89" x14ac:dyDescent="0.2">
      <c r="A18" t="s">
        <v>113</v>
      </c>
      <c r="B18" t="s">
        <v>214</v>
      </c>
      <c r="C18" t="s">
        <v>209</v>
      </c>
      <c r="D18" t="s">
        <v>215</v>
      </c>
      <c r="E18" t="s">
        <v>216</v>
      </c>
      <c r="F18" t="s">
        <v>118</v>
      </c>
      <c r="G18" t="str">
        <f>HYPERLINK("https://vk.com/wall-27863223_292439?reply=292668")</f>
        <v>https://vk.com/wall-27863223_292439?reply=292668</v>
      </c>
      <c r="H18" t="s">
        <v>119</v>
      </c>
      <c r="I18" t="s">
        <v>217</v>
      </c>
      <c r="J18" t="str">
        <f>HYPERLINK("http://vk.com/id25416833")</f>
        <v>http://vk.com/id25416833</v>
      </c>
      <c r="K18">
        <v>247</v>
      </c>
      <c r="L18" t="s">
        <v>151</v>
      </c>
      <c r="N18" t="s">
        <v>122</v>
      </c>
      <c r="O18" t="s">
        <v>175</v>
      </c>
      <c r="P18" t="str">
        <f>HYPERLINK("http://vk.com/club27863223")</f>
        <v>http://vk.com/club27863223</v>
      </c>
      <c r="Q18">
        <v>134698</v>
      </c>
      <c r="R18" t="s">
        <v>124</v>
      </c>
      <c r="S18" t="s">
        <v>125</v>
      </c>
      <c r="T18" t="s">
        <v>218</v>
      </c>
      <c r="U18" t="s">
        <v>219</v>
      </c>
      <c r="W18">
        <v>0</v>
      </c>
      <c r="X18">
        <v>0</v>
      </c>
      <c r="AM18" t="s">
        <v>129</v>
      </c>
      <c r="AN18" t="s">
        <v>130</v>
      </c>
      <c r="AO18" t="s">
        <v>40</v>
      </c>
      <c r="AP18" t="s">
        <v>41</v>
      </c>
      <c r="AZ18" t="s">
        <v>51</v>
      </c>
      <c r="BA18" t="s">
        <v>52</v>
      </c>
    </row>
    <row r="19" spans="1:89" x14ac:dyDescent="0.2">
      <c r="A19" t="s">
        <v>113</v>
      </c>
      <c r="B19" t="s">
        <v>220</v>
      </c>
      <c r="C19" t="s">
        <v>209</v>
      </c>
      <c r="D19" t="s">
        <v>172</v>
      </c>
      <c r="E19" t="s">
        <v>210</v>
      </c>
      <c r="F19" t="s">
        <v>118</v>
      </c>
      <c r="G19" t="str">
        <f>HYPERLINK("https://vk.com/wall-27863223_292619?reply=292667")</f>
        <v>https://vk.com/wall-27863223_292619?reply=292667</v>
      </c>
      <c r="H19" t="s">
        <v>119</v>
      </c>
      <c r="I19" t="s">
        <v>217</v>
      </c>
      <c r="J19" t="str">
        <f>HYPERLINK("http://vk.com/id25416833")</f>
        <v>http://vk.com/id25416833</v>
      </c>
      <c r="K19">
        <v>247</v>
      </c>
      <c r="L19" t="s">
        <v>151</v>
      </c>
      <c r="N19" t="s">
        <v>122</v>
      </c>
      <c r="O19" t="s">
        <v>175</v>
      </c>
      <c r="P19" t="str">
        <f>HYPERLINK("http://vk.com/club27863223")</f>
        <v>http://vk.com/club27863223</v>
      </c>
      <c r="Q19">
        <v>134698</v>
      </c>
      <c r="R19" t="s">
        <v>124</v>
      </c>
      <c r="S19" t="s">
        <v>125</v>
      </c>
      <c r="T19" t="s">
        <v>218</v>
      </c>
      <c r="U19" t="s">
        <v>219</v>
      </c>
      <c r="W19">
        <v>0</v>
      </c>
      <c r="X19">
        <v>0</v>
      </c>
      <c r="AM19" t="s">
        <v>129</v>
      </c>
      <c r="AN19" t="s">
        <v>130</v>
      </c>
      <c r="AO19" t="s">
        <v>40</v>
      </c>
      <c r="AP19" t="s">
        <v>41</v>
      </c>
      <c r="AZ19" t="s">
        <v>51</v>
      </c>
      <c r="BA19" t="s">
        <v>52</v>
      </c>
    </row>
    <row r="20" spans="1:89" x14ac:dyDescent="0.2">
      <c r="A20" t="s">
        <v>113</v>
      </c>
      <c r="B20" t="s">
        <v>221</v>
      </c>
      <c r="C20" t="s">
        <v>222</v>
      </c>
      <c r="D20" t="s">
        <v>172</v>
      </c>
      <c r="E20" t="s">
        <v>173</v>
      </c>
      <c r="F20" t="s">
        <v>118</v>
      </c>
      <c r="G20" t="str">
        <f>HYPERLINK("https://vk.com/wall-27863223_292619?reply=292666")</f>
        <v>https://vk.com/wall-27863223_292619?reply=292666</v>
      </c>
      <c r="H20" t="s">
        <v>119</v>
      </c>
      <c r="I20" t="s">
        <v>223</v>
      </c>
      <c r="J20" t="str">
        <f>HYPERLINK("http://vk.com/id35568203")</f>
        <v>http://vk.com/id35568203</v>
      </c>
      <c r="K20">
        <v>62</v>
      </c>
      <c r="L20" t="s">
        <v>151</v>
      </c>
      <c r="N20" t="s">
        <v>122</v>
      </c>
      <c r="O20" t="s">
        <v>175</v>
      </c>
      <c r="P20" t="str">
        <f>HYPERLINK("http://vk.com/club27863223")</f>
        <v>http://vk.com/club27863223</v>
      </c>
      <c r="Q20">
        <v>134698</v>
      </c>
      <c r="R20" t="s">
        <v>124</v>
      </c>
      <c r="S20" t="s">
        <v>125</v>
      </c>
      <c r="W20">
        <v>0</v>
      </c>
      <c r="X20">
        <v>0</v>
      </c>
      <c r="AM20" t="s">
        <v>129</v>
      </c>
      <c r="AN20" t="s">
        <v>130</v>
      </c>
      <c r="AO20" t="s">
        <v>40</v>
      </c>
      <c r="AP20" t="s">
        <v>41</v>
      </c>
      <c r="AZ20" t="s">
        <v>51</v>
      </c>
      <c r="BA20" t="s">
        <v>52</v>
      </c>
    </row>
    <row r="21" spans="1:89" x14ac:dyDescent="0.2">
      <c r="A21" t="s">
        <v>113</v>
      </c>
      <c r="B21" t="s">
        <v>224</v>
      </c>
      <c r="C21" t="s">
        <v>225</v>
      </c>
      <c r="D21" t="s">
        <v>226</v>
      </c>
      <c r="E21" t="s">
        <v>227</v>
      </c>
      <c r="F21" t="s">
        <v>118</v>
      </c>
      <c r="G21" t="str">
        <f>HYPERLINK("https://vk.com/wall-27863223_291992?reply=292665&amp;thread=292121")</f>
        <v>https://vk.com/wall-27863223_291992?reply=292665&amp;thread=292121</v>
      </c>
      <c r="H21" t="s">
        <v>228</v>
      </c>
      <c r="I21" t="s">
        <v>229</v>
      </c>
      <c r="J21" t="str">
        <f>HYPERLINK("http://vk.com/id486109495")</f>
        <v>http://vk.com/id486109495</v>
      </c>
      <c r="K21">
        <v>2</v>
      </c>
      <c r="L21" t="s">
        <v>121</v>
      </c>
      <c r="N21" t="s">
        <v>122</v>
      </c>
      <c r="O21" t="s">
        <v>175</v>
      </c>
      <c r="P21" t="str">
        <f>HYPERLINK("http://vk.com/club27863223")</f>
        <v>http://vk.com/club27863223</v>
      </c>
      <c r="Q21">
        <v>134698</v>
      </c>
      <c r="R21" t="s">
        <v>124</v>
      </c>
      <c r="S21" t="s">
        <v>125</v>
      </c>
      <c r="T21" t="s">
        <v>230</v>
      </c>
      <c r="U21" t="s">
        <v>231</v>
      </c>
      <c r="AM21" t="s">
        <v>129</v>
      </c>
      <c r="AN21" t="s">
        <v>130</v>
      </c>
      <c r="AP21" t="s">
        <v>41</v>
      </c>
      <c r="AU21" t="s">
        <v>46</v>
      </c>
      <c r="AZ21" t="s">
        <v>51</v>
      </c>
      <c r="BA21" t="s">
        <v>52</v>
      </c>
    </row>
    <row r="22" spans="1:89" x14ac:dyDescent="0.2">
      <c r="A22" t="s">
        <v>113</v>
      </c>
      <c r="B22" t="s">
        <v>232</v>
      </c>
      <c r="C22" t="s">
        <v>233</v>
      </c>
      <c r="D22" t="s">
        <v>175</v>
      </c>
      <c r="E22" t="s">
        <v>234</v>
      </c>
      <c r="F22" t="s">
        <v>180</v>
      </c>
      <c r="G22" t="str">
        <f>HYPERLINK("https://yandex.ru/maps/org/1751874426#L-TkMvWEiK2drHB2IDv4bpXGnSeBJe")</f>
        <v>https://yandex.ru/maps/org/1751874426#L-TkMvWEiK2drHB2IDv4bpXGnSeBJe</v>
      </c>
      <c r="H22" t="s">
        <v>228</v>
      </c>
      <c r="I22" t="s">
        <v>235</v>
      </c>
      <c r="J22" t="str">
        <f>HYPERLINK("https://yandex.ru/user/2xt91y33nq4xb5vzu2j2bfyyrg")</f>
        <v>https://yandex.ru/user/2xt91y33nq4xb5vzu2j2bfyyrg</v>
      </c>
      <c r="L22" t="s">
        <v>151</v>
      </c>
      <c r="N22" t="s">
        <v>236</v>
      </c>
      <c r="O22" t="s">
        <v>175</v>
      </c>
      <c r="P22" t="str">
        <f>HYPERLINK("https://yandex.ru/maps/org/1751874426")</f>
        <v>https://yandex.ru/maps/org/1751874426</v>
      </c>
      <c r="R22" t="s">
        <v>184</v>
      </c>
      <c r="S22" t="s">
        <v>125</v>
      </c>
      <c r="T22" t="s">
        <v>237</v>
      </c>
      <c r="U22" t="s">
        <v>238</v>
      </c>
      <c r="W22">
        <v>0</v>
      </c>
      <c r="X22">
        <v>0</v>
      </c>
      <c r="AH22">
        <v>3</v>
      </c>
      <c r="AM22" t="s">
        <v>129</v>
      </c>
      <c r="AN22" t="s">
        <v>130</v>
      </c>
      <c r="AP22" t="s">
        <v>41</v>
      </c>
      <c r="AU22" t="s">
        <v>46</v>
      </c>
      <c r="AY22" t="s">
        <v>50</v>
      </c>
      <c r="BA22" t="s">
        <v>52</v>
      </c>
      <c r="BF22" t="s">
        <v>57</v>
      </c>
      <c r="CK22" t="s">
        <v>88</v>
      </c>
    </row>
    <row r="23" spans="1:89" x14ac:dyDescent="0.2">
      <c r="A23" t="s">
        <v>113</v>
      </c>
      <c r="B23" t="s">
        <v>239</v>
      </c>
      <c r="C23" t="s">
        <v>222</v>
      </c>
      <c r="D23" t="s">
        <v>172</v>
      </c>
      <c r="E23" t="s">
        <v>240</v>
      </c>
      <c r="F23" t="s">
        <v>118</v>
      </c>
      <c r="G23" t="str">
        <f>HYPERLINK("https://vk.com/wall-27863223_292619?reply=292664")</f>
        <v>https://vk.com/wall-27863223_292619?reply=292664</v>
      </c>
      <c r="H23" t="s">
        <v>119</v>
      </c>
      <c r="I23" t="s">
        <v>241</v>
      </c>
      <c r="J23" t="str">
        <f>HYPERLINK("http://vk.com/id305429506")</f>
        <v>http://vk.com/id305429506</v>
      </c>
      <c r="K23">
        <v>211</v>
      </c>
      <c r="L23" t="s">
        <v>121</v>
      </c>
      <c r="N23" t="s">
        <v>122</v>
      </c>
      <c r="O23" t="s">
        <v>175</v>
      </c>
      <c r="P23" t="str">
        <f>HYPERLINK("http://vk.com/club27863223")</f>
        <v>http://vk.com/club27863223</v>
      </c>
      <c r="Q23">
        <v>134698</v>
      </c>
      <c r="R23" t="s">
        <v>124</v>
      </c>
      <c r="S23" t="s">
        <v>125</v>
      </c>
      <c r="T23" t="s">
        <v>212</v>
      </c>
      <c r="U23" t="s">
        <v>242</v>
      </c>
      <c r="W23">
        <v>0</v>
      </c>
      <c r="X23">
        <v>0</v>
      </c>
      <c r="AM23" t="s">
        <v>129</v>
      </c>
      <c r="AN23" t="s">
        <v>130</v>
      </c>
      <c r="AO23" t="s">
        <v>40</v>
      </c>
      <c r="AP23" t="s">
        <v>41</v>
      </c>
      <c r="AZ23" t="s">
        <v>51</v>
      </c>
      <c r="BA23" t="s">
        <v>52</v>
      </c>
    </row>
    <row r="24" spans="1:89" x14ac:dyDescent="0.2">
      <c r="A24" t="s">
        <v>113</v>
      </c>
      <c r="B24" t="s">
        <v>243</v>
      </c>
      <c r="C24" t="s">
        <v>244</v>
      </c>
      <c r="D24" t="s">
        <v>245</v>
      </c>
      <c r="E24" t="s">
        <v>246</v>
      </c>
      <c r="F24" t="s">
        <v>118</v>
      </c>
      <c r="G24" t="str">
        <f>HYPERLINK("https://www.youtube.com/watch?v=GChocdMDrDE&amp;lc=UgzVY1I6Fawr0tveY054AaABAg")</f>
        <v>https://www.youtube.com/watch?v=GChocdMDrDE&amp;lc=UgzVY1I6Fawr0tveY054AaABAg</v>
      </c>
      <c r="H24" t="s">
        <v>181</v>
      </c>
      <c r="I24" t="s">
        <v>247</v>
      </c>
      <c r="J24" t="str">
        <f>HYPERLINK("https://www.youtube.com/channel/UCH2Bh7Mfxs0Mtd6AAY8_1fQ")</f>
        <v>https://www.youtube.com/channel/UCH2Bh7Mfxs0Mtd6AAY8_1fQ</v>
      </c>
      <c r="K24">
        <v>0</v>
      </c>
      <c r="L24" t="s">
        <v>121</v>
      </c>
      <c r="N24" t="s">
        <v>248</v>
      </c>
      <c r="O24" t="s">
        <v>249</v>
      </c>
      <c r="P24" t="str">
        <f>HYPERLINK("https://www.youtube.com/channel/UCvBKZIc6yDzvydAXEebSDXA")</f>
        <v>https://www.youtube.com/channel/UCvBKZIc6yDzvydAXEebSDXA</v>
      </c>
      <c r="Q24">
        <v>3660</v>
      </c>
      <c r="R24" t="s">
        <v>124</v>
      </c>
      <c r="S24" t="s">
        <v>125</v>
      </c>
      <c r="W24">
        <v>1</v>
      </c>
      <c r="X24">
        <v>1</v>
      </c>
      <c r="AE24">
        <v>0</v>
      </c>
      <c r="AM24" t="s">
        <v>129</v>
      </c>
      <c r="AN24" t="s">
        <v>130</v>
      </c>
      <c r="AP24" t="s">
        <v>41</v>
      </c>
      <c r="AT24" t="s">
        <v>45</v>
      </c>
      <c r="AZ24" t="s">
        <v>51</v>
      </c>
      <c r="BA24" t="s">
        <v>52</v>
      </c>
    </row>
    <row r="25" spans="1:89" x14ac:dyDescent="0.2">
      <c r="A25" t="s">
        <v>113</v>
      </c>
      <c r="B25" t="s">
        <v>250</v>
      </c>
      <c r="C25" t="s">
        <v>251</v>
      </c>
      <c r="D25" t="s">
        <v>252</v>
      </c>
      <c r="E25" t="s">
        <v>253</v>
      </c>
      <c r="F25" t="s">
        <v>118</v>
      </c>
      <c r="G25" t="str">
        <f>HYPERLINK("https://vk.com/wall-199277766_798?reply=806")</f>
        <v>https://vk.com/wall-199277766_798?reply=806</v>
      </c>
      <c r="H25" t="s">
        <v>119</v>
      </c>
      <c r="I25" t="s">
        <v>254</v>
      </c>
      <c r="J25" t="str">
        <f>HYPERLINK("http://vk.com/id286061518")</f>
        <v>http://vk.com/id286061518</v>
      </c>
      <c r="K25">
        <v>5170</v>
      </c>
      <c r="L25" t="s">
        <v>121</v>
      </c>
      <c r="M25">
        <v>34</v>
      </c>
      <c r="N25" t="s">
        <v>122</v>
      </c>
      <c r="O25" t="s">
        <v>255</v>
      </c>
      <c r="P25" t="str">
        <f>HYPERLINK("http://vk.com/club199277766")</f>
        <v>http://vk.com/club199277766</v>
      </c>
      <c r="Q25">
        <v>53</v>
      </c>
      <c r="R25" t="s">
        <v>124</v>
      </c>
      <c r="S25" t="s">
        <v>125</v>
      </c>
      <c r="T25" t="s">
        <v>256</v>
      </c>
      <c r="U25" t="s">
        <v>257</v>
      </c>
      <c r="AM25" t="s">
        <v>129</v>
      </c>
      <c r="AN25" t="s">
        <v>130</v>
      </c>
      <c r="AP25" t="s">
        <v>41</v>
      </c>
      <c r="AU25" t="s">
        <v>46</v>
      </c>
      <c r="AZ25" t="s">
        <v>51</v>
      </c>
      <c r="BA25" t="s">
        <v>52</v>
      </c>
    </row>
    <row r="26" spans="1:89" x14ac:dyDescent="0.2">
      <c r="A26" t="s">
        <v>113</v>
      </c>
      <c r="B26" t="s">
        <v>258</v>
      </c>
      <c r="C26" t="s">
        <v>259</v>
      </c>
      <c r="D26" t="s">
        <v>260</v>
      </c>
      <c r="E26" t="s">
        <v>261</v>
      </c>
      <c r="F26" t="s">
        <v>118</v>
      </c>
      <c r="G26" t="str">
        <f>HYPERLINK("https://vk.com/wall-195177624_189946?reply=189981&amp;thread=189964")</f>
        <v>https://vk.com/wall-195177624_189946?reply=189981&amp;thread=189964</v>
      </c>
      <c r="H26" t="s">
        <v>119</v>
      </c>
      <c r="I26" t="s">
        <v>262</v>
      </c>
      <c r="J26" t="str">
        <f>HYPERLINK("http://vk.com/id447160944")</f>
        <v>http://vk.com/id447160944</v>
      </c>
      <c r="K26">
        <v>124</v>
      </c>
      <c r="L26" t="s">
        <v>121</v>
      </c>
      <c r="M26">
        <v>20</v>
      </c>
      <c r="N26" t="s">
        <v>122</v>
      </c>
      <c r="O26" t="s">
        <v>263</v>
      </c>
      <c r="P26" t="str">
        <f>HYPERLINK("http://vk.com/club195177624")</f>
        <v>http://vk.com/club195177624</v>
      </c>
      <c r="Q26">
        <v>141561</v>
      </c>
      <c r="R26" t="s">
        <v>124</v>
      </c>
      <c r="S26" t="s">
        <v>125</v>
      </c>
      <c r="T26" t="s">
        <v>264</v>
      </c>
      <c r="U26" t="s">
        <v>265</v>
      </c>
      <c r="AM26" t="s">
        <v>129</v>
      </c>
      <c r="AN26" t="s">
        <v>130</v>
      </c>
      <c r="AP26" t="s">
        <v>41</v>
      </c>
      <c r="AU26" t="s">
        <v>46</v>
      </c>
      <c r="AZ26" t="s">
        <v>51</v>
      </c>
      <c r="BA26" t="s">
        <v>52</v>
      </c>
      <c r="BL26" t="s">
        <v>63</v>
      </c>
    </row>
    <row r="27" spans="1:89" x14ac:dyDescent="0.2">
      <c r="A27" t="s">
        <v>113</v>
      </c>
      <c r="B27" t="s">
        <v>266</v>
      </c>
      <c r="C27" t="s">
        <v>267</v>
      </c>
      <c r="D27" t="s">
        <v>172</v>
      </c>
      <c r="E27" t="s">
        <v>268</v>
      </c>
      <c r="F27" t="s">
        <v>118</v>
      </c>
      <c r="G27" t="str">
        <f>HYPERLINK("https://vk.com/wall-27863223_292619?reply=292663")</f>
        <v>https://vk.com/wall-27863223_292619?reply=292663</v>
      </c>
      <c r="H27" t="s">
        <v>119</v>
      </c>
      <c r="I27" t="s">
        <v>269</v>
      </c>
      <c r="J27" t="str">
        <f>HYPERLINK("http://vk.com/id144566191")</f>
        <v>http://vk.com/id144566191</v>
      </c>
      <c r="K27">
        <v>378</v>
      </c>
      <c r="L27" t="s">
        <v>121</v>
      </c>
      <c r="N27" t="s">
        <v>122</v>
      </c>
      <c r="O27" t="s">
        <v>175</v>
      </c>
      <c r="P27" t="str">
        <f>HYPERLINK("http://vk.com/club27863223")</f>
        <v>http://vk.com/club27863223</v>
      </c>
      <c r="Q27">
        <v>134698</v>
      </c>
      <c r="R27" t="s">
        <v>124</v>
      </c>
      <c r="S27" t="s">
        <v>125</v>
      </c>
      <c r="W27">
        <v>0</v>
      </c>
      <c r="X27">
        <v>0</v>
      </c>
      <c r="AM27" t="s">
        <v>129</v>
      </c>
      <c r="AN27" t="s">
        <v>130</v>
      </c>
      <c r="AO27" t="s">
        <v>40</v>
      </c>
      <c r="AP27" t="s">
        <v>41</v>
      </c>
      <c r="AZ27" t="s">
        <v>51</v>
      </c>
      <c r="BA27" t="s">
        <v>52</v>
      </c>
    </row>
    <row r="28" spans="1:89" x14ac:dyDescent="0.2">
      <c r="A28" t="s">
        <v>113</v>
      </c>
      <c r="B28" t="s">
        <v>270</v>
      </c>
      <c r="C28" t="s">
        <v>267</v>
      </c>
      <c r="D28" t="s">
        <v>172</v>
      </c>
      <c r="E28" t="s">
        <v>271</v>
      </c>
      <c r="F28" t="s">
        <v>118</v>
      </c>
      <c r="G28" t="str">
        <f>HYPERLINK("https://vk.com/wall-27863223_292619?reply=292662")</f>
        <v>https://vk.com/wall-27863223_292619?reply=292662</v>
      </c>
      <c r="H28" t="s">
        <v>119</v>
      </c>
      <c r="I28" t="s">
        <v>272</v>
      </c>
      <c r="J28" t="str">
        <f>HYPERLINK("http://vk.com/id121820961")</f>
        <v>http://vk.com/id121820961</v>
      </c>
      <c r="K28">
        <v>78</v>
      </c>
      <c r="L28" t="s">
        <v>121</v>
      </c>
      <c r="M28">
        <v>30</v>
      </c>
      <c r="N28" t="s">
        <v>122</v>
      </c>
      <c r="O28" t="s">
        <v>175</v>
      </c>
      <c r="P28" t="str">
        <f>HYPERLINK("http://vk.com/club27863223")</f>
        <v>http://vk.com/club27863223</v>
      </c>
      <c r="Q28">
        <v>134698</v>
      </c>
      <c r="R28" t="s">
        <v>124</v>
      </c>
      <c r="S28" t="s">
        <v>125</v>
      </c>
      <c r="T28" t="s">
        <v>273</v>
      </c>
      <c r="U28" t="s">
        <v>274</v>
      </c>
      <c r="W28">
        <v>0</v>
      </c>
      <c r="X28">
        <v>0</v>
      </c>
      <c r="AM28" t="s">
        <v>129</v>
      </c>
      <c r="AN28" t="s">
        <v>130</v>
      </c>
      <c r="AO28" t="s">
        <v>40</v>
      </c>
      <c r="AP28" t="s">
        <v>41</v>
      </c>
      <c r="AZ28" t="s">
        <v>51</v>
      </c>
      <c r="BA28" t="s">
        <v>52</v>
      </c>
    </row>
    <row r="29" spans="1:89" x14ac:dyDescent="0.2">
      <c r="A29" t="s">
        <v>113</v>
      </c>
      <c r="B29" t="s">
        <v>275</v>
      </c>
      <c r="C29" t="s">
        <v>276</v>
      </c>
      <c r="D29" t="s">
        <v>277</v>
      </c>
      <c r="E29" t="s">
        <v>278</v>
      </c>
      <c r="F29" t="s">
        <v>118</v>
      </c>
      <c r="G29" t="str">
        <f>HYPERLINK("https://vk.com/wall-29484355_385227?reply=385538&amp;thread=385242")</f>
        <v>https://vk.com/wall-29484355_385227?reply=385538&amp;thread=385242</v>
      </c>
      <c r="H29" t="s">
        <v>119</v>
      </c>
      <c r="I29" t="s">
        <v>279</v>
      </c>
      <c r="J29" t="str">
        <f>HYPERLINK("http://vk.com/id227792185")</f>
        <v>http://vk.com/id227792185</v>
      </c>
      <c r="K29">
        <v>83</v>
      </c>
      <c r="L29" t="s">
        <v>121</v>
      </c>
      <c r="M29">
        <v>37</v>
      </c>
      <c r="N29" t="s">
        <v>122</v>
      </c>
      <c r="O29" t="s">
        <v>280</v>
      </c>
      <c r="P29" t="str">
        <f>HYPERLINK("http://vk.com/club29484355")</f>
        <v>http://vk.com/club29484355</v>
      </c>
      <c r="Q29">
        <v>105684</v>
      </c>
      <c r="R29" t="s">
        <v>124</v>
      </c>
      <c r="S29" t="s">
        <v>125</v>
      </c>
      <c r="T29" t="s">
        <v>189</v>
      </c>
      <c r="U29" t="s">
        <v>190</v>
      </c>
      <c r="AM29" t="s">
        <v>129</v>
      </c>
      <c r="AN29" t="s">
        <v>130</v>
      </c>
      <c r="AP29" t="s">
        <v>41</v>
      </c>
      <c r="AU29" t="s">
        <v>46</v>
      </c>
      <c r="AZ29" t="s">
        <v>51</v>
      </c>
      <c r="BA29" t="s">
        <v>52</v>
      </c>
    </row>
    <row r="30" spans="1:89" x14ac:dyDescent="0.2">
      <c r="A30" t="s">
        <v>113</v>
      </c>
      <c r="B30" t="s">
        <v>281</v>
      </c>
      <c r="C30" t="s">
        <v>282</v>
      </c>
      <c r="D30" t="s">
        <v>172</v>
      </c>
      <c r="E30" t="s">
        <v>283</v>
      </c>
      <c r="F30" t="s">
        <v>118</v>
      </c>
      <c r="G30" t="str">
        <f>HYPERLINK("https://vk.com/wall-27863223_292619?reply=292661")</f>
        <v>https://vk.com/wall-27863223_292619?reply=292661</v>
      </c>
      <c r="H30" t="s">
        <v>119</v>
      </c>
      <c r="I30" t="s">
        <v>284</v>
      </c>
      <c r="J30" t="str">
        <f>HYPERLINK("http://vk.com/id11221120")</f>
        <v>http://vk.com/id11221120</v>
      </c>
      <c r="K30">
        <v>511</v>
      </c>
      <c r="L30" t="s">
        <v>151</v>
      </c>
      <c r="N30" t="s">
        <v>122</v>
      </c>
      <c r="O30" t="s">
        <v>175</v>
      </c>
      <c r="P30" t="str">
        <f>HYPERLINK("http://vk.com/club27863223")</f>
        <v>http://vk.com/club27863223</v>
      </c>
      <c r="Q30">
        <v>134698</v>
      </c>
      <c r="R30" t="s">
        <v>124</v>
      </c>
      <c r="S30" t="s">
        <v>125</v>
      </c>
      <c r="T30" t="s">
        <v>137</v>
      </c>
      <c r="U30" t="s">
        <v>137</v>
      </c>
      <c r="W30">
        <v>0</v>
      </c>
      <c r="X30">
        <v>0</v>
      </c>
      <c r="AM30" t="s">
        <v>129</v>
      </c>
      <c r="AN30" t="s">
        <v>130</v>
      </c>
      <c r="AP30" t="s">
        <v>41</v>
      </c>
      <c r="AZ30" t="s">
        <v>51</v>
      </c>
      <c r="BA30" t="s">
        <v>52</v>
      </c>
    </row>
    <row r="31" spans="1:89" x14ac:dyDescent="0.2">
      <c r="A31" t="s">
        <v>113</v>
      </c>
      <c r="B31" t="s">
        <v>285</v>
      </c>
      <c r="C31" t="s">
        <v>282</v>
      </c>
      <c r="D31" t="s">
        <v>172</v>
      </c>
      <c r="E31" t="s">
        <v>286</v>
      </c>
      <c r="F31" t="s">
        <v>118</v>
      </c>
      <c r="G31" t="str">
        <f>HYPERLINK("https://vk.com/wall-27863223_292619?reply=292660")</f>
        <v>https://vk.com/wall-27863223_292619?reply=292660</v>
      </c>
      <c r="H31" t="s">
        <v>119</v>
      </c>
      <c r="I31" t="s">
        <v>287</v>
      </c>
      <c r="J31" t="str">
        <f>HYPERLINK("http://vk.com/id24375353")</f>
        <v>http://vk.com/id24375353</v>
      </c>
      <c r="K31">
        <v>980</v>
      </c>
      <c r="L31" t="s">
        <v>151</v>
      </c>
      <c r="N31" t="s">
        <v>122</v>
      </c>
      <c r="O31" t="s">
        <v>175</v>
      </c>
      <c r="P31" t="str">
        <f>HYPERLINK("http://vk.com/club27863223")</f>
        <v>http://vk.com/club27863223</v>
      </c>
      <c r="Q31">
        <v>134698</v>
      </c>
      <c r="R31" t="s">
        <v>124</v>
      </c>
      <c r="S31" t="s">
        <v>125</v>
      </c>
      <c r="T31" t="s">
        <v>212</v>
      </c>
      <c r="U31" t="s">
        <v>242</v>
      </c>
      <c r="W31">
        <v>0</v>
      </c>
      <c r="X31">
        <v>0</v>
      </c>
      <c r="AM31" t="s">
        <v>129</v>
      </c>
      <c r="AN31" t="s">
        <v>130</v>
      </c>
      <c r="AO31" t="s">
        <v>40</v>
      </c>
      <c r="AP31" t="s">
        <v>41</v>
      </c>
      <c r="AZ31" t="s">
        <v>51</v>
      </c>
      <c r="BA31" t="s">
        <v>52</v>
      </c>
    </row>
    <row r="32" spans="1:89" x14ac:dyDescent="0.2">
      <c r="A32" t="s">
        <v>113</v>
      </c>
      <c r="B32" t="s">
        <v>288</v>
      </c>
      <c r="C32" t="s">
        <v>289</v>
      </c>
      <c r="D32" t="s">
        <v>290</v>
      </c>
      <c r="E32" t="s">
        <v>291</v>
      </c>
      <c r="F32" t="s">
        <v>180</v>
      </c>
      <c r="G32" t="str">
        <f>HYPERLINK("https://4pda.to/forum/index.php?showtopic=689378&amp;st=73840#entry108341811")</f>
        <v>https://4pda.to/forum/index.php?showtopic=689378&amp;st=73840#entry108341811</v>
      </c>
      <c r="H32" t="s">
        <v>119</v>
      </c>
      <c r="I32" t="s">
        <v>292</v>
      </c>
      <c r="J32" t="str">
        <f>HYPERLINK("https://4pda.to/forum/index.php?showuser=5836092")</f>
        <v>https://4pda.to/forum/index.php?showuser=5836092</v>
      </c>
      <c r="N32" t="s">
        <v>293</v>
      </c>
      <c r="O32" t="s">
        <v>294</v>
      </c>
      <c r="P32" t="str">
        <f>HYPERLINK("https://4pda.to/forum/index.php?showforum=1140")</f>
        <v>https://4pda.to/forum/index.php?showforum=1140</v>
      </c>
      <c r="R32" t="s">
        <v>295</v>
      </c>
      <c r="S32" t="s">
        <v>125</v>
      </c>
      <c r="AM32" t="s">
        <v>129</v>
      </c>
      <c r="AN32" t="s">
        <v>130</v>
      </c>
      <c r="AP32" t="s">
        <v>41</v>
      </c>
      <c r="AT32" t="s">
        <v>45</v>
      </c>
      <c r="AY32" t="s">
        <v>50</v>
      </c>
      <c r="AZ32" t="s">
        <v>51</v>
      </c>
      <c r="BB32" t="s">
        <v>53</v>
      </c>
    </row>
    <row r="33" spans="1:77" x14ac:dyDescent="0.2">
      <c r="A33" t="s">
        <v>113</v>
      </c>
      <c r="B33" t="s">
        <v>296</v>
      </c>
      <c r="C33" t="s">
        <v>297</v>
      </c>
      <c r="D33" t="s">
        <v>172</v>
      </c>
      <c r="E33" t="s">
        <v>298</v>
      </c>
      <c r="F33" t="s">
        <v>118</v>
      </c>
      <c r="G33" t="str">
        <f>HYPERLINK("https://vk.com/wall-27863223_292619?reply=292659")</f>
        <v>https://vk.com/wall-27863223_292619?reply=292659</v>
      </c>
      <c r="H33" t="s">
        <v>119</v>
      </c>
      <c r="I33" t="s">
        <v>299</v>
      </c>
      <c r="J33" t="str">
        <f>HYPERLINK("http://vk.com/id262357214")</f>
        <v>http://vk.com/id262357214</v>
      </c>
      <c r="K33">
        <v>228</v>
      </c>
      <c r="L33" t="s">
        <v>151</v>
      </c>
      <c r="N33" t="s">
        <v>122</v>
      </c>
      <c r="O33" t="s">
        <v>175</v>
      </c>
      <c r="P33" t="str">
        <f>HYPERLINK("http://vk.com/club27863223")</f>
        <v>http://vk.com/club27863223</v>
      </c>
      <c r="Q33">
        <v>134698</v>
      </c>
      <c r="R33" t="s">
        <v>124</v>
      </c>
      <c r="W33">
        <v>0</v>
      </c>
      <c r="X33">
        <v>0</v>
      </c>
      <c r="AM33" t="s">
        <v>129</v>
      </c>
      <c r="AN33" t="s">
        <v>130</v>
      </c>
      <c r="AO33" t="s">
        <v>40</v>
      </c>
      <c r="AP33" t="s">
        <v>41</v>
      </c>
      <c r="AZ33" t="s">
        <v>51</v>
      </c>
      <c r="BA33" t="s">
        <v>52</v>
      </c>
    </row>
    <row r="34" spans="1:77" x14ac:dyDescent="0.2">
      <c r="A34" t="s">
        <v>113</v>
      </c>
      <c r="B34" t="s">
        <v>300</v>
      </c>
      <c r="C34" t="s">
        <v>301</v>
      </c>
      <c r="D34" t="s">
        <v>302</v>
      </c>
      <c r="E34" t="s">
        <v>303</v>
      </c>
      <c r="F34" t="s">
        <v>118</v>
      </c>
      <c r="G34" t="str">
        <f>HYPERLINK("https://www.facebook.com/story.php?story_fbid=1456124844767823&amp;id=100011109633393&amp;comment_id=1456307144749593")</f>
        <v>https://www.facebook.com/story.php?story_fbid=1456124844767823&amp;id=100011109633393&amp;comment_id=1456307144749593</v>
      </c>
      <c r="H34" t="s">
        <v>119</v>
      </c>
      <c r="I34" t="s">
        <v>304</v>
      </c>
      <c r="J34" t="str">
        <f>HYPERLINK("https://www.facebook.com/100011109633393")</f>
        <v>https://www.facebook.com/100011109633393</v>
      </c>
      <c r="K34">
        <v>130</v>
      </c>
      <c r="L34" t="s">
        <v>151</v>
      </c>
      <c r="N34" t="s">
        <v>305</v>
      </c>
      <c r="O34" t="s">
        <v>304</v>
      </c>
      <c r="P34" t="str">
        <f>HYPERLINK("https://www.facebook.com/100011109633393")</f>
        <v>https://www.facebook.com/100011109633393</v>
      </c>
      <c r="Q34">
        <v>130</v>
      </c>
      <c r="R34" t="s">
        <v>124</v>
      </c>
      <c r="S34" t="s">
        <v>125</v>
      </c>
      <c r="T34" t="s">
        <v>169</v>
      </c>
      <c r="U34" t="s">
        <v>169</v>
      </c>
      <c r="W34">
        <v>0</v>
      </c>
      <c r="X34">
        <v>0</v>
      </c>
      <c r="AE34">
        <v>0</v>
      </c>
      <c r="AJ34" t="s">
        <v>306</v>
      </c>
      <c r="AK34" t="s">
        <v>129</v>
      </c>
      <c r="AL34" t="s">
        <v>307</v>
      </c>
      <c r="AM34" t="s">
        <v>129</v>
      </c>
      <c r="AN34" t="s">
        <v>130</v>
      </c>
      <c r="AP34" t="s">
        <v>41</v>
      </c>
      <c r="AZ34" t="s">
        <v>51</v>
      </c>
      <c r="BA34" t="s">
        <v>52</v>
      </c>
      <c r="BY34" t="s">
        <v>76</v>
      </c>
    </row>
    <row r="35" spans="1:77" x14ac:dyDescent="0.2">
      <c r="A35" t="s">
        <v>113</v>
      </c>
      <c r="B35" t="s">
        <v>308</v>
      </c>
      <c r="C35" t="s">
        <v>309</v>
      </c>
      <c r="D35" t="s">
        <v>310</v>
      </c>
      <c r="E35" t="s">
        <v>311</v>
      </c>
      <c r="F35" t="s">
        <v>118</v>
      </c>
      <c r="G35" t="str">
        <f>HYPERLINK("https://vk.com/wall-1287934_295219?reply=295422")</f>
        <v>https://vk.com/wall-1287934_295219?reply=295422</v>
      </c>
      <c r="H35" t="s">
        <v>119</v>
      </c>
      <c r="I35" t="s">
        <v>312</v>
      </c>
      <c r="J35" t="str">
        <f>HYPERLINK("http://vk.com/id665569763")</f>
        <v>http://vk.com/id665569763</v>
      </c>
      <c r="K35">
        <v>1</v>
      </c>
      <c r="L35" t="s">
        <v>121</v>
      </c>
      <c r="M35">
        <v>18</v>
      </c>
      <c r="N35" t="s">
        <v>122</v>
      </c>
      <c r="O35" t="s">
        <v>313</v>
      </c>
      <c r="P35" t="str">
        <f>HYPERLINK("http://vk.com/club1287934")</f>
        <v>http://vk.com/club1287934</v>
      </c>
      <c r="Q35">
        <v>21658</v>
      </c>
      <c r="R35" t="s">
        <v>124</v>
      </c>
      <c r="S35" t="s">
        <v>125</v>
      </c>
      <c r="T35" t="s">
        <v>314</v>
      </c>
      <c r="U35" t="s">
        <v>315</v>
      </c>
      <c r="AM35" t="s">
        <v>129</v>
      </c>
      <c r="AN35" t="s">
        <v>130</v>
      </c>
      <c r="AP35" t="s">
        <v>41</v>
      </c>
      <c r="AT35" t="s">
        <v>45</v>
      </c>
      <c r="AU35" t="s">
        <v>46</v>
      </c>
      <c r="AZ35" t="s">
        <v>51</v>
      </c>
      <c r="BA35" t="s">
        <v>52</v>
      </c>
    </row>
    <row r="36" spans="1:77" x14ac:dyDescent="0.2">
      <c r="A36" t="s">
        <v>113</v>
      </c>
      <c r="B36" t="s">
        <v>316</v>
      </c>
      <c r="C36" t="s">
        <v>317</v>
      </c>
      <c r="D36" t="s">
        <v>318</v>
      </c>
      <c r="E36" t="s">
        <v>319</v>
      </c>
      <c r="F36" t="s">
        <v>118</v>
      </c>
      <c r="G36" t="str">
        <f>HYPERLINK("https://vk.com/wall-50623582_372247?reply=372263")</f>
        <v>https://vk.com/wall-50623582_372247?reply=372263</v>
      </c>
      <c r="H36" t="s">
        <v>119</v>
      </c>
      <c r="I36" t="s">
        <v>320</v>
      </c>
      <c r="J36" t="str">
        <f>HYPERLINK("http://vk.com/id327803339")</f>
        <v>http://vk.com/id327803339</v>
      </c>
      <c r="K36">
        <v>63</v>
      </c>
      <c r="L36" t="s">
        <v>121</v>
      </c>
      <c r="N36" t="s">
        <v>122</v>
      </c>
      <c r="O36" t="s">
        <v>321</v>
      </c>
      <c r="P36" t="str">
        <f>HYPERLINK("http://vk.com/club50623582")</f>
        <v>http://vk.com/club50623582</v>
      </c>
      <c r="Q36">
        <v>27848</v>
      </c>
      <c r="R36" t="s">
        <v>124</v>
      </c>
      <c r="S36" t="s">
        <v>125</v>
      </c>
      <c r="AM36" t="s">
        <v>129</v>
      </c>
      <c r="AN36" t="s">
        <v>130</v>
      </c>
      <c r="AP36" t="s">
        <v>41</v>
      </c>
      <c r="AT36" t="s">
        <v>45</v>
      </c>
      <c r="AZ36" t="s">
        <v>51</v>
      </c>
      <c r="BA36" t="s">
        <v>52</v>
      </c>
      <c r="BL36" t="s">
        <v>63</v>
      </c>
    </row>
    <row r="37" spans="1:77" x14ac:dyDescent="0.2">
      <c r="A37" t="s">
        <v>113</v>
      </c>
      <c r="B37" t="s">
        <v>322</v>
      </c>
      <c r="C37" t="s">
        <v>323</v>
      </c>
      <c r="D37" t="s">
        <v>172</v>
      </c>
      <c r="E37" t="s">
        <v>187</v>
      </c>
      <c r="F37" t="s">
        <v>118</v>
      </c>
      <c r="G37" t="str">
        <f>HYPERLINK("https://vk.com/wall-27863223_292619?reply=292658")</f>
        <v>https://vk.com/wall-27863223_292619?reply=292658</v>
      </c>
      <c r="H37" t="s">
        <v>119</v>
      </c>
      <c r="I37" t="s">
        <v>324</v>
      </c>
      <c r="J37" t="str">
        <f>HYPERLINK("http://vk.com/id23957717")</f>
        <v>http://vk.com/id23957717</v>
      </c>
      <c r="K37">
        <v>296</v>
      </c>
      <c r="L37" t="s">
        <v>121</v>
      </c>
      <c r="M37">
        <v>43</v>
      </c>
      <c r="N37" t="s">
        <v>122</v>
      </c>
      <c r="O37" t="s">
        <v>175</v>
      </c>
      <c r="P37" t="str">
        <f>HYPERLINK("http://vk.com/club27863223")</f>
        <v>http://vk.com/club27863223</v>
      </c>
      <c r="Q37">
        <v>134698</v>
      </c>
      <c r="R37" t="s">
        <v>124</v>
      </c>
      <c r="S37" t="s">
        <v>125</v>
      </c>
      <c r="T37" t="s">
        <v>325</v>
      </c>
      <c r="U37" t="s">
        <v>326</v>
      </c>
      <c r="W37">
        <v>0</v>
      </c>
      <c r="X37">
        <v>0</v>
      </c>
      <c r="AM37" t="s">
        <v>129</v>
      </c>
      <c r="AN37" t="s">
        <v>130</v>
      </c>
      <c r="AO37" t="s">
        <v>40</v>
      </c>
      <c r="AP37" t="s">
        <v>41</v>
      </c>
      <c r="AZ37" t="s">
        <v>51</v>
      </c>
      <c r="BA37" t="s">
        <v>52</v>
      </c>
    </row>
    <row r="38" spans="1:77" x14ac:dyDescent="0.2">
      <c r="A38" t="s">
        <v>113</v>
      </c>
      <c r="B38" t="s">
        <v>322</v>
      </c>
      <c r="C38" t="s">
        <v>327</v>
      </c>
      <c r="D38" t="s">
        <v>204</v>
      </c>
      <c r="E38" t="s">
        <v>328</v>
      </c>
      <c r="F38" t="s">
        <v>180</v>
      </c>
      <c r="G38" t="str">
        <f>HYPERLINK("https://play.google.com/store/apps/details?id=ru.iflex.android.a3colortv&amp;reviewId=gp:AOqpTOFY2m0MHRtA1TPReQQIi6jssqm8OqORf_sqFtTFqvz6HRO2fIpLQSSKM6zrCFTUseKBPH-Oeb34CL7upA")</f>
        <v>https://play.google.com/store/apps/details?id=ru.iflex.android.a3colortv&amp;reviewId=gp:AOqpTOFY2m0MHRtA1TPReQQIi6jssqm8OqORf_sqFtTFqvz6HRO2fIpLQSSKM6zrCFTUseKBPH-Oeb34CL7upA</v>
      </c>
      <c r="H38" t="s">
        <v>181</v>
      </c>
      <c r="I38" t="s">
        <v>329</v>
      </c>
      <c r="J38" t="str">
        <f>HYPERLINK("https://plus.google.com/117450532723869263429")</f>
        <v>https://plus.google.com/117450532723869263429</v>
      </c>
      <c r="N38" t="s">
        <v>207</v>
      </c>
      <c r="O38" t="s">
        <v>204</v>
      </c>
      <c r="P38" t="str">
        <f>HYPERLINK("https://play.google.com/store/apps/details?id=ru.iflex.android.a3colortv&amp;hl=ru")</f>
        <v>https://play.google.com/store/apps/details?id=ru.iflex.android.a3colortv&amp;hl=ru</v>
      </c>
      <c r="R38" t="s">
        <v>184</v>
      </c>
      <c r="S38" t="s">
        <v>125</v>
      </c>
      <c r="W38">
        <v>0</v>
      </c>
      <c r="X38">
        <v>0</v>
      </c>
      <c r="AH38">
        <v>5</v>
      </c>
      <c r="AM38" t="s">
        <v>129</v>
      </c>
      <c r="AN38" t="s">
        <v>130</v>
      </c>
      <c r="AP38" t="s">
        <v>41</v>
      </c>
      <c r="AZ38" t="s">
        <v>51</v>
      </c>
      <c r="BA38" t="s">
        <v>52</v>
      </c>
      <c r="BP38" t="s">
        <v>67</v>
      </c>
      <c r="BQ38" t="s">
        <v>68</v>
      </c>
    </row>
    <row r="39" spans="1:77" x14ac:dyDescent="0.2">
      <c r="A39" t="s">
        <v>113</v>
      </c>
      <c r="B39" t="s">
        <v>330</v>
      </c>
      <c r="C39" t="s">
        <v>331</v>
      </c>
      <c r="D39" t="s">
        <v>332</v>
      </c>
      <c r="E39" t="s">
        <v>333</v>
      </c>
      <c r="F39" t="s">
        <v>180</v>
      </c>
      <c r="G39" t="str">
        <f>HYPERLINK("https://telesputnik.ru/forum/viewtopic.php?f=36&amp;t=42382&amp;start=37840#p2483277")</f>
        <v>https://telesputnik.ru/forum/viewtopic.php?f=36&amp;t=42382&amp;start=37840#p2483277</v>
      </c>
      <c r="H39" t="s">
        <v>119</v>
      </c>
      <c r="I39" t="s">
        <v>334</v>
      </c>
      <c r="J39" t="str">
        <f>HYPERLINK("https://telesputnik.ru/forum/memberlist.php?mode=viewprofile&amp;u=330723")</f>
        <v>https://telesputnik.ru/forum/memberlist.php?mode=viewprofile&amp;u=330723</v>
      </c>
      <c r="N39" t="s">
        <v>335</v>
      </c>
      <c r="O39" t="s">
        <v>336</v>
      </c>
      <c r="P39" t="str">
        <f>HYPERLINK("https://telesputnik.ru/forum/viewforum.php?f=11")</f>
        <v>https://telesputnik.ru/forum/viewforum.php?f=11</v>
      </c>
      <c r="R39" t="s">
        <v>295</v>
      </c>
      <c r="S39" t="s">
        <v>125</v>
      </c>
      <c r="AM39" t="s">
        <v>129</v>
      </c>
      <c r="AN39" t="s">
        <v>130</v>
      </c>
      <c r="AP39" t="s">
        <v>41</v>
      </c>
      <c r="AU39" t="s">
        <v>46</v>
      </c>
      <c r="AY39" t="s">
        <v>50</v>
      </c>
      <c r="AZ39" t="s">
        <v>51</v>
      </c>
      <c r="BA39" t="s">
        <v>52</v>
      </c>
    </row>
    <row r="40" spans="1:77" x14ac:dyDescent="0.2">
      <c r="A40" t="s">
        <v>113</v>
      </c>
      <c r="B40" t="s">
        <v>337</v>
      </c>
      <c r="C40" t="s">
        <v>338</v>
      </c>
      <c r="D40" t="s">
        <v>129</v>
      </c>
      <c r="E40" t="s">
        <v>339</v>
      </c>
      <c r="F40" t="s">
        <v>180</v>
      </c>
      <c r="G40" t="str">
        <f>HYPERLINK("https://www.facebook.com/tricolortv/posts/4131090756945163")</f>
        <v>https://www.facebook.com/tricolortv/posts/4131090756945163</v>
      </c>
      <c r="H40" t="s">
        <v>119</v>
      </c>
      <c r="I40" t="s">
        <v>175</v>
      </c>
      <c r="J40" t="str">
        <f>HYPERLINK("https://www.facebook.com/206198386101106")</f>
        <v>https://www.facebook.com/206198386101106</v>
      </c>
      <c r="K40">
        <v>16432</v>
      </c>
      <c r="L40" t="s">
        <v>340</v>
      </c>
      <c r="N40" t="s">
        <v>305</v>
      </c>
      <c r="O40" t="s">
        <v>175</v>
      </c>
      <c r="P40" t="str">
        <f>HYPERLINK("https://www.facebook.com/206198386101106")</f>
        <v>https://www.facebook.com/206198386101106</v>
      </c>
      <c r="Q40">
        <v>16432</v>
      </c>
      <c r="R40" t="s">
        <v>124</v>
      </c>
      <c r="W40">
        <v>0</v>
      </c>
      <c r="X40">
        <v>0</v>
      </c>
      <c r="Y40">
        <v>0</v>
      </c>
      <c r="Z40">
        <v>0</v>
      </c>
      <c r="AA40">
        <v>0</v>
      </c>
      <c r="AB40">
        <v>0</v>
      </c>
      <c r="AC40">
        <v>0</v>
      </c>
      <c r="AE40">
        <v>0</v>
      </c>
      <c r="AF40">
        <v>0</v>
      </c>
      <c r="AJ40" t="s">
        <v>341</v>
      </c>
      <c r="AK40" t="s">
        <v>342</v>
      </c>
      <c r="AL40" t="s">
        <v>343</v>
      </c>
      <c r="AM40" t="s">
        <v>129</v>
      </c>
      <c r="AN40" t="s">
        <v>130</v>
      </c>
      <c r="BI40" t="s">
        <v>60</v>
      </c>
    </row>
    <row r="41" spans="1:77" x14ac:dyDescent="0.2">
      <c r="A41" t="s">
        <v>113</v>
      </c>
      <c r="B41" t="s">
        <v>337</v>
      </c>
      <c r="C41" t="s">
        <v>344</v>
      </c>
      <c r="D41" t="s">
        <v>345</v>
      </c>
      <c r="E41" t="s">
        <v>346</v>
      </c>
      <c r="F41" t="s">
        <v>180</v>
      </c>
      <c r="G41" t="str">
        <f>HYPERLINK("https://ok.ru/group/51085510115462/topic/153508796671366")</f>
        <v>https://ok.ru/group/51085510115462/topic/153508796671366</v>
      </c>
      <c r="H41" t="s">
        <v>119</v>
      </c>
      <c r="I41" t="s">
        <v>175</v>
      </c>
      <c r="J41" t="str">
        <f>HYPERLINK("https://ok.ru/group/51085510115462")</f>
        <v>https://ok.ru/group/51085510115462</v>
      </c>
      <c r="K41">
        <v>94768</v>
      </c>
      <c r="L41" t="s">
        <v>340</v>
      </c>
      <c r="N41" t="s">
        <v>347</v>
      </c>
      <c r="O41" t="s">
        <v>175</v>
      </c>
      <c r="P41" t="str">
        <f>HYPERLINK("https://ok.ru/group/51085510115462")</f>
        <v>https://ok.ru/group/51085510115462</v>
      </c>
      <c r="Q41">
        <v>94768</v>
      </c>
      <c r="R41" t="s">
        <v>124</v>
      </c>
      <c r="W41">
        <v>8</v>
      </c>
      <c r="X41">
        <v>8</v>
      </c>
      <c r="Y41">
        <v>0</v>
      </c>
      <c r="Z41">
        <v>0</v>
      </c>
      <c r="AA41">
        <v>0</v>
      </c>
      <c r="AB41">
        <v>0</v>
      </c>
      <c r="AE41">
        <v>18</v>
      </c>
      <c r="AF41">
        <v>0</v>
      </c>
      <c r="AJ41" t="s">
        <v>341</v>
      </c>
      <c r="AK41" t="s">
        <v>342</v>
      </c>
      <c r="AL41" t="str">
        <f>HYPERLINK("https://i.mycdn.me/image?id=919158472326&amp;t=20&amp;plc=API&amp;aid=1131601408&amp;tkn=*Fw9I9BheMs6YvOAtoRdYuvbr674")</f>
        <v>https://i.mycdn.me/image?id=919158472326&amp;t=20&amp;plc=API&amp;aid=1131601408&amp;tkn=*Fw9I9BheMs6YvOAtoRdYuvbr674</v>
      </c>
      <c r="AM41" t="s">
        <v>129</v>
      </c>
      <c r="AN41" t="s">
        <v>130</v>
      </c>
      <c r="BI41" t="s">
        <v>60</v>
      </c>
    </row>
    <row r="42" spans="1:77" x14ac:dyDescent="0.2">
      <c r="A42" t="s">
        <v>113</v>
      </c>
      <c r="B42" t="s">
        <v>337</v>
      </c>
      <c r="C42" t="s">
        <v>348</v>
      </c>
      <c r="D42" t="s">
        <v>129</v>
      </c>
      <c r="E42" t="s">
        <v>349</v>
      </c>
      <c r="F42" t="s">
        <v>180</v>
      </c>
      <c r="G42" t="str">
        <f>HYPERLINK("https://twitter.com/360582757/status/1421485815004221446")</f>
        <v>https://twitter.com/360582757/status/1421485815004221446</v>
      </c>
      <c r="H42" t="s">
        <v>119</v>
      </c>
      <c r="I42" t="s">
        <v>175</v>
      </c>
      <c r="J42" t="str">
        <f>HYPERLINK("http://twitter.com/tricolortv")</f>
        <v>http://twitter.com/tricolortv</v>
      </c>
      <c r="K42">
        <v>5663</v>
      </c>
      <c r="N42" t="s">
        <v>350</v>
      </c>
      <c r="R42" t="s">
        <v>124</v>
      </c>
      <c r="S42" t="s">
        <v>125</v>
      </c>
      <c r="T42" t="s">
        <v>137</v>
      </c>
      <c r="U42" t="s">
        <v>137</v>
      </c>
      <c r="W42">
        <v>0</v>
      </c>
      <c r="X42">
        <v>0</v>
      </c>
      <c r="AE42">
        <v>0</v>
      </c>
      <c r="AF42">
        <v>0</v>
      </c>
      <c r="AJ42" t="s">
        <v>341</v>
      </c>
      <c r="AK42" t="s">
        <v>342</v>
      </c>
      <c r="AL42" t="str">
        <f>HYPERLINK("https://pbs.twimg.com/media/E7jihVrXEAIBmv7.jpg")</f>
        <v>https://pbs.twimg.com/media/E7jihVrXEAIBmv7.jpg</v>
      </c>
      <c r="AM42" t="s">
        <v>129</v>
      </c>
      <c r="AN42" t="s">
        <v>130</v>
      </c>
      <c r="BI42" t="s">
        <v>60</v>
      </c>
    </row>
    <row r="43" spans="1:77" x14ac:dyDescent="0.2">
      <c r="A43" t="s">
        <v>113</v>
      </c>
      <c r="B43" t="s">
        <v>351</v>
      </c>
      <c r="C43" t="s">
        <v>352</v>
      </c>
      <c r="D43" t="s">
        <v>318</v>
      </c>
      <c r="E43" t="s">
        <v>353</v>
      </c>
      <c r="F43" t="s">
        <v>118</v>
      </c>
      <c r="G43" t="str">
        <f>HYPERLINK("https://vk.com/wall-50623582_372247?reply=372256")</f>
        <v>https://vk.com/wall-50623582_372247?reply=372256</v>
      </c>
      <c r="H43" t="s">
        <v>119</v>
      </c>
      <c r="I43" t="s">
        <v>320</v>
      </c>
      <c r="J43" t="str">
        <f>HYPERLINK("http://vk.com/id327803339")</f>
        <v>http://vk.com/id327803339</v>
      </c>
      <c r="K43">
        <v>63</v>
      </c>
      <c r="L43" t="s">
        <v>121</v>
      </c>
      <c r="N43" t="s">
        <v>122</v>
      </c>
      <c r="O43" t="s">
        <v>321</v>
      </c>
      <c r="P43" t="str">
        <f>HYPERLINK("http://vk.com/club50623582")</f>
        <v>http://vk.com/club50623582</v>
      </c>
      <c r="Q43">
        <v>27848</v>
      </c>
      <c r="R43" t="s">
        <v>124</v>
      </c>
      <c r="S43" t="s">
        <v>125</v>
      </c>
      <c r="AM43" t="s">
        <v>129</v>
      </c>
      <c r="AN43" t="s">
        <v>130</v>
      </c>
      <c r="AP43" t="s">
        <v>41</v>
      </c>
      <c r="AT43" t="s">
        <v>45</v>
      </c>
      <c r="AZ43" t="s">
        <v>51</v>
      </c>
      <c r="BA43" t="s">
        <v>52</v>
      </c>
      <c r="BL43" t="s">
        <v>63</v>
      </c>
    </row>
    <row r="44" spans="1:77" x14ac:dyDescent="0.2">
      <c r="A44" t="s">
        <v>113</v>
      </c>
      <c r="B44" t="s">
        <v>354</v>
      </c>
      <c r="C44" t="s">
        <v>355</v>
      </c>
      <c r="D44" t="s">
        <v>356</v>
      </c>
      <c r="E44" t="s">
        <v>357</v>
      </c>
      <c r="F44" t="s">
        <v>118</v>
      </c>
      <c r="G44" t="str">
        <f>HYPERLINK("https://vk.com/wall-204351896_47?reply=513&amp;thread=48")</f>
        <v>https://vk.com/wall-204351896_47?reply=513&amp;thread=48</v>
      </c>
      <c r="H44" t="s">
        <v>119</v>
      </c>
      <c r="I44" t="s">
        <v>358</v>
      </c>
      <c r="J44" t="str">
        <f>HYPERLINK("http://vk.com/club186674927")</f>
        <v>http://vk.com/club186674927</v>
      </c>
      <c r="K44">
        <v>706</v>
      </c>
      <c r="L44" t="s">
        <v>340</v>
      </c>
      <c r="N44" t="s">
        <v>122</v>
      </c>
      <c r="O44" t="s">
        <v>359</v>
      </c>
      <c r="P44" t="str">
        <f>HYPERLINK("http://vk.com/club204351896")</f>
        <v>http://vk.com/club204351896</v>
      </c>
      <c r="Q44">
        <v>272</v>
      </c>
      <c r="R44" t="s">
        <v>124</v>
      </c>
      <c r="S44" t="s">
        <v>125</v>
      </c>
      <c r="T44" t="s">
        <v>169</v>
      </c>
      <c r="U44" t="s">
        <v>169</v>
      </c>
      <c r="AM44" t="s">
        <v>129</v>
      </c>
      <c r="AN44" t="s">
        <v>130</v>
      </c>
      <c r="AP44" t="s">
        <v>41</v>
      </c>
      <c r="AU44" t="s">
        <v>46</v>
      </c>
      <c r="AZ44" t="s">
        <v>51</v>
      </c>
      <c r="BA44" t="s">
        <v>52</v>
      </c>
    </row>
    <row r="45" spans="1:77" x14ac:dyDescent="0.2">
      <c r="A45" t="s">
        <v>113</v>
      </c>
      <c r="B45" t="s">
        <v>360</v>
      </c>
      <c r="C45" t="s">
        <v>361</v>
      </c>
      <c r="D45" t="s">
        <v>172</v>
      </c>
      <c r="E45" t="s">
        <v>362</v>
      </c>
      <c r="F45" t="s">
        <v>118</v>
      </c>
      <c r="G45" t="str">
        <f>HYPERLINK("https://vk.com/wall-27863223_292619?reply=292656")</f>
        <v>https://vk.com/wall-27863223_292619?reply=292656</v>
      </c>
      <c r="H45" t="s">
        <v>119</v>
      </c>
      <c r="I45" t="s">
        <v>363</v>
      </c>
      <c r="J45" t="str">
        <f>HYPERLINK("http://vk.com/id28210709")</f>
        <v>http://vk.com/id28210709</v>
      </c>
      <c r="K45">
        <v>249</v>
      </c>
      <c r="L45" t="s">
        <v>121</v>
      </c>
      <c r="M45">
        <v>32</v>
      </c>
      <c r="N45" t="s">
        <v>122</v>
      </c>
      <c r="O45" t="s">
        <v>175</v>
      </c>
      <c r="P45" t="str">
        <f>HYPERLINK("http://vk.com/club27863223")</f>
        <v>http://vk.com/club27863223</v>
      </c>
      <c r="Q45">
        <v>134698</v>
      </c>
      <c r="R45" t="s">
        <v>124</v>
      </c>
      <c r="S45" t="s">
        <v>125</v>
      </c>
      <c r="T45" t="s">
        <v>364</v>
      </c>
      <c r="U45" t="s">
        <v>365</v>
      </c>
      <c r="W45">
        <v>0</v>
      </c>
      <c r="X45">
        <v>0</v>
      </c>
      <c r="AM45" t="s">
        <v>129</v>
      </c>
      <c r="AN45" t="s">
        <v>130</v>
      </c>
      <c r="AO45" t="s">
        <v>40</v>
      </c>
      <c r="AP45" t="s">
        <v>41</v>
      </c>
      <c r="AZ45" t="s">
        <v>51</v>
      </c>
      <c r="BA45" t="s">
        <v>52</v>
      </c>
    </row>
    <row r="46" spans="1:77" x14ac:dyDescent="0.2">
      <c r="A46" t="s">
        <v>113</v>
      </c>
      <c r="B46" t="s">
        <v>366</v>
      </c>
      <c r="C46" t="s">
        <v>331</v>
      </c>
      <c r="D46" t="s">
        <v>332</v>
      </c>
      <c r="E46" t="s">
        <v>367</v>
      </c>
      <c r="F46" t="s">
        <v>180</v>
      </c>
      <c r="G46" t="str">
        <f>HYPERLINK("https://telesputnik.ru/forum/viewtopic.php?f=36&amp;t=42382&amp;start=37840#p2483275")</f>
        <v>https://telesputnik.ru/forum/viewtopic.php?f=36&amp;t=42382&amp;start=37840#p2483275</v>
      </c>
      <c r="H46" t="s">
        <v>119</v>
      </c>
      <c r="I46" t="s">
        <v>368</v>
      </c>
      <c r="J46" t="str">
        <f>HYPERLINK("https://telesputnik.ru/forum/memberlist.php?mode=viewprofile&amp;u=55423")</f>
        <v>https://telesputnik.ru/forum/memberlist.php?mode=viewprofile&amp;u=55423</v>
      </c>
      <c r="N46" t="s">
        <v>335</v>
      </c>
      <c r="O46" t="s">
        <v>336</v>
      </c>
      <c r="P46" t="str">
        <f>HYPERLINK("https://telesputnik.ru/forum/viewforum.php?f=11")</f>
        <v>https://telesputnik.ru/forum/viewforum.php?f=11</v>
      </c>
      <c r="R46" t="s">
        <v>295</v>
      </c>
      <c r="S46" t="s">
        <v>125</v>
      </c>
      <c r="AM46" t="s">
        <v>129</v>
      </c>
      <c r="AN46" t="s">
        <v>130</v>
      </c>
      <c r="AP46" t="s">
        <v>41</v>
      </c>
      <c r="AZ46" t="s">
        <v>51</v>
      </c>
      <c r="BB46" t="s">
        <v>53</v>
      </c>
    </row>
    <row r="47" spans="1:77" x14ac:dyDescent="0.2">
      <c r="A47" t="s">
        <v>113</v>
      </c>
      <c r="B47" t="s">
        <v>369</v>
      </c>
      <c r="C47" t="s">
        <v>331</v>
      </c>
      <c r="D47" t="s">
        <v>332</v>
      </c>
      <c r="E47" t="s">
        <v>370</v>
      </c>
      <c r="F47" t="s">
        <v>180</v>
      </c>
      <c r="G47" t="str">
        <f>HYPERLINK("https://telesputnik.ru/forum/viewtopic.php?f=36&amp;t=42382&amp;start=37840#p2483273")</f>
        <v>https://telesputnik.ru/forum/viewtopic.php?f=36&amp;t=42382&amp;start=37840#p2483273</v>
      </c>
      <c r="H47" t="s">
        <v>119</v>
      </c>
      <c r="I47" t="s">
        <v>371</v>
      </c>
      <c r="J47" t="str">
        <f>HYPERLINK("https://telesputnik.ru/forum/memberlist.php?mode=viewprofile&amp;u=53947")</f>
        <v>https://telesputnik.ru/forum/memberlist.php?mode=viewprofile&amp;u=53947</v>
      </c>
      <c r="N47" t="s">
        <v>335</v>
      </c>
      <c r="O47" t="s">
        <v>336</v>
      </c>
      <c r="P47" t="str">
        <f>HYPERLINK("https://telesputnik.ru/forum/viewforum.php?f=11")</f>
        <v>https://telesputnik.ru/forum/viewforum.php?f=11</v>
      </c>
      <c r="R47" t="s">
        <v>295</v>
      </c>
      <c r="S47" t="s">
        <v>125</v>
      </c>
      <c r="T47" t="s">
        <v>372</v>
      </c>
      <c r="U47" t="s">
        <v>373</v>
      </c>
      <c r="AM47" t="s">
        <v>129</v>
      </c>
      <c r="AN47" t="s">
        <v>130</v>
      </c>
      <c r="AP47" t="s">
        <v>41</v>
      </c>
      <c r="AU47" t="s">
        <v>46</v>
      </c>
      <c r="AY47" t="s">
        <v>50</v>
      </c>
      <c r="AZ47" t="s">
        <v>51</v>
      </c>
      <c r="BA47" t="s">
        <v>52</v>
      </c>
    </row>
    <row r="48" spans="1:77" x14ac:dyDescent="0.2">
      <c r="A48" t="s">
        <v>113</v>
      </c>
      <c r="B48" t="s">
        <v>374</v>
      </c>
      <c r="C48" t="s">
        <v>375</v>
      </c>
      <c r="D48" t="s">
        <v>129</v>
      </c>
      <c r="E48" t="s">
        <v>376</v>
      </c>
      <c r="F48" t="s">
        <v>180</v>
      </c>
      <c r="G48" t="str">
        <f>HYPERLINK("https://vk.com/wall-50623582_372247")</f>
        <v>https://vk.com/wall-50623582_372247</v>
      </c>
      <c r="H48" t="s">
        <v>119</v>
      </c>
      <c r="I48" t="s">
        <v>377</v>
      </c>
      <c r="J48" t="str">
        <f>HYPERLINK("http://vk.com/id237354066")</f>
        <v>http://vk.com/id237354066</v>
      </c>
      <c r="K48">
        <v>80</v>
      </c>
      <c r="L48" t="s">
        <v>121</v>
      </c>
      <c r="M48">
        <v>30</v>
      </c>
      <c r="N48" t="s">
        <v>122</v>
      </c>
      <c r="O48" t="s">
        <v>321</v>
      </c>
      <c r="P48" t="str">
        <f>HYPERLINK("http://vk.com/club50623582")</f>
        <v>http://vk.com/club50623582</v>
      </c>
      <c r="Q48">
        <v>27848</v>
      </c>
      <c r="R48" t="s">
        <v>124</v>
      </c>
      <c r="S48" t="s">
        <v>125</v>
      </c>
      <c r="T48" t="s">
        <v>364</v>
      </c>
      <c r="U48" t="s">
        <v>378</v>
      </c>
      <c r="W48">
        <v>10</v>
      </c>
      <c r="X48">
        <v>10</v>
      </c>
      <c r="AE48">
        <v>7</v>
      </c>
      <c r="AF48">
        <v>1</v>
      </c>
      <c r="AG48">
        <v>4109</v>
      </c>
      <c r="AM48" t="s">
        <v>129</v>
      </c>
      <c r="AN48" t="s">
        <v>130</v>
      </c>
      <c r="AP48" t="s">
        <v>41</v>
      </c>
      <c r="AZ48" t="s">
        <v>51</v>
      </c>
      <c r="BA48" t="s">
        <v>52</v>
      </c>
      <c r="BO48" t="s">
        <v>66</v>
      </c>
    </row>
    <row r="49" spans="1:69" x14ac:dyDescent="0.2">
      <c r="A49" t="s">
        <v>113</v>
      </c>
      <c r="B49" t="s">
        <v>379</v>
      </c>
      <c r="C49" t="s">
        <v>380</v>
      </c>
      <c r="D49" t="s">
        <v>381</v>
      </c>
      <c r="E49" t="s">
        <v>382</v>
      </c>
      <c r="F49" t="s">
        <v>180</v>
      </c>
      <c r="G49" t="str">
        <f>HYPERLINK("https://www.ozon.ru/context/detail/id/220479377/#63441395")</f>
        <v>https://www.ozon.ru/context/detail/id/220479377/#63441395</v>
      </c>
      <c r="H49" t="s">
        <v>181</v>
      </c>
      <c r="I49" t="s">
        <v>383</v>
      </c>
      <c r="J49" t="str">
        <f>HYPERLINK("https://www.ozon.ru/context/client_opinion/ClientGuid/42c0ef22-a9ab-437c-bd72-234e68f09e40/")</f>
        <v>https://www.ozon.ru/context/client_opinion/ClientGuid/42c0ef22-a9ab-437c-bd72-234e68f09e40/</v>
      </c>
      <c r="L49" t="s">
        <v>121</v>
      </c>
      <c r="N49" t="s">
        <v>183</v>
      </c>
      <c r="O49" t="s">
        <v>384</v>
      </c>
      <c r="P49" t="str">
        <f>HYPERLINK("https://www.ozon.ru/context/detail/id/220479377/")</f>
        <v>https://www.ozon.ru/context/detail/id/220479377/</v>
      </c>
      <c r="R49" t="s">
        <v>184</v>
      </c>
      <c r="S49" t="s">
        <v>125</v>
      </c>
      <c r="W49">
        <v>0</v>
      </c>
      <c r="X49">
        <v>0</v>
      </c>
      <c r="AH49">
        <v>5</v>
      </c>
      <c r="AJ49" t="s">
        <v>129</v>
      </c>
      <c r="AK49" t="s">
        <v>129</v>
      </c>
      <c r="AL49" t="str">
        <f>HYPERLINK("https://cdn1.ozone.ru/s3/rp-photo-2/bbbccbf4-2810-41ad-86a1-7f112274c5c7.jpeg")</f>
        <v>https://cdn1.ozone.ru/s3/rp-photo-2/bbbccbf4-2810-41ad-86a1-7f112274c5c7.jpeg</v>
      </c>
      <c r="AM49" t="s">
        <v>129</v>
      </c>
      <c r="AN49" t="s">
        <v>130</v>
      </c>
      <c r="AP49" t="s">
        <v>41</v>
      </c>
      <c r="AT49" t="s">
        <v>45</v>
      </c>
      <c r="AZ49" t="s">
        <v>51</v>
      </c>
      <c r="BA49" t="s">
        <v>52</v>
      </c>
    </row>
    <row r="50" spans="1:69" x14ac:dyDescent="0.2">
      <c r="A50" t="s">
        <v>113</v>
      </c>
      <c r="B50" t="s">
        <v>385</v>
      </c>
      <c r="C50" t="s">
        <v>386</v>
      </c>
      <c r="D50" t="s">
        <v>387</v>
      </c>
      <c r="E50" t="s">
        <v>388</v>
      </c>
      <c r="F50" t="s">
        <v>180</v>
      </c>
      <c r="G50" t="str">
        <f>HYPERLINK("https://otzovik.com/review_12244396.html")</f>
        <v>https://otzovik.com/review_12244396.html</v>
      </c>
      <c r="H50" t="s">
        <v>119</v>
      </c>
      <c r="I50" t="s">
        <v>389</v>
      </c>
      <c r="J50" t="str">
        <f>HYPERLINK("http://otzovik.com/profile/Mariana1984")</f>
        <v>http://otzovik.com/profile/Mariana1984</v>
      </c>
      <c r="N50" t="s">
        <v>390</v>
      </c>
      <c r="O50" t="s">
        <v>391</v>
      </c>
      <c r="P50" t="str">
        <f>HYPERLINK("https://otzovik.com/reviews/plazmenniy_televizor_lg_42pt250/")</f>
        <v>https://otzovik.com/reviews/plazmenniy_televizor_lg_42pt250/</v>
      </c>
      <c r="R50" t="s">
        <v>184</v>
      </c>
      <c r="S50" t="s">
        <v>125</v>
      </c>
      <c r="W50">
        <v>6</v>
      </c>
      <c r="X50">
        <v>6</v>
      </c>
      <c r="AE50">
        <v>0</v>
      </c>
      <c r="AH50">
        <v>5</v>
      </c>
      <c r="AM50" t="s">
        <v>129</v>
      </c>
      <c r="AN50" t="s">
        <v>130</v>
      </c>
      <c r="AP50" t="s">
        <v>41</v>
      </c>
      <c r="AT50" t="s">
        <v>45</v>
      </c>
      <c r="AZ50" t="s">
        <v>51</v>
      </c>
      <c r="BA50" t="s">
        <v>52</v>
      </c>
    </row>
    <row r="51" spans="1:69" x14ac:dyDescent="0.2">
      <c r="A51" t="s">
        <v>113</v>
      </c>
      <c r="B51" t="s">
        <v>392</v>
      </c>
      <c r="C51" t="s">
        <v>393</v>
      </c>
      <c r="D51" t="s">
        <v>394</v>
      </c>
      <c r="E51" t="s">
        <v>395</v>
      </c>
      <c r="F51" t="s">
        <v>118</v>
      </c>
      <c r="G51" t="str">
        <f>HYPERLINK("https://vk.com/wall-27863223_292571?w=wall-27863223_292571_r292652")</f>
        <v>https://vk.com/wall-27863223_292571?w=wall-27863223_292571_r292652</v>
      </c>
      <c r="H51" t="s">
        <v>119</v>
      </c>
      <c r="I51" t="s">
        <v>396</v>
      </c>
      <c r="J51" t="str">
        <f>HYPERLINK("http://vk.com/id660994595")</f>
        <v>http://vk.com/id660994595</v>
      </c>
      <c r="K51">
        <v>0</v>
      </c>
      <c r="L51" t="s">
        <v>121</v>
      </c>
      <c r="M51">
        <v>18</v>
      </c>
      <c r="N51" t="s">
        <v>122</v>
      </c>
      <c r="O51" t="s">
        <v>175</v>
      </c>
      <c r="P51" t="str">
        <f>HYPERLINK("http://vk.com/club27863223")</f>
        <v>http://vk.com/club27863223</v>
      </c>
      <c r="Q51">
        <v>134698</v>
      </c>
      <c r="R51" t="s">
        <v>124</v>
      </c>
      <c r="W51">
        <v>0</v>
      </c>
      <c r="X51">
        <v>0</v>
      </c>
      <c r="AM51" t="s">
        <v>129</v>
      </c>
      <c r="AN51" t="s">
        <v>130</v>
      </c>
      <c r="AP51" t="s">
        <v>41</v>
      </c>
      <c r="AU51" t="s">
        <v>46</v>
      </c>
      <c r="AZ51" t="s">
        <v>51</v>
      </c>
      <c r="BA51" t="s">
        <v>52</v>
      </c>
    </row>
    <row r="52" spans="1:69" x14ac:dyDescent="0.2">
      <c r="A52" t="s">
        <v>113</v>
      </c>
      <c r="B52" t="s">
        <v>397</v>
      </c>
      <c r="C52" t="s">
        <v>398</v>
      </c>
      <c r="D52" t="s">
        <v>399</v>
      </c>
      <c r="E52" t="s">
        <v>400</v>
      </c>
      <c r="F52" t="s">
        <v>118</v>
      </c>
      <c r="G52" t="str">
        <f>HYPERLINK("https://pikabu.ru/story/vopros_k_tovarishcham_yentomologam_iz_kryima_8377242?cid=207706320")</f>
        <v>https://pikabu.ru/story/vopros_k_tovarishcham_yentomologam_iz_kryima_8377242?cid=207706320</v>
      </c>
      <c r="H52" t="s">
        <v>119</v>
      </c>
      <c r="I52" t="s">
        <v>401</v>
      </c>
      <c r="J52" t="str">
        <f>HYPERLINK("http://pikabu.ru/profile/viter2000")</f>
        <v>http://pikabu.ru/profile/viter2000</v>
      </c>
      <c r="N52" t="s">
        <v>402</v>
      </c>
      <c r="O52" t="s">
        <v>403</v>
      </c>
      <c r="P52" t="str">
        <f>HYPERLINK("http://pikabu.ru/profile/Treueheinrich")</f>
        <v>http://pikabu.ru/profile/Treueheinrich</v>
      </c>
      <c r="R52" t="s">
        <v>404</v>
      </c>
      <c r="AM52" t="s">
        <v>129</v>
      </c>
      <c r="AN52" t="s">
        <v>130</v>
      </c>
      <c r="AP52" t="s">
        <v>41</v>
      </c>
      <c r="AT52" t="s">
        <v>45</v>
      </c>
      <c r="AZ52" t="s">
        <v>51</v>
      </c>
      <c r="BA52" t="s">
        <v>52</v>
      </c>
    </row>
    <row r="53" spans="1:69" x14ac:dyDescent="0.2">
      <c r="A53" t="s">
        <v>113</v>
      </c>
      <c r="B53" t="s">
        <v>405</v>
      </c>
      <c r="C53" t="s">
        <v>406</v>
      </c>
      <c r="D53" t="s">
        <v>407</v>
      </c>
      <c r="E53" t="s">
        <v>408</v>
      </c>
      <c r="F53" t="s">
        <v>118</v>
      </c>
      <c r="G53" t="str">
        <f>HYPERLINK("https://vk.com/wall-144362841_1222836?reply=1222865")</f>
        <v>https://vk.com/wall-144362841_1222836?reply=1222865</v>
      </c>
      <c r="H53" t="s">
        <v>181</v>
      </c>
      <c r="I53" t="s">
        <v>409</v>
      </c>
      <c r="J53" t="str">
        <f>HYPERLINK("http://vk.com/id12111881")</f>
        <v>http://vk.com/id12111881</v>
      </c>
      <c r="K53">
        <v>117</v>
      </c>
      <c r="L53" t="s">
        <v>121</v>
      </c>
      <c r="M53">
        <v>42</v>
      </c>
      <c r="N53" t="s">
        <v>122</v>
      </c>
      <c r="O53" t="s">
        <v>410</v>
      </c>
      <c r="P53" t="str">
        <f>HYPERLINK("http://vk.com/club144362841")</f>
        <v>http://vk.com/club144362841</v>
      </c>
      <c r="Q53">
        <v>31865</v>
      </c>
      <c r="R53" t="s">
        <v>124</v>
      </c>
      <c r="S53" t="s">
        <v>125</v>
      </c>
      <c r="T53" t="s">
        <v>137</v>
      </c>
      <c r="U53" t="s">
        <v>137</v>
      </c>
      <c r="AM53" t="s">
        <v>129</v>
      </c>
      <c r="AN53" t="s">
        <v>130</v>
      </c>
      <c r="AP53" t="s">
        <v>41</v>
      </c>
      <c r="AZ53" t="s">
        <v>51</v>
      </c>
      <c r="BA53" t="s">
        <v>52</v>
      </c>
    </row>
    <row r="54" spans="1:69" x14ac:dyDescent="0.2">
      <c r="A54" t="s">
        <v>113</v>
      </c>
      <c r="B54" t="s">
        <v>411</v>
      </c>
      <c r="C54" t="s">
        <v>412</v>
      </c>
      <c r="D54" t="s">
        <v>413</v>
      </c>
      <c r="E54" t="s">
        <v>414</v>
      </c>
      <c r="F54" t="s">
        <v>118</v>
      </c>
      <c r="G54" t="str">
        <f>HYPERLINK("https://telegram.me/tricolorkinchat/11516")</f>
        <v>https://telegram.me/tricolorkinchat/11516</v>
      </c>
      <c r="H54" t="s">
        <v>119</v>
      </c>
      <c r="I54" t="s">
        <v>415</v>
      </c>
      <c r="J54" t="str">
        <f>HYPERLINK("https://telegram.me/797182159")</f>
        <v>https://telegram.me/797182159</v>
      </c>
      <c r="N54" t="s">
        <v>143</v>
      </c>
      <c r="O54" t="s">
        <v>416</v>
      </c>
      <c r="P54" t="str">
        <f>HYPERLINK("https://telegram.me/tricolorkinchat")</f>
        <v>https://telegram.me/tricolorkinchat</v>
      </c>
      <c r="Q54">
        <v>188</v>
      </c>
      <c r="R54" t="s">
        <v>145</v>
      </c>
      <c r="AM54" t="s">
        <v>129</v>
      </c>
      <c r="AN54" t="s">
        <v>130</v>
      </c>
      <c r="AP54" t="s">
        <v>41</v>
      </c>
      <c r="AW54" t="s">
        <v>48</v>
      </c>
      <c r="AZ54" t="s">
        <v>51</v>
      </c>
      <c r="BA54" t="s">
        <v>52</v>
      </c>
      <c r="BL54" t="s">
        <v>63</v>
      </c>
    </row>
    <row r="55" spans="1:69" x14ac:dyDescent="0.2">
      <c r="A55" t="s">
        <v>113</v>
      </c>
      <c r="B55" t="s">
        <v>417</v>
      </c>
      <c r="C55" t="s">
        <v>418</v>
      </c>
      <c r="D55" t="s">
        <v>419</v>
      </c>
      <c r="E55" t="s">
        <v>420</v>
      </c>
      <c r="F55" t="s">
        <v>180</v>
      </c>
      <c r="G55" t="str">
        <f>HYPERLINK("https://www.ozon.ru/context/detail/id/238955516/#63426589")</f>
        <v>https://www.ozon.ru/context/detail/id/238955516/#63426589</v>
      </c>
      <c r="H55" t="s">
        <v>181</v>
      </c>
      <c r="I55" t="s">
        <v>421</v>
      </c>
      <c r="J55" t="str">
        <f>HYPERLINK("https://www.ozon.ru/context/client_opinion/ClientGuid/74cd7ac6-e304-4ee7-ac2a-6c8f42e3a9b5/")</f>
        <v>https://www.ozon.ru/context/client_opinion/ClientGuid/74cd7ac6-e304-4ee7-ac2a-6c8f42e3a9b5/</v>
      </c>
      <c r="L55" t="s">
        <v>121</v>
      </c>
      <c r="N55" t="s">
        <v>183</v>
      </c>
      <c r="O55" t="s">
        <v>419</v>
      </c>
      <c r="P55" t="str">
        <f>HYPERLINK("https://www.ozon.ru/context/detail/id/238955516/")</f>
        <v>https://www.ozon.ru/context/detail/id/238955516/</v>
      </c>
      <c r="R55" t="s">
        <v>184</v>
      </c>
      <c r="S55" t="s">
        <v>125</v>
      </c>
      <c r="W55">
        <v>0</v>
      </c>
      <c r="X55">
        <v>0</v>
      </c>
      <c r="AH55">
        <v>5</v>
      </c>
      <c r="AM55" t="s">
        <v>129</v>
      </c>
      <c r="AN55" t="s">
        <v>130</v>
      </c>
      <c r="AP55" t="s">
        <v>41</v>
      </c>
      <c r="AT55" t="s">
        <v>45</v>
      </c>
      <c r="AZ55" t="s">
        <v>51</v>
      </c>
      <c r="BA55" t="s">
        <v>52</v>
      </c>
      <c r="BM55" t="s">
        <v>64</v>
      </c>
    </row>
    <row r="56" spans="1:69" x14ac:dyDescent="0.2">
      <c r="A56" t="s">
        <v>113</v>
      </c>
      <c r="B56" t="s">
        <v>422</v>
      </c>
      <c r="C56" t="s">
        <v>423</v>
      </c>
      <c r="D56" t="s">
        <v>424</v>
      </c>
      <c r="E56" t="s">
        <v>425</v>
      </c>
      <c r="F56" t="s">
        <v>118</v>
      </c>
      <c r="G56" t="str">
        <f>HYPERLINK("https://vk.com/topic-124657642_40664927?post=4915")</f>
        <v>https://vk.com/topic-124657642_40664927?post=4915</v>
      </c>
      <c r="H56" t="s">
        <v>119</v>
      </c>
      <c r="I56" t="s">
        <v>426</v>
      </c>
      <c r="J56" t="str">
        <f>HYPERLINK("http://vk.com/id146095413")</f>
        <v>http://vk.com/id146095413</v>
      </c>
      <c r="K56">
        <v>76</v>
      </c>
      <c r="L56" t="s">
        <v>151</v>
      </c>
      <c r="M56">
        <v>49</v>
      </c>
      <c r="N56" t="s">
        <v>122</v>
      </c>
      <c r="O56" t="s">
        <v>427</v>
      </c>
      <c r="P56" t="str">
        <f>HYPERLINK("http://vk.com/club124657642")</f>
        <v>http://vk.com/club124657642</v>
      </c>
      <c r="Q56">
        <v>15373</v>
      </c>
      <c r="R56" t="s">
        <v>124</v>
      </c>
      <c r="S56" t="s">
        <v>125</v>
      </c>
      <c r="T56" t="s">
        <v>428</v>
      </c>
      <c r="U56" t="s">
        <v>429</v>
      </c>
      <c r="AM56" t="s">
        <v>129</v>
      </c>
      <c r="AN56" t="s">
        <v>130</v>
      </c>
      <c r="AP56" t="s">
        <v>41</v>
      </c>
      <c r="AT56" t="s">
        <v>45</v>
      </c>
      <c r="AW56" t="s">
        <v>48</v>
      </c>
      <c r="AZ56" t="s">
        <v>51</v>
      </c>
      <c r="BB56" t="s">
        <v>53</v>
      </c>
    </row>
    <row r="57" spans="1:69" x14ac:dyDescent="0.2">
      <c r="A57" t="s">
        <v>113</v>
      </c>
      <c r="B57" t="s">
        <v>430</v>
      </c>
      <c r="C57" t="s">
        <v>431</v>
      </c>
      <c r="D57" t="s">
        <v>432</v>
      </c>
      <c r="E57" t="s">
        <v>433</v>
      </c>
      <c r="F57" t="s">
        <v>118</v>
      </c>
      <c r="G57" t="str">
        <f>HYPERLINK("https://vk.com/wall-151671198_106189?reply=106285")</f>
        <v>https://vk.com/wall-151671198_106189?reply=106285</v>
      </c>
      <c r="H57" t="s">
        <v>119</v>
      </c>
      <c r="I57" t="s">
        <v>434</v>
      </c>
      <c r="J57" t="str">
        <f>HYPERLINK("http://vk.com/id380595874")</f>
        <v>http://vk.com/id380595874</v>
      </c>
      <c r="K57">
        <v>171</v>
      </c>
      <c r="L57" t="s">
        <v>151</v>
      </c>
      <c r="N57" t="s">
        <v>122</v>
      </c>
      <c r="O57" t="s">
        <v>435</v>
      </c>
      <c r="P57" t="str">
        <f>HYPERLINK("http://vk.com/club151671198")</f>
        <v>http://vk.com/club151671198</v>
      </c>
      <c r="Q57">
        <v>8640</v>
      </c>
      <c r="R57" t="s">
        <v>124</v>
      </c>
      <c r="S57" t="s">
        <v>125</v>
      </c>
      <c r="T57" t="s">
        <v>137</v>
      </c>
      <c r="U57" t="s">
        <v>137</v>
      </c>
      <c r="AM57" t="s">
        <v>129</v>
      </c>
      <c r="AN57" t="s">
        <v>130</v>
      </c>
      <c r="AP57" t="s">
        <v>41</v>
      </c>
      <c r="AW57" t="s">
        <v>48</v>
      </c>
      <c r="AZ57" t="s">
        <v>51</v>
      </c>
      <c r="BA57" t="s">
        <v>52</v>
      </c>
    </row>
    <row r="58" spans="1:69" x14ac:dyDescent="0.2">
      <c r="A58" t="s">
        <v>113</v>
      </c>
      <c r="B58" t="s">
        <v>436</v>
      </c>
      <c r="C58" t="s">
        <v>437</v>
      </c>
      <c r="D58" t="s">
        <v>438</v>
      </c>
      <c r="E58" t="s">
        <v>439</v>
      </c>
      <c r="F58" t="s">
        <v>118</v>
      </c>
      <c r="G58" t="str">
        <f>HYPERLINK("https://www.youtube.com/watch?v=wupOsOX2jw0&amp;lc=UgxQZYGZUTJjKDjQ9c54AaABAg")</f>
        <v>https://www.youtube.com/watch?v=wupOsOX2jw0&amp;lc=UgxQZYGZUTJjKDjQ9c54AaABAg</v>
      </c>
      <c r="H58" t="s">
        <v>119</v>
      </c>
      <c r="I58" t="s">
        <v>440</v>
      </c>
      <c r="J58" t="str">
        <f>HYPERLINK("https://www.youtube.com/channel/UC6xnWsWrdISw0t3LsZqsq-w")</f>
        <v>https://www.youtube.com/channel/UC6xnWsWrdISw0t3LsZqsq-w</v>
      </c>
      <c r="K58">
        <v>2</v>
      </c>
      <c r="N58" t="s">
        <v>248</v>
      </c>
      <c r="O58" t="s">
        <v>441</v>
      </c>
      <c r="P58" t="str">
        <f>HYPERLINK("https://www.youtube.com/channel/UCqEHrclV85eheWlDFNMry9Q")</f>
        <v>https://www.youtube.com/channel/UCqEHrclV85eheWlDFNMry9Q</v>
      </c>
      <c r="Q58">
        <v>482000</v>
      </c>
      <c r="R58" t="s">
        <v>124</v>
      </c>
      <c r="S58" t="s">
        <v>125</v>
      </c>
      <c r="W58">
        <v>2</v>
      </c>
      <c r="X58">
        <v>2</v>
      </c>
      <c r="AE58">
        <v>0</v>
      </c>
      <c r="AM58" t="s">
        <v>129</v>
      </c>
      <c r="AN58" t="s">
        <v>130</v>
      </c>
      <c r="AP58" t="s">
        <v>41</v>
      </c>
      <c r="AU58" t="s">
        <v>46</v>
      </c>
      <c r="AZ58" t="s">
        <v>51</v>
      </c>
      <c r="BA58" t="s">
        <v>52</v>
      </c>
    </row>
    <row r="59" spans="1:69" x14ac:dyDescent="0.2">
      <c r="A59" t="s">
        <v>113</v>
      </c>
      <c r="B59" t="s">
        <v>442</v>
      </c>
      <c r="C59" t="s">
        <v>443</v>
      </c>
      <c r="D59" t="s">
        <v>424</v>
      </c>
      <c r="E59" t="s">
        <v>444</v>
      </c>
      <c r="F59" t="s">
        <v>118</v>
      </c>
      <c r="G59" t="str">
        <f>HYPERLINK("https://vk.com/topic-124657642_40664927?post=4914")</f>
        <v>https://vk.com/topic-124657642_40664927?post=4914</v>
      </c>
      <c r="H59" t="s">
        <v>119</v>
      </c>
      <c r="I59" t="s">
        <v>445</v>
      </c>
      <c r="J59" t="str">
        <f>HYPERLINK("http://vk.com/id448448188")</f>
        <v>http://vk.com/id448448188</v>
      </c>
      <c r="K59">
        <v>89</v>
      </c>
      <c r="L59" t="s">
        <v>121</v>
      </c>
      <c r="N59" t="s">
        <v>122</v>
      </c>
      <c r="O59" t="s">
        <v>427</v>
      </c>
      <c r="P59" t="str">
        <f>HYPERLINK("http://vk.com/club124657642")</f>
        <v>http://vk.com/club124657642</v>
      </c>
      <c r="Q59">
        <v>15373</v>
      </c>
      <c r="R59" t="s">
        <v>124</v>
      </c>
      <c r="S59" t="s">
        <v>125</v>
      </c>
      <c r="T59" t="s">
        <v>137</v>
      </c>
      <c r="U59" t="s">
        <v>137</v>
      </c>
      <c r="AM59" t="s">
        <v>129</v>
      </c>
      <c r="AN59" t="s">
        <v>130</v>
      </c>
      <c r="AP59" t="s">
        <v>41</v>
      </c>
      <c r="AU59" t="s">
        <v>46</v>
      </c>
      <c r="AZ59" t="s">
        <v>51</v>
      </c>
      <c r="BA59" t="s">
        <v>52</v>
      </c>
      <c r="BQ59" t="s">
        <v>68</v>
      </c>
    </row>
    <row r="60" spans="1:69" x14ac:dyDescent="0.2">
      <c r="A60" t="s">
        <v>113</v>
      </c>
      <c r="B60" t="s">
        <v>446</v>
      </c>
      <c r="C60" t="s">
        <v>447</v>
      </c>
      <c r="D60" t="s">
        <v>424</v>
      </c>
      <c r="E60" t="s">
        <v>448</v>
      </c>
      <c r="F60" t="s">
        <v>118</v>
      </c>
      <c r="G60" t="str">
        <f>HYPERLINK("https://vk.com/topic-124657642_40664927?post=4912")</f>
        <v>https://vk.com/topic-124657642_40664927?post=4912</v>
      </c>
      <c r="H60" t="s">
        <v>119</v>
      </c>
      <c r="I60" t="s">
        <v>445</v>
      </c>
      <c r="J60" t="str">
        <f>HYPERLINK("http://vk.com/id448448188")</f>
        <v>http://vk.com/id448448188</v>
      </c>
      <c r="K60">
        <v>89</v>
      </c>
      <c r="L60" t="s">
        <v>121</v>
      </c>
      <c r="N60" t="s">
        <v>122</v>
      </c>
      <c r="O60" t="s">
        <v>427</v>
      </c>
      <c r="P60" t="str">
        <f>HYPERLINK("http://vk.com/club124657642")</f>
        <v>http://vk.com/club124657642</v>
      </c>
      <c r="Q60">
        <v>15373</v>
      </c>
      <c r="R60" t="s">
        <v>124</v>
      </c>
      <c r="S60" t="s">
        <v>125</v>
      </c>
      <c r="T60" t="s">
        <v>137</v>
      </c>
      <c r="U60" t="s">
        <v>137</v>
      </c>
      <c r="AM60" t="s">
        <v>129</v>
      </c>
      <c r="AN60" t="s">
        <v>130</v>
      </c>
      <c r="AP60" t="s">
        <v>41</v>
      </c>
      <c r="AT60" t="s">
        <v>45</v>
      </c>
      <c r="AZ60" t="s">
        <v>51</v>
      </c>
      <c r="BA60" t="s">
        <v>52</v>
      </c>
    </row>
    <row r="61" spans="1:69" x14ac:dyDescent="0.2">
      <c r="A61" t="s">
        <v>113</v>
      </c>
      <c r="B61" t="s">
        <v>449</v>
      </c>
      <c r="C61" t="s">
        <v>450</v>
      </c>
      <c r="D61" t="s">
        <v>424</v>
      </c>
      <c r="E61" t="s">
        <v>451</v>
      </c>
      <c r="F61" t="s">
        <v>118</v>
      </c>
      <c r="G61" t="str">
        <f>HYPERLINK("https://vk.com/topic-124657642_40664927?post=4910")</f>
        <v>https://vk.com/topic-124657642_40664927?post=4910</v>
      </c>
      <c r="H61" t="s">
        <v>119</v>
      </c>
      <c r="I61" t="s">
        <v>426</v>
      </c>
      <c r="J61" t="str">
        <f>HYPERLINK("http://vk.com/id146095413")</f>
        <v>http://vk.com/id146095413</v>
      </c>
      <c r="K61">
        <v>76</v>
      </c>
      <c r="L61" t="s">
        <v>151</v>
      </c>
      <c r="M61">
        <v>49</v>
      </c>
      <c r="N61" t="s">
        <v>122</v>
      </c>
      <c r="O61" t="s">
        <v>427</v>
      </c>
      <c r="P61" t="str">
        <f>HYPERLINK("http://vk.com/club124657642")</f>
        <v>http://vk.com/club124657642</v>
      </c>
      <c r="Q61">
        <v>15373</v>
      </c>
      <c r="R61" t="s">
        <v>124</v>
      </c>
      <c r="S61" t="s">
        <v>125</v>
      </c>
      <c r="T61" t="s">
        <v>428</v>
      </c>
      <c r="U61" t="s">
        <v>429</v>
      </c>
      <c r="AJ61" t="s">
        <v>452</v>
      </c>
      <c r="AK61" t="s">
        <v>453</v>
      </c>
      <c r="AL61" t="str">
        <f>HYPERLINK("https://sun9-47.userapi.com/impg/UFsVpETMtDjH93FOGzrlx-li6zTvesKoHdiRHA/AS8CaRIQu_c.jpg?size=1201x1600&amp;quality=96&amp;sign=9473deadbe9c0bb893b6f735d0c37144&amp;c_uniq_tag=HW-wx5TJch07syhedFyhFkp3RKY83ZUMcozT5zBCVQM&amp;type=album")</f>
        <v>https://sun9-47.userapi.com/impg/UFsVpETMtDjH93FOGzrlx-li6zTvesKoHdiRHA/AS8CaRIQu_c.jpg?size=1201x1600&amp;quality=96&amp;sign=9473deadbe9c0bb893b6f735d0c37144&amp;c_uniq_tag=HW-wx5TJch07syhedFyhFkp3RKY83ZUMcozT5zBCVQM&amp;type=album</v>
      </c>
      <c r="AM61" t="s">
        <v>129</v>
      </c>
      <c r="AN61" t="s">
        <v>130</v>
      </c>
      <c r="AP61" t="s">
        <v>41</v>
      </c>
      <c r="AU61" t="s">
        <v>46</v>
      </c>
      <c r="AZ61" t="s">
        <v>51</v>
      </c>
      <c r="BA61" t="s">
        <v>52</v>
      </c>
      <c r="BQ61" t="s">
        <v>68</v>
      </c>
    </row>
    <row r="62" spans="1:69" x14ac:dyDescent="0.2">
      <c r="A62" t="s">
        <v>113</v>
      </c>
      <c r="B62" t="s">
        <v>449</v>
      </c>
      <c r="C62" t="s">
        <v>454</v>
      </c>
      <c r="D62" t="s">
        <v>424</v>
      </c>
      <c r="E62" t="s">
        <v>455</v>
      </c>
      <c r="F62" t="s">
        <v>118</v>
      </c>
      <c r="G62" t="str">
        <f>HYPERLINK("https://vk.com/topic-124657642_40664927?post=4909")</f>
        <v>https://vk.com/topic-124657642_40664927?post=4909</v>
      </c>
      <c r="H62" t="s">
        <v>119</v>
      </c>
      <c r="I62" t="s">
        <v>426</v>
      </c>
      <c r="J62" t="str">
        <f>HYPERLINK("http://vk.com/id146095413")</f>
        <v>http://vk.com/id146095413</v>
      </c>
      <c r="K62">
        <v>76</v>
      </c>
      <c r="L62" t="s">
        <v>151</v>
      </c>
      <c r="M62">
        <v>49</v>
      </c>
      <c r="N62" t="s">
        <v>122</v>
      </c>
      <c r="O62" t="s">
        <v>427</v>
      </c>
      <c r="P62" t="str">
        <f>HYPERLINK("http://vk.com/club124657642")</f>
        <v>http://vk.com/club124657642</v>
      </c>
      <c r="Q62">
        <v>15373</v>
      </c>
      <c r="R62" t="s">
        <v>124</v>
      </c>
      <c r="S62" t="s">
        <v>125</v>
      </c>
      <c r="T62" t="s">
        <v>428</v>
      </c>
      <c r="U62" t="s">
        <v>429</v>
      </c>
      <c r="AM62" t="s">
        <v>129</v>
      </c>
      <c r="AN62" t="s">
        <v>130</v>
      </c>
      <c r="AP62" t="s">
        <v>41</v>
      </c>
      <c r="AT62" t="s">
        <v>45</v>
      </c>
      <c r="AZ62" t="s">
        <v>51</v>
      </c>
      <c r="BA62" t="s">
        <v>52</v>
      </c>
      <c r="BQ62" t="s">
        <v>68</v>
      </c>
    </row>
    <row r="63" spans="1:69" x14ac:dyDescent="0.2">
      <c r="A63" t="s">
        <v>113</v>
      </c>
      <c r="B63" t="s">
        <v>456</v>
      </c>
      <c r="C63" t="s">
        <v>457</v>
      </c>
      <c r="D63" t="s">
        <v>424</v>
      </c>
      <c r="E63" t="s">
        <v>458</v>
      </c>
      <c r="F63" t="s">
        <v>118</v>
      </c>
      <c r="G63" t="str">
        <f>HYPERLINK("https://vk.com/topic-124657642_40664927?post=4907")</f>
        <v>https://vk.com/topic-124657642_40664927?post=4907</v>
      </c>
      <c r="H63" t="s">
        <v>119</v>
      </c>
      <c r="I63" t="s">
        <v>445</v>
      </c>
      <c r="J63" t="str">
        <f>HYPERLINK("http://vk.com/id448448188")</f>
        <v>http://vk.com/id448448188</v>
      </c>
      <c r="K63">
        <v>89</v>
      </c>
      <c r="L63" t="s">
        <v>121</v>
      </c>
      <c r="N63" t="s">
        <v>122</v>
      </c>
      <c r="O63" t="s">
        <v>427</v>
      </c>
      <c r="P63" t="str">
        <f>HYPERLINK("http://vk.com/club124657642")</f>
        <v>http://vk.com/club124657642</v>
      </c>
      <c r="Q63">
        <v>15373</v>
      </c>
      <c r="R63" t="s">
        <v>124</v>
      </c>
      <c r="S63" t="s">
        <v>125</v>
      </c>
      <c r="T63" t="s">
        <v>137</v>
      </c>
      <c r="U63" t="s">
        <v>137</v>
      </c>
      <c r="AM63" t="s">
        <v>129</v>
      </c>
      <c r="AN63" t="s">
        <v>130</v>
      </c>
      <c r="AP63" t="s">
        <v>41</v>
      </c>
      <c r="AT63" t="s">
        <v>45</v>
      </c>
      <c r="AW63" t="s">
        <v>48</v>
      </c>
      <c r="AZ63" t="s">
        <v>51</v>
      </c>
      <c r="BA63" t="s">
        <v>52</v>
      </c>
    </row>
    <row r="64" spans="1:69" x14ac:dyDescent="0.2">
      <c r="A64" t="s">
        <v>113</v>
      </c>
      <c r="B64" t="s">
        <v>459</v>
      </c>
      <c r="C64" t="s">
        <v>460</v>
      </c>
      <c r="D64" t="s">
        <v>461</v>
      </c>
      <c r="E64" t="s">
        <v>462</v>
      </c>
      <c r="F64" t="s">
        <v>118</v>
      </c>
      <c r="G64" t="str">
        <f>HYPERLINK("https://vk.com/wall-127235930_457064?reply=457074")</f>
        <v>https://vk.com/wall-127235930_457064?reply=457074</v>
      </c>
      <c r="H64" t="s">
        <v>119</v>
      </c>
      <c r="I64" t="s">
        <v>463</v>
      </c>
      <c r="J64" t="str">
        <f>HYPERLINK("http://vk.com/id57671902")</f>
        <v>http://vk.com/id57671902</v>
      </c>
      <c r="K64">
        <v>208</v>
      </c>
      <c r="L64" t="s">
        <v>121</v>
      </c>
      <c r="N64" t="s">
        <v>122</v>
      </c>
      <c r="O64" t="s">
        <v>464</v>
      </c>
      <c r="P64" t="str">
        <f>HYPERLINK("http://vk.com/club127235930")</f>
        <v>http://vk.com/club127235930</v>
      </c>
      <c r="Q64">
        <v>6342</v>
      </c>
      <c r="R64" t="s">
        <v>124</v>
      </c>
      <c r="S64" t="s">
        <v>125</v>
      </c>
      <c r="T64" t="s">
        <v>153</v>
      </c>
      <c r="U64" t="s">
        <v>465</v>
      </c>
      <c r="AM64" t="s">
        <v>129</v>
      </c>
      <c r="AN64" t="s">
        <v>130</v>
      </c>
      <c r="AP64" t="s">
        <v>41</v>
      </c>
      <c r="AU64" t="s">
        <v>46</v>
      </c>
      <c r="AY64" t="s">
        <v>50</v>
      </c>
      <c r="AZ64" t="s">
        <v>51</v>
      </c>
      <c r="BA64" t="s">
        <v>52</v>
      </c>
      <c r="BM64" t="s">
        <v>64</v>
      </c>
    </row>
    <row r="65" spans="1:89" x14ac:dyDescent="0.2">
      <c r="A65" t="s">
        <v>113</v>
      </c>
      <c r="B65" t="s">
        <v>466</v>
      </c>
      <c r="C65" t="s">
        <v>467</v>
      </c>
      <c r="D65" t="s">
        <v>175</v>
      </c>
      <c r="E65" t="s">
        <v>468</v>
      </c>
      <c r="F65" t="s">
        <v>180</v>
      </c>
      <c r="G65" t="str">
        <f>HYPERLINK("https://yandex.ru/maps/org/54667546591#OUaAx37o98-BpJRh4SRXB7Tm_XTQ37xUf")</f>
        <v>https://yandex.ru/maps/org/54667546591#OUaAx37o98-BpJRh4SRXB7Tm_XTQ37xUf</v>
      </c>
      <c r="H65" t="s">
        <v>228</v>
      </c>
      <c r="I65" t="s">
        <v>469</v>
      </c>
      <c r="J65" t="str">
        <f>HYPERLINK("https://yandex.ru/user/cmy65h0zcjb89wz3dnxcmn2dvr")</f>
        <v>https://yandex.ru/user/cmy65h0zcjb89wz3dnxcmn2dvr</v>
      </c>
      <c r="L65" t="s">
        <v>151</v>
      </c>
      <c r="N65" t="s">
        <v>236</v>
      </c>
      <c r="O65" t="s">
        <v>175</v>
      </c>
      <c r="P65" t="str">
        <f>HYPERLINK("https://yandex.ru/maps/org/54667546591")</f>
        <v>https://yandex.ru/maps/org/54667546591</v>
      </c>
      <c r="R65" t="s">
        <v>184</v>
      </c>
      <c r="S65" t="s">
        <v>125</v>
      </c>
      <c r="T65" t="s">
        <v>153</v>
      </c>
      <c r="U65" t="s">
        <v>470</v>
      </c>
      <c r="W65">
        <v>0</v>
      </c>
      <c r="X65">
        <v>0</v>
      </c>
      <c r="AH65">
        <v>1</v>
      </c>
      <c r="AM65" t="s">
        <v>129</v>
      </c>
      <c r="AN65" t="s">
        <v>130</v>
      </c>
      <c r="AP65" t="s">
        <v>41</v>
      </c>
      <c r="AX65" t="s">
        <v>49</v>
      </c>
      <c r="BD65" t="s">
        <v>55</v>
      </c>
      <c r="BF65" t="s">
        <v>57</v>
      </c>
      <c r="CK65" t="s">
        <v>88</v>
      </c>
    </row>
    <row r="66" spans="1:89" x14ac:dyDescent="0.2">
      <c r="A66" t="s">
        <v>113</v>
      </c>
      <c r="B66" t="s">
        <v>471</v>
      </c>
      <c r="C66" t="s">
        <v>472</v>
      </c>
      <c r="D66" t="s">
        <v>172</v>
      </c>
      <c r="E66" t="s">
        <v>187</v>
      </c>
      <c r="F66" t="s">
        <v>118</v>
      </c>
      <c r="G66" t="str">
        <f>HYPERLINK("https://vk.com/wall-27863223_292619?reply=292641")</f>
        <v>https://vk.com/wall-27863223_292619?reply=292641</v>
      </c>
      <c r="H66" t="s">
        <v>119</v>
      </c>
      <c r="I66" t="s">
        <v>473</v>
      </c>
      <c r="J66" t="str">
        <f>HYPERLINK("http://vk.com/id180305621")</f>
        <v>http://vk.com/id180305621</v>
      </c>
      <c r="K66">
        <v>2224</v>
      </c>
      <c r="L66" t="s">
        <v>151</v>
      </c>
      <c r="M66">
        <v>33</v>
      </c>
      <c r="N66" t="s">
        <v>122</v>
      </c>
      <c r="O66" t="s">
        <v>175</v>
      </c>
      <c r="P66" t="str">
        <f>HYPERLINK("http://vk.com/club27863223")</f>
        <v>http://vk.com/club27863223</v>
      </c>
      <c r="Q66">
        <v>134698</v>
      </c>
      <c r="R66" t="s">
        <v>124</v>
      </c>
      <c r="S66" t="s">
        <v>125</v>
      </c>
      <c r="T66" t="s">
        <v>189</v>
      </c>
      <c r="U66" t="s">
        <v>190</v>
      </c>
      <c r="W66">
        <v>0</v>
      </c>
      <c r="X66">
        <v>0</v>
      </c>
      <c r="AM66" t="s">
        <v>129</v>
      </c>
      <c r="AN66" t="s">
        <v>130</v>
      </c>
      <c r="AO66" t="s">
        <v>40</v>
      </c>
      <c r="AP66" t="s">
        <v>41</v>
      </c>
      <c r="AZ66" t="s">
        <v>51</v>
      </c>
      <c r="BA66" t="s">
        <v>52</v>
      </c>
    </row>
    <row r="67" spans="1:89" x14ac:dyDescent="0.2">
      <c r="A67" t="s">
        <v>113</v>
      </c>
      <c r="B67" t="s">
        <v>474</v>
      </c>
      <c r="C67" t="s">
        <v>475</v>
      </c>
      <c r="D67" t="s">
        <v>476</v>
      </c>
      <c r="E67" t="s">
        <v>477</v>
      </c>
      <c r="F67" t="s">
        <v>180</v>
      </c>
      <c r="G67" t="str">
        <f>HYPERLINK("https://www.ozon.ru/context/detail/id/261611432/#63401020")</f>
        <v>https://www.ozon.ru/context/detail/id/261611432/#63401020</v>
      </c>
      <c r="H67" t="s">
        <v>181</v>
      </c>
      <c r="I67" t="s">
        <v>478</v>
      </c>
      <c r="J67" t="str">
        <f>HYPERLINK("https://www.ozon.ru/context/client_opinion/ClientGuid/0b4d5f23-a8d6-4d79-8d01-8bf1dd088a15/")</f>
        <v>https://www.ozon.ru/context/client_opinion/ClientGuid/0b4d5f23-a8d6-4d79-8d01-8bf1dd088a15/</v>
      </c>
      <c r="L67" t="s">
        <v>151</v>
      </c>
      <c r="N67" t="s">
        <v>183</v>
      </c>
      <c r="O67" t="s">
        <v>476</v>
      </c>
      <c r="P67" t="str">
        <f>HYPERLINK("https://www.ozon.ru/context/detail/id/261611432/")</f>
        <v>https://www.ozon.ru/context/detail/id/261611432/</v>
      </c>
      <c r="R67" t="s">
        <v>184</v>
      </c>
      <c r="S67" t="s">
        <v>125</v>
      </c>
      <c r="W67">
        <v>0</v>
      </c>
      <c r="X67">
        <v>0</v>
      </c>
      <c r="AH67">
        <v>5</v>
      </c>
      <c r="AM67" t="s">
        <v>129</v>
      </c>
      <c r="AN67" t="s">
        <v>130</v>
      </c>
      <c r="AP67" t="s">
        <v>41</v>
      </c>
      <c r="AT67" t="s">
        <v>45</v>
      </c>
      <c r="AZ67" t="s">
        <v>51</v>
      </c>
      <c r="BA67" t="s">
        <v>52</v>
      </c>
    </row>
    <row r="68" spans="1:89" x14ac:dyDescent="0.2">
      <c r="A68" t="s">
        <v>113</v>
      </c>
      <c r="B68" t="s">
        <v>479</v>
      </c>
      <c r="C68" t="s">
        <v>480</v>
      </c>
      <c r="D68" t="s">
        <v>172</v>
      </c>
      <c r="E68" t="s">
        <v>187</v>
      </c>
      <c r="F68" t="s">
        <v>118</v>
      </c>
      <c r="G68" t="str">
        <f>HYPERLINK("https://vk.com/wall-27863223_292619?reply=292640")</f>
        <v>https://vk.com/wall-27863223_292619?reply=292640</v>
      </c>
      <c r="H68" t="s">
        <v>119</v>
      </c>
      <c r="I68" t="s">
        <v>481</v>
      </c>
      <c r="J68" t="str">
        <f>HYPERLINK("http://vk.com/id87292937")</f>
        <v>http://vk.com/id87292937</v>
      </c>
      <c r="K68">
        <v>379</v>
      </c>
      <c r="L68" t="s">
        <v>121</v>
      </c>
      <c r="N68" t="s">
        <v>122</v>
      </c>
      <c r="O68" t="s">
        <v>175</v>
      </c>
      <c r="P68" t="str">
        <f>HYPERLINK("http://vk.com/club27863223")</f>
        <v>http://vk.com/club27863223</v>
      </c>
      <c r="Q68">
        <v>134698</v>
      </c>
      <c r="R68" t="s">
        <v>124</v>
      </c>
      <c r="S68" t="s">
        <v>125</v>
      </c>
      <c r="T68" t="s">
        <v>264</v>
      </c>
      <c r="U68" t="s">
        <v>265</v>
      </c>
      <c r="W68">
        <v>0</v>
      </c>
      <c r="X68">
        <v>0</v>
      </c>
      <c r="AM68" t="s">
        <v>129</v>
      </c>
      <c r="AN68" t="s">
        <v>130</v>
      </c>
      <c r="AO68" t="s">
        <v>40</v>
      </c>
      <c r="AP68" t="s">
        <v>41</v>
      </c>
      <c r="AZ68" t="s">
        <v>51</v>
      </c>
      <c r="BA68" t="s">
        <v>52</v>
      </c>
    </row>
    <row r="69" spans="1:89" x14ac:dyDescent="0.2">
      <c r="A69" t="s">
        <v>113</v>
      </c>
      <c r="B69" t="s">
        <v>482</v>
      </c>
      <c r="C69" t="s">
        <v>483</v>
      </c>
      <c r="D69" t="s">
        <v>129</v>
      </c>
      <c r="E69" t="s">
        <v>484</v>
      </c>
      <c r="F69" t="s">
        <v>180</v>
      </c>
      <c r="G69" t="str">
        <f>HYPERLINK("https://vk.com/wall-53651951_291111")</f>
        <v>https://vk.com/wall-53651951_291111</v>
      </c>
      <c r="H69" t="s">
        <v>119</v>
      </c>
      <c r="I69" t="s">
        <v>485</v>
      </c>
      <c r="J69" t="str">
        <f>HYPERLINK("http://vk.com/id161589323")</f>
        <v>http://vk.com/id161589323</v>
      </c>
      <c r="K69">
        <v>801</v>
      </c>
      <c r="L69" t="s">
        <v>151</v>
      </c>
      <c r="N69" t="s">
        <v>122</v>
      </c>
      <c r="O69" t="s">
        <v>486</v>
      </c>
      <c r="P69" t="str">
        <f>HYPERLINK("http://vk.com/club53651951")</f>
        <v>http://vk.com/club53651951</v>
      </c>
      <c r="Q69">
        <v>22274</v>
      </c>
      <c r="R69" t="s">
        <v>124</v>
      </c>
      <c r="S69" t="s">
        <v>125</v>
      </c>
      <c r="T69" t="s">
        <v>487</v>
      </c>
      <c r="U69" t="s">
        <v>488</v>
      </c>
      <c r="W69">
        <v>0</v>
      </c>
      <c r="X69">
        <v>0</v>
      </c>
      <c r="AE69">
        <v>0</v>
      </c>
      <c r="AF69">
        <v>0</v>
      </c>
      <c r="AM69" t="s">
        <v>129</v>
      </c>
      <c r="AN69" t="s">
        <v>130</v>
      </c>
      <c r="AP69" t="s">
        <v>41</v>
      </c>
      <c r="AZ69" t="s">
        <v>51</v>
      </c>
      <c r="BA69" t="s">
        <v>52</v>
      </c>
      <c r="BL69" t="s">
        <v>63</v>
      </c>
    </row>
    <row r="70" spans="1:89" x14ac:dyDescent="0.2">
      <c r="A70" t="s">
        <v>113</v>
      </c>
      <c r="B70" t="s">
        <v>489</v>
      </c>
      <c r="C70" t="s">
        <v>490</v>
      </c>
      <c r="D70" t="s">
        <v>491</v>
      </c>
      <c r="E70" t="s">
        <v>492</v>
      </c>
      <c r="F70" t="s">
        <v>118</v>
      </c>
      <c r="G70" t="str">
        <f>HYPERLINK("https://vk.com/wall-186674927_12506?reply=12526")</f>
        <v>https://vk.com/wall-186674927_12506?reply=12526</v>
      </c>
      <c r="H70" t="s">
        <v>119</v>
      </c>
      <c r="I70" t="s">
        <v>493</v>
      </c>
      <c r="J70" t="str">
        <f>HYPERLINK("http://vk.com/id578514594")</f>
        <v>http://vk.com/id578514594</v>
      </c>
      <c r="K70">
        <v>117</v>
      </c>
      <c r="L70" t="s">
        <v>121</v>
      </c>
      <c r="M70">
        <v>25</v>
      </c>
      <c r="N70" t="s">
        <v>122</v>
      </c>
      <c r="O70" t="s">
        <v>358</v>
      </c>
      <c r="P70" t="str">
        <f>HYPERLINK("http://vk.com/club186674927")</f>
        <v>http://vk.com/club186674927</v>
      </c>
      <c r="Q70">
        <v>706</v>
      </c>
      <c r="R70" t="s">
        <v>124</v>
      </c>
      <c r="S70" t="s">
        <v>125</v>
      </c>
      <c r="T70" t="s">
        <v>494</v>
      </c>
      <c r="U70" t="s">
        <v>495</v>
      </c>
      <c r="AM70" t="s">
        <v>129</v>
      </c>
      <c r="AN70" t="s">
        <v>130</v>
      </c>
      <c r="AP70" t="s">
        <v>41</v>
      </c>
      <c r="AU70" t="s">
        <v>46</v>
      </c>
      <c r="AZ70" t="s">
        <v>51</v>
      </c>
      <c r="BA70" t="s">
        <v>52</v>
      </c>
    </row>
    <row r="71" spans="1:89" x14ac:dyDescent="0.2">
      <c r="A71" t="s">
        <v>113</v>
      </c>
      <c r="B71" t="s">
        <v>496</v>
      </c>
      <c r="C71" t="s">
        <v>497</v>
      </c>
      <c r="D71" t="s">
        <v>204</v>
      </c>
      <c r="E71" t="s">
        <v>498</v>
      </c>
      <c r="F71" t="s">
        <v>180</v>
      </c>
      <c r="G71" t="str">
        <f>HYPERLINK("https://play.google.com/store/apps/details?id=ru.iflex.android.a3colortv&amp;reviewId=gp:AOqpTOES9_PQWDi-2oVfQkPVTCam11B-0gGMPBaC0YWBT_GF2mHoT_bo0aDrgtE48v3HNXXCfXBabEz1N96kwQ")</f>
        <v>https://play.google.com/store/apps/details?id=ru.iflex.android.a3colortv&amp;reviewId=gp:AOqpTOES9_PQWDi-2oVfQkPVTCam11B-0gGMPBaC0YWBT_GF2mHoT_bo0aDrgtE48v3HNXXCfXBabEz1N96kwQ</v>
      </c>
      <c r="H71" t="s">
        <v>181</v>
      </c>
      <c r="I71" t="s">
        <v>499</v>
      </c>
      <c r="J71" t="str">
        <f>HYPERLINK("https://plus.google.com/116805220638039042998")</f>
        <v>https://plus.google.com/116805220638039042998</v>
      </c>
      <c r="L71" t="s">
        <v>121</v>
      </c>
      <c r="N71" t="s">
        <v>207</v>
      </c>
      <c r="O71" t="s">
        <v>204</v>
      </c>
      <c r="P71" t="str">
        <f>HYPERLINK("https://play.google.com/store/apps/details?id=ru.iflex.android.a3colortv&amp;hl=ru")</f>
        <v>https://play.google.com/store/apps/details?id=ru.iflex.android.a3colortv&amp;hl=ru</v>
      </c>
      <c r="R71" t="s">
        <v>184</v>
      </c>
      <c r="S71" t="s">
        <v>125</v>
      </c>
      <c r="W71">
        <v>0</v>
      </c>
      <c r="X71">
        <v>0</v>
      </c>
      <c r="AH71">
        <v>5</v>
      </c>
      <c r="AM71" t="s">
        <v>129</v>
      </c>
      <c r="AN71" t="s">
        <v>130</v>
      </c>
      <c r="AP71" t="s">
        <v>41</v>
      </c>
      <c r="AZ71" t="s">
        <v>51</v>
      </c>
      <c r="BA71" t="s">
        <v>52</v>
      </c>
      <c r="BQ71" t="s">
        <v>68</v>
      </c>
    </row>
    <row r="72" spans="1:89" x14ac:dyDescent="0.2">
      <c r="A72" t="s">
        <v>113</v>
      </c>
      <c r="B72" t="s">
        <v>500</v>
      </c>
      <c r="C72" t="s">
        <v>501</v>
      </c>
      <c r="D72" t="s">
        <v>502</v>
      </c>
      <c r="E72" t="s">
        <v>503</v>
      </c>
      <c r="F72" t="s">
        <v>118</v>
      </c>
      <c r="G72" t="str">
        <f>HYPERLINK("https://www.facebook.com/story.php?story_fbid=10223638153094971&amp;id=1625749207&amp;comment_id=10223642922974215")</f>
        <v>https://www.facebook.com/story.php?story_fbid=10223638153094971&amp;id=1625749207&amp;comment_id=10223642922974215</v>
      </c>
      <c r="H72" t="s">
        <v>119</v>
      </c>
      <c r="I72" t="s">
        <v>504</v>
      </c>
      <c r="J72" t="str">
        <f>HYPERLINK("https://www.facebook.com/100000698383458")</f>
        <v>https://www.facebook.com/100000698383458</v>
      </c>
      <c r="K72">
        <v>10</v>
      </c>
      <c r="L72" t="s">
        <v>121</v>
      </c>
      <c r="N72" t="s">
        <v>305</v>
      </c>
      <c r="O72" t="s">
        <v>505</v>
      </c>
      <c r="P72" t="str">
        <f>HYPERLINK("https://www.facebook.com/1625749207")</f>
        <v>https://www.facebook.com/1625749207</v>
      </c>
      <c r="Q72">
        <v>989</v>
      </c>
      <c r="R72" t="s">
        <v>124</v>
      </c>
      <c r="S72" t="s">
        <v>125</v>
      </c>
      <c r="T72" t="s">
        <v>169</v>
      </c>
      <c r="U72" t="s">
        <v>169</v>
      </c>
      <c r="W72">
        <v>0</v>
      </c>
      <c r="X72">
        <v>0</v>
      </c>
      <c r="AE72">
        <v>0</v>
      </c>
      <c r="AM72" t="s">
        <v>129</v>
      </c>
      <c r="AN72" t="s">
        <v>130</v>
      </c>
      <c r="AP72" t="s">
        <v>41</v>
      </c>
      <c r="AT72" t="s">
        <v>45</v>
      </c>
      <c r="AZ72" t="s">
        <v>51</v>
      </c>
      <c r="BA72" t="s">
        <v>52</v>
      </c>
    </row>
    <row r="73" spans="1:89" x14ac:dyDescent="0.2">
      <c r="A73" t="s">
        <v>113</v>
      </c>
      <c r="B73" t="s">
        <v>506</v>
      </c>
      <c r="C73" t="s">
        <v>507</v>
      </c>
      <c r="D73" t="s">
        <v>204</v>
      </c>
      <c r="E73" t="s">
        <v>508</v>
      </c>
      <c r="F73" t="s">
        <v>180</v>
      </c>
      <c r="G73" t="str">
        <f>HYPERLINK("https://play.google.com/store/apps/details?id=ru.iflex.android.a3colortv&amp;reviewId=gp:AOqpTOGmHjXbxS1MWeoUtGPrCJQG6NoZpxgqfv62loZhuyetDoBRJ-T6xvbn_3REtXyw4BJIkWiA9cdMW4K3fw")</f>
        <v>https://play.google.com/store/apps/details?id=ru.iflex.android.a3colortv&amp;reviewId=gp:AOqpTOGmHjXbxS1MWeoUtGPrCJQG6NoZpxgqfv62loZhuyetDoBRJ-T6xvbn_3REtXyw4BJIkWiA9cdMW4K3fw</v>
      </c>
      <c r="H73" t="s">
        <v>228</v>
      </c>
      <c r="I73" t="s">
        <v>509</v>
      </c>
      <c r="J73" t="str">
        <f>HYPERLINK("https://plus.google.com/106495222044266575251")</f>
        <v>https://plus.google.com/106495222044266575251</v>
      </c>
      <c r="L73" t="s">
        <v>121</v>
      </c>
      <c r="N73" t="s">
        <v>207</v>
      </c>
      <c r="O73" t="s">
        <v>204</v>
      </c>
      <c r="P73" t="str">
        <f>HYPERLINK("https://play.google.com/store/apps/details?id=ru.iflex.android.a3colortv&amp;hl=ru")</f>
        <v>https://play.google.com/store/apps/details?id=ru.iflex.android.a3colortv&amp;hl=ru</v>
      </c>
      <c r="R73" t="s">
        <v>184</v>
      </c>
      <c r="S73" t="s">
        <v>125</v>
      </c>
      <c r="W73">
        <v>0</v>
      </c>
      <c r="X73">
        <v>0</v>
      </c>
      <c r="AH73">
        <v>1</v>
      </c>
      <c r="AM73" t="s">
        <v>129</v>
      </c>
      <c r="AN73" t="s">
        <v>130</v>
      </c>
      <c r="AP73" t="s">
        <v>41</v>
      </c>
      <c r="AZ73" t="s">
        <v>51</v>
      </c>
      <c r="BA73" t="s">
        <v>52</v>
      </c>
      <c r="BQ73" t="s">
        <v>68</v>
      </c>
    </row>
    <row r="74" spans="1:89" x14ac:dyDescent="0.2">
      <c r="A74" t="s">
        <v>113</v>
      </c>
      <c r="B74" t="s">
        <v>510</v>
      </c>
      <c r="C74" t="s">
        <v>475</v>
      </c>
      <c r="D74" t="s">
        <v>476</v>
      </c>
      <c r="E74" t="s">
        <v>511</v>
      </c>
      <c r="F74" t="s">
        <v>180</v>
      </c>
      <c r="G74" t="str">
        <f>HYPERLINK("https://www.ozon.ru/context/detail/id/261611432/#63392063")</f>
        <v>https://www.ozon.ru/context/detail/id/261611432/#63392063</v>
      </c>
      <c r="H74" t="s">
        <v>119</v>
      </c>
      <c r="I74" t="s">
        <v>512</v>
      </c>
      <c r="J74" t="str">
        <f>HYPERLINK("https://www.ozon.ru/context/client_opinion/ClientGuid//")</f>
        <v>https://www.ozon.ru/context/client_opinion/ClientGuid//</v>
      </c>
      <c r="N74" t="s">
        <v>183</v>
      </c>
      <c r="O74" t="s">
        <v>476</v>
      </c>
      <c r="P74" t="str">
        <f>HYPERLINK("https://www.ozon.ru/context/detail/id/261611432/")</f>
        <v>https://www.ozon.ru/context/detail/id/261611432/</v>
      </c>
      <c r="R74" t="s">
        <v>184</v>
      </c>
      <c r="S74" t="s">
        <v>125</v>
      </c>
      <c r="W74">
        <v>0</v>
      </c>
      <c r="X74">
        <v>0</v>
      </c>
      <c r="AH74">
        <v>3</v>
      </c>
      <c r="AM74" t="s">
        <v>129</v>
      </c>
      <c r="AN74" t="s">
        <v>130</v>
      </c>
      <c r="AP74" t="s">
        <v>41</v>
      </c>
      <c r="AT74" t="s">
        <v>45</v>
      </c>
      <c r="AZ74" t="s">
        <v>51</v>
      </c>
      <c r="BA74" t="s">
        <v>52</v>
      </c>
    </row>
    <row r="75" spans="1:89" x14ac:dyDescent="0.2">
      <c r="A75" t="s">
        <v>113</v>
      </c>
      <c r="B75" t="s">
        <v>513</v>
      </c>
      <c r="C75" t="s">
        <v>514</v>
      </c>
      <c r="D75" t="s">
        <v>461</v>
      </c>
      <c r="E75" t="s">
        <v>515</v>
      </c>
      <c r="F75" t="s">
        <v>118</v>
      </c>
      <c r="G75" t="str">
        <f>HYPERLINK("https://vk.com/wall-127235930_457064?reply=457066")</f>
        <v>https://vk.com/wall-127235930_457064?reply=457066</v>
      </c>
      <c r="H75" t="s">
        <v>181</v>
      </c>
      <c r="I75" t="s">
        <v>516</v>
      </c>
      <c r="J75" t="str">
        <f>HYPERLINK("http://vk.com/id10778018")</f>
        <v>http://vk.com/id10778018</v>
      </c>
      <c r="K75">
        <v>1596</v>
      </c>
      <c r="L75" t="s">
        <v>151</v>
      </c>
      <c r="M75">
        <v>30</v>
      </c>
      <c r="N75" t="s">
        <v>122</v>
      </c>
      <c r="O75" t="s">
        <v>464</v>
      </c>
      <c r="P75" t="str">
        <f>HYPERLINK("http://vk.com/club127235930")</f>
        <v>http://vk.com/club127235930</v>
      </c>
      <c r="Q75">
        <v>6342</v>
      </c>
      <c r="R75" t="s">
        <v>124</v>
      </c>
      <c r="S75" t="s">
        <v>125</v>
      </c>
      <c r="T75" t="s">
        <v>153</v>
      </c>
      <c r="U75" t="s">
        <v>517</v>
      </c>
      <c r="AM75" t="s">
        <v>129</v>
      </c>
      <c r="AN75" t="s">
        <v>130</v>
      </c>
      <c r="AP75" t="s">
        <v>41</v>
      </c>
      <c r="AZ75" t="s">
        <v>51</v>
      </c>
      <c r="BA75" t="s">
        <v>52</v>
      </c>
      <c r="BM75" t="s">
        <v>64</v>
      </c>
    </row>
    <row r="76" spans="1:89" x14ac:dyDescent="0.2">
      <c r="A76" t="s">
        <v>113</v>
      </c>
      <c r="B76" t="s">
        <v>518</v>
      </c>
      <c r="C76" t="s">
        <v>514</v>
      </c>
      <c r="D76" t="s">
        <v>519</v>
      </c>
      <c r="E76" t="s">
        <v>520</v>
      </c>
      <c r="F76" t="s">
        <v>118</v>
      </c>
      <c r="G76" t="str">
        <f>HYPERLINK("https://vk.com/wall-98113551_15706?reply=15707")</f>
        <v>https://vk.com/wall-98113551_15706?reply=15707</v>
      </c>
      <c r="H76" t="s">
        <v>181</v>
      </c>
      <c r="I76" t="s">
        <v>521</v>
      </c>
      <c r="J76" t="str">
        <f>HYPERLINK("http://vk.com/id149153255")</f>
        <v>http://vk.com/id149153255</v>
      </c>
      <c r="K76">
        <v>57</v>
      </c>
      <c r="L76" t="s">
        <v>121</v>
      </c>
      <c r="N76" t="s">
        <v>122</v>
      </c>
      <c r="O76" t="s">
        <v>522</v>
      </c>
      <c r="P76" t="str">
        <f>HYPERLINK("http://vk.com/club98113551")</f>
        <v>http://vk.com/club98113551</v>
      </c>
      <c r="Q76">
        <v>974</v>
      </c>
      <c r="R76" t="s">
        <v>124</v>
      </c>
      <c r="S76" t="s">
        <v>125</v>
      </c>
      <c r="T76" t="s">
        <v>523</v>
      </c>
      <c r="U76" t="s">
        <v>524</v>
      </c>
      <c r="AM76" t="s">
        <v>129</v>
      </c>
      <c r="AN76" t="s">
        <v>130</v>
      </c>
      <c r="AP76" t="s">
        <v>41</v>
      </c>
      <c r="AU76" t="s">
        <v>46</v>
      </c>
      <c r="AZ76" t="s">
        <v>51</v>
      </c>
      <c r="BA76" t="s">
        <v>52</v>
      </c>
    </row>
    <row r="77" spans="1:89" x14ac:dyDescent="0.2">
      <c r="A77" t="s">
        <v>113</v>
      </c>
      <c r="B77" t="s">
        <v>518</v>
      </c>
      <c r="C77" t="s">
        <v>480</v>
      </c>
      <c r="D77" t="s">
        <v>172</v>
      </c>
      <c r="E77" t="s">
        <v>187</v>
      </c>
      <c r="F77" t="s">
        <v>118</v>
      </c>
      <c r="G77" t="str">
        <f>HYPERLINK("https://vk.com/wall-27863223_292619?reply=292639")</f>
        <v>https://vk.com/wall-27863223_292619?reply=292639</v>
      </c>
      <c r="H77" t="s">
        <v>119</v>
      </c>
      <c r="I77" t="s">
        <v>525</v>
      </c>
      <c r="J77" t="str">
        <f>HYPERLINK("http://vk.com/id484909361")</f>
        <v>http://vk.com/id484909361</v>
      </c>
      <c r="K77">
        <v>185</v>
      </c>
      <c r="L77" t="s">
        <v>151</v>
      </c>
      <c r="M77">
        <v>24</v>
      </c>
      <c r="N77" t="s">
        <v>122</v>
      </c>
      <c r="O77" t="s">
        <v>175</v>
      </c>
      <c r="P77" t="str">
        <f>HYPERLINK("http://vk.com/club27863223")</f>
        <v>http://vk.com/club27863223</v>
      </c>
      <c r="Q77">
        <v>134698</v>
      </c>
      <c r="R77" t="s">
        <v>124</v>
      </c>
      <c r="S77" t="s">
        <v>125</v>
      </c>
      <c r="W77">
        <v>0</v>
      </c>
      <c r="X77">
        <v>0</v>
      </c>
      <c r="AM77" t="s">
        <v>129</v>
      </c>
      <c r="AN77" t="s">
        <v>130</v>
      </c>
      <c r="AO77" t="s">
        <v>40</v>
      </c>
      <c r="AP77" t="s">
        <v>41</v>
      </c>
      <c r="AZ77" t="s">
        <v>51</v>
      </c>
      <c r="BA77" t="s">
        <v>52</v>
      </c>
    </row>
    <row r="78" spans="1:89" x14ac:dyDescent="0.2">
      <c r="A78" t="s">
        <v>113</v>
      </c>
      <c r="B78" t="s">
        <v>526</v>
      </c>
      <c r="C78" t="s">
        <v>527</v>
      </c>
      <c r="D78" t="s">
        <v>172</v>
      </c>
      <c r="E78" t="s">
        <v>187</v>
      </c>
      <c r="F78" t="s">
        <v>118</v>
      </c>
      <c r="G78" t="str">
        <f>HYPERLINK("https://vk.com/wall-27863223_292619?reply=292638")</f>
        <v>https://vk.com/wall-27863223_292619?reply=292638</v>
      </c>
      <c r="H78" t="s">
        <v>119</v>
      </c>
      <c r="I78" t="s">
        <v>528</v>
      </c>
      <c r="J78" t="str">
        <f>HYPERLINK("http://vk.com/id141385246")</f>
        <v>http://vk.com/id141385246</v>
      </c>
      <c r="K78">
        <v>1708</v>
      </c>
      <c r="N78" t="s">
        <v>122</v>
      </c>
      <c r="O78" t="s">
        <v>175</v>
      </c>
      <c r="P78" t="str">
        <f>HYPERLINK("http://vk.com/club27863223")</f>
        <v>http://vk.com/club27863223</v>
      </c>
      <c r="Q78">
        <v>134698</v>
      </c>
      <c r="R78" t="s">
        <v>124</v>
      </c>
      <c r="S78" t="s">
        <v>125</v>
      </c>
      <c r="W78">
        <v>0</v>
      </c>
      <c r="X78">
        <v>0</v>
      </c>
      <c r="AM78" t="s">
        <v>129</v>
      </c>
      <c r="AN78" t="s">
        <v>130</v>
      </c>
      <c r="AO78" t="s">
        <v>40</v>
      </c>
      <c r="AP78" t="s">
        <v>41</v>
      </c>
      <c r="AZ78" t="s">
        <v>51</v>
      </c>
      <c r="BA78" t="s">
        <v>52</v>
      </c>
    </row>
    <row r="79" spans="1:89" x14ac:dyDescent="0.2">
      <c r="A79" t="s">
        <v>113</v>
      </c>
      <c r="B79" t="s">
        <v>529</v>
      </c>
      <c r="C79" t="s">
        <v>530</v>
      </c>
      <c r="D79" t="s">
        <v>531</v>
      </c>
      <c r="E79" t="s">
        <v>532</v>
      </c>
      <c r="F79" t="s">
        <v>180</v>
      </c>
      <c r="G79" t="str">
        <f>HYPERLINK("https://www.wildberries.ru/catalog/13884511/detail.aspx?targetUrl=ES#Comments")</f>
        <v>https://www.wildberries.ru/catalog/13884511/detail.aspx?targetUrl=ES#Comments</v>
      </c>
      <c r="H79" t="s">
        <v>181</v>
      </c>
      <c r="I79" t="s">
        <v>533</v>
      </c>
      <c r="J79" t="str">
        <f>HYPERLINK("https://www.wildberries.ru/profile/w7TDssOkw7PCu8K0wrLCuMK1wrPCssK4wrM=")</f>
        <v>https://www.wildberries.ru/profile/w7TDssOkw7PCu8K0wrLCuMK1wrPCssK4wrM=</v>
      </c>
      <c r="L79" t="s">
        <v>151</v>
      </c>
      <c r="N79" t="s">
        <v>534</v>
      </c>
      <c r="O79" t="s">
        <v>531</v>
      </c>
      <c r="P79" t="str">
        <f>HYPERLINK("https://www.wildberries.ru/catalog/10388939/detail.aspx")</f>
        <v>https://www.wildberries.ru/catalog/10388939/detail.aspx</v>
      </c>
      <c r="R79" t="s">
        <v>184</v>
      </c>
      <c r="S79" t="s">
        <v>125</v>
      </c>
      <c r="W79">
        <v>0</v>
      </c>
      <c r="X79">
        <v>0</v>
      </c>
      <c r="AH79">
        <v>5</v>
      </c>
      <c r="AM79" t="s">
        <v>129</v>
      </c>
      <c r="AN79" t="s">
        <v>130</v>
      </c>
      <c r="AP79" t="s">
        <v>41</v>
      </c>
      <c r="AZ79" t="s">
        <v>51</v>
      </c>
      <c r="BA79" t="s">
        <v>52</v>
      </c>
      <c r="BK79" t="s">
        <v>62</v>
      </c>
    </row>
    <row r="80" spans="1:89" x14ac:dyDescent="0.2">
      <c r="A80" t="s">
        <v>113</v>
      </c>
      <c r="B80" t="s">
        <v>535</v>
      </c>
      <c r="C80" t="s">
        <v>536</v>
      </c>
      <c r="D80" t="s">
        <v>537</v>
      </c>
      <c r="E80" t="s">
        <v>538</v>
      </c>
      <c r="F80" t="s">
        <v>118</v>
      </c>
      <c r="G80" t="str">
        <f>HYPERLINK("https://www.youtube.com/watch?v=NWJ67U2LEH8&amp;lc=UgweQoWlFvWANt98OSZ4AaABAg")</f>
        <v>https://www.youtube.com/watch?v=NWJ67U2LEH8&amp;lc=UgweQoWlFvWANt98OSZ4AaABAg</v>
      </c>
      <c r="H80" t="s">
        <v>119</v>
      </c>
      <c r="I80" t="s">
        <v>539</v>
      </c>
      <c r="J80" t="str">
        <f>HYPERLINK("https://www.youtube.com/channel/UC0WeNcHXbc3yL1XPVdS_PCw")</f>
        <v>https://www.youtube.com/channel/UC0WeNcHXbc3yL1XPVdS_PCw</v>
      </c>
      <c r="K80">
        <v>0</v>
      </c>
      <c r="L80" t="s">
        <v>121</v>
      </c>
      <c r="N80" t="s">
        <v>248</v>
      </c>
      <c r="O80" t="s">
        <v>540</v>
      </c>
      <c r="P80" t="str">
        <f>HYPERLINK("https://www.youtube.com/channel/UCt_WsZeIywCAwGx25VmJzOQ")</f>
        <v>https://www.youtube.com/channel/UCt_WsZeIywCAwGx25VmJzOQ</v>
      </c>
      <c r="Q80">
        <v>394</v>
      </c>
      <c r="R80" t="s">
        <v>124</v>
      </c>
      <c r="S80" t="s">
        <v>125</v>
      </c>
      <c r="W80">
        <v>0</v>
      </c>
      <c r="X80">
        <v>0</v>
      </c>
      <c r="AE80">
        <v>1</v>
      </c>
      <c r="AM80" t="s">
        <v>129</v>
      </c>
      <c r="AN80" t="s">
        <v>130</v>
      </c>
      <c r="AP80" t="s">
        <v>41</v>
      </c>
      <c r="AZ80" t="s">
        <v>51</v>
      </c>
      <c r="BA80" t="s">
        <v>52</v>
      </c>
      <c r="BL80" t="s">
        <v>63</v>
      </c>
    </row>
    <row r="81" spans="1:69" x14ac:dyDescent="0.2">
      <c r="A81" t="s">
        <v>113</v>
      </c>
      <c r="B81" t="s">
        <v>541</v>
      </c>
      <c r="C81" t="s">
        <v>542</v>
      </c>
      <c r="D81" t="s">
        <v>204</v>
      </c>
      <c r="E81" t="s">
        <v>543</v>
      </c>
      <c r="F81" t="s">
        <v>180</v>
      </c>
      <c r="G81" t="str">
        <f>HYPERLINK("https://play.google.com/store/apps/details?id=ru.iflex.android.a3colortv&amp;reviewId=gp:AOqpTOFRlGjhz2WjB2QBr6WglMcfDwoNZGQ-D6J_YzIPEAGlNekea1XO2cZ5B0GO1MFpV6DI9gZZgh1_ZKXjlw")</f>
        <v>https://play.google.com/store/apps/details?id=ru.iflex.android.a3colortv&amp;reviewId=gp:AOqpTOFRlGjhz2WjB2QBr6WglMcfDwoNZGQ-D6J_YzIPEAGlNekea1XO2cZ5B0GO1MFpV6DI9gZZgh1_ZKXjlw</v>
      </c>
      <c r="H81" t="s">
        <v>181</v>
      </c>
      <c r="I81" t="s">
        <v>544</v>
      </c>
      <c r="J81" t="str">
        <f>HYPERLINK("https://plus.google.com/104633485087447164931")</f>
        <v>https://plus.google.com/104633485087447164931</v>
      </c>
      <c r="K81">
        <v>1</v>
      </c>
      <c r="L81" t="s">
        <v>121</v>
      </c>
      <c r="N81" t="s">
        <v>207</v>
      </c>
      <c r="O81" t="s">
        <v>204</v>
      </c>
      <c r="P81" t="str">
        <f>HYPERLINK("https://play.google.com/store/apps/details?id=ru.iflex.android.a3colortv&amp;hl=ru")</f>
        <v>https://play.google.com/store/apps/details?id=ru.iflex.android.a3colortv&amp;hl=ru</v>
      </c>
      <c r="R81" t="s">
        <v>184</v>
      </c>
      <c r="S81" t="s">
        <v>125</v>
      </c>
      <c r="W81">
        <v>0</v>
      </c>
      <c r="X81">
        <v>0</v>
      </c>
      <c r="AH81">
        <v>5</v>
      </c>
      <c r="AM81" t="s">
        <v>129</v>
      </c>
      <c r="AN81" t="s">
        <v>130</v>
      </c>
      <c r="AP81" t="s">
        <v>41</v>
      </c>
      <c r="AZ81" t="s">
        <v>51</v>
      </c>
      <c r="BA81" t="s">
        <v>52</v>
      </c>
      <c r="BQ81" t="s">
        <v>68</v>
      </c>
    </row>
    <row r="82" spans="1:69" x14ac:dyDescent="0.2">
      <c r="A82" t="s">
        <v>113</v>
      </c>
      <c r="B82" t="s">
        <v>545</v>
      </c>
      <c r="C82" t="s">
        <v>546</v>
      </c>
      <c r="D82" t="s">
        <v>547</v>
      </c>
      <c r="E82" t="s">
        <v>548</v>
      </c>
      <c r="F82" t="s">
        <v>118</v>
      </c>
      <c r="G82" t="str">
        <f>HYPERLINK("https://vk.com/topic-204351896_47766891?post=143")</f>
        <v>https://vk.com/topic-204351896_47766891?post=143</v>
      </c>
      <c r="H82" t="s">
        <v>119</v>
      </c>
      <c r="I82" t="s">
        <v>549</v>
      </c>
      <c r="J82" t="str">
        <f>HYPERLINK("http://vk.com/id9850745")</f>
        <v>http://vk.com/id9850745</v>
      </c>
      <c r="K82">
        <v>70</v>
      </c>
      <c r="L82" t="s">
        <v>121</v>
      </c>
      <c r="M82">
        <v>42</v>
      </c>
      <c r="N82" t="s">
        <v>122</v>
      </c>
      <c r="O82" t="s">
        <v>359</v>
      </c>
      <c r="P82" t="str">
        <f>HYPERLINK("http://vk.com/club204351896")</f>
        <v>http://vk.com/club204351896</v>
      </c>
      <c r="Q82">
        <v>272</v>
      </c>
      <c r="R82" t="s">
        <v>124</v>
      </c>
      <c r="S82" t="s">
        <v>125</v>
      </c>
      <c r="AM82" t="s">
        <v>129</v>
      </c>
      <c r="AN82" t="s">
        <v>130</v>
      </c>
      <c r="AP82" t="s">
        <v>41</v>
      </c>
      <c r="AU82" t="s">
        <v>46</v>
      </c>
      <c r="AZ82" t="s">
        <v>51</v>
      </c>
      <c r="BA82" t="s">
        <v>52</v>
      </c>
      <c r="BL82" t="s">
        <v>63</v>
      </c>
    </row>
    <row r="83" spans="1:69" x14ac:dyDescent="0.2">
      <c r="A83" t="s">
        <v>113</v>
      </c>
      <c r="B83" t="s">
        <v>550</v>
      </c>
      <c r="C83" t="s">
        <v>551</v>
      </c>
      <c r="D83" t="s">
        <v>547</v>
      </c>
      <c r="E83" t="s">
        <v>552</v>
      </c>
      <c r="F83" t="s">
        <v>118</v>
      </c>
      <c r="G83" t="str">
        <f>HYPERLINK("https://vk.com/topic-204351896_47766891?post=142")</f>
        <v>https://vk.com/topic-204351896_47766891?post=142</v>
      </c>
      <c r="H83" t="s">
        <v>181</v>
      </c>
      <c r="I83" t="s">
        <v>549</v>
      </c>
      <c r="J83" t="str">
        <f>HYPERLINK("http://vk.com/id9850745")</f>
        <v>http://vk.com/id9850745</v>
      </c>
      <c r="K83">
        <v>70</v>
      </c>
      <c r="L83" t="s">
        <v>121</v>
      </c>
      <c r="M83">
        <v>42</v>
      </c>
      <c r="N83" t="s">
        <v>122</v>
      </c>
      <c r="O83" t="s">
        <v>359</v>
      </c>
      <c r="P83" t="str">
        <f>HYPERLINK("http://vk.com/club204351896")</f>
        <v>http://vk.com/club204351896</v>
      </c>
      <c r="Q83">
        <v>272</v>
      </c>
      <c r="R83" t="s">
        <v>124</v>
      </c>
      <c r="S83" t="s">
        <v>125</v>
      </c>
      <c r="AM83" t="s">
        <v>129</v>
      </c>
      <c r="AN83" t="s">
        <v>130</v>
      </c>
      <c r="AP83" t="s">
        <v>41</v>
      </c>
      <c r="AU83" t="s">
        <v>46</v>
      </c>
      <c r="AZ83" t="s">
        <v>51</v>
      </c>
      <c r="BA83" t="s">
        <v>52</v>
      </c>
    </row>
    <row r="84" spans="1:69" x14ac:dyDescent="0.2">
      <c r="A84" t="s">
        <v>113</v>
      </c>
      <c r="B84" t="s">
        <v>553</v>
      </c>
      <c r="C84" t="s">
        <v>542</v>
      </c>
      <c r="D84" t="s">
        <v>172</v>
      </c>
      <c r="E84" t="s">
        <v>187</v>
      </c>
      <c r="F84" t="s">
        <v>118</v>
      </c>
      <c r="G84" t="str">
        <f>HYPERLINK("https://vk.com/wall-27863223_292619?reply=292637")</f>
        <v>https://vk.com/wall-27863223_292619?reply=292637</v>
      </c>
      <c r="H84" t="s">
        <v>119</v>
      </c>
      <c r="I84" t="s">
        <v>554</v>
      </c>
      <c r="J84" t="str">
        <f>HYPERLINK("http://vk.com/id141852871")</f>
        <v>http://vk.com/id141852871</v>
      </c>
      <c r="K84">
        <v>210</v>
      </c>
      <c r="L84" t="s">
        <v>151</v>
      </c>
      <c r="M84">
        <v>36</v>
      </c>
      <c r="N84" t="s">
        <v>122</v>
      </c>
      <c r="O84" t="s">
        <v>175</v>
      </c>
      <c r="P84" t="str">
        <f>HYPERLINK("http://vk.com/club27863223")</f>
        <v>http://vk.com/club27863223</v>
      </c>
      <c r="Q84">
        <v>134698</v>
      </c>
      <c r="R84" t="s">
        <v>124</v>
      </c>
      <c r="S84" t="s">
        <v>125</v>
      </c>
      <c r="T84" t="s">
        <v>153</v>
      </c>
      <c r="U84" t="s">
        <v>555</v>
      </c>
      <c r="W84">
        <v>0</v>
      </c>
      <c r="X84">
        <v>0</v>
      </c>
      <c r="AM84" t="s">
        <v>129</v>
      </c>
      <c r="AN84" t="s">
        <v>130</v>
      </c>
      <c r="AO84" t="s">
        <v>40</v>
      </c>
      <c r="AP84" t="s">
        <v>41</v>
      </c>
      <c r="AZ84" t="s">
        <v>51</v>
      </c>
      <c r="BA84" t="s">
        <v>52</v>
      </c>
    </row>
    <row r="85" spans="1:69" x14ac:dyDescent="0.2">
      <c r="A85" t="s">
        <v>113</v>
      </c>
      <c r="B85" t="s">
        <v>556</v>
      </c>
      <c r="C85" t="s">
        <v>557</v>
      </c>
      <c r="D85" t="s">
        <v>547</v>
      </c>
      <c r="E85" t="s">
        <v>558</v>
      </c>
      <c r="F85" t="s">
        <v>118</v>
      </c>
      <c r="G85" t="str">
        <f>HYPERLINK("https://vk.com/topic-204351896_47766891?post=139")</f>
        <v>https://vk.com/topic-204351896_47766891?post=139</v>
      </c>
      <c r="H85" t="s">
        <v>119</v>
      </c>
      <c r="I85" t="s">
        <v>549</v>
      </c>
      <c r="J85" t="str">
        <f>HYPERLINK("http://vk.com/id9850745")</f>
        <v>http://vk.com/id9850745</v>
      </c>
      <c r="K85">
        <v>70</v>
      </c>
      <c r="L85" t="s">
        <v>121</v>
      </c>
      <c r="M85">
        <v>42</v>
      </c>
      <c r="N85" t="s">
        <v>122</v>
      </c>
      <c r="O85" t="s">
        <v>359</v>
      </c>
      <c r="P85" t="str">
        <f>HYPERLINK("http://vk.com/club204351896")</f>
        <v>http://vk.com/club204351896</v>
      </c>
      <c r="Q85">
        <v>272</v>
      </c>
      <c r="R85" t="s">
        <v>124</v>
      </c>
      <c r="S85" t="s">
        <v>125</v>
      </c>
      <c r="AM85" t="s">
        <v>129</v>
      </c>
      <c r="AN85" t="s">
        <v>130</v>
      </c>
      <c r="AP85" t="s">
        <v>41</v>
      </c>
      <c r="AU85" t="s">
        <v>46</v>
      </c>
      <c r="AZ85" t="s">
        <v>51</v>
      </c>
      <c r="BA85" t="s">
        <v>52</v>
      </c>
    </row>
    <row r="86" spans="1:69" x14ac:dyDescent="0.2">
      <c r="A86" t="s">
        <v>113</v>
      </c>
      <c r="B86" t="s">
        <v>559</v>
      </c>
      <c r="C86" t="s">
        <v>560</v>
      </c>
      <c r="D86" t="s">
        <v>215</v>
      </c>
      <c r="E86" t="s">
        <v>216</v>
      </c>
      <c r="F86" t="s">
        <v>118</v>
      </c>
      <c r="G86" t="str">
        <f>HYPERLINK("https://vk.com/wall-27863223_292439?reply=292636")</f>
        <v>https://vk.com/wall-27863223_292439?reply=292636</v>
      </c>
      <c r="H86" t="s">
        <v>119</v>
      </c>
      <c r="I86" t="s">
        <v>561</v>
      </c>
      <c r="J86" t="str">
        <f>HYPERLINK("http://vk.com/id218133859")</f>
        <v>http://vk.com/id218133859</v>
      </c>
      <c r="K86">
        <v>269</v>
      </c>
      <c r="L86" t="s">
        <v>121</v>
      </c>
      <c r="N86" t="s">
        <v>122</v>
      </c>
      <c r="O86" t="s">
        <v>175</v>
      </c>
      <c r="P86" t="str">
        <f>HYPERLINK("http://vk.com/club27863223")</f>
        <v>http://vk.com/club27863223</v>
      </c>
      <c r="Q86">
        <v>134698</v>
      </c>
      <c r="R86" t="s">
        <v>124</v>
      </c>
      <c r="S86" t="s">
        <v>125</v>
      </c>
      <c r="T86" t="s">
        <v>212</v>
      </c>
      <c r="U86" t="s">
        <v>213</v>
      </c>
      <c r="W86">
        <v>0</v>
      </c>
      <c r="X86">
        <v>0</v>
      </c>
      <c r="AM86" t="s">
        <v>129</v>
      </c>
      <c r="AN86" t="s">
        <v>130</v>
      </c>
      <c r="AO86" t="s">
        <v>40</v>
      </c>
      <c r="AP86" t="s">
        <v>41</v>
      </c>
      <c r="AZ86" t="s">
        <v>51</v>
      </c>
      <c r="BA86" t="s">
        <v>52</v>
      </c>
    </row>
    <row r="87" spans="1:69" x14ac:dyDescent="0.2">
      <c r="A87" t="s">
        <v>113</v>
      </c>
      <c r="B87" t="s">
        <v>562</v>
      </c>
      <c r="C87" t="s">
        <v>560</v>
      </c>
      <c r="D87" t="s">
        <v>157</v>
      </c>
      <c r="E87" t="s">
        <v>563</v>
      </c>
      <c r="F87" t="s">
        <v>118</v>
      </c>
      <c r="G87" t="str">
        <f>HYPERLINK("https://vk.com/wall-61101621_254888?reply=254889")</f>
        <v>https://vk.com/wall-61101621_254888?reply=254889</v>
      </c>
      <c r="H87" t="s">
        <v>228</v>
      </c>
      <c r="I87" t="s">
        <v>564</v>
      </c>
      <c r="J87" t="str">
        <f>HYPERLINK("http://vk.com/id362607601")</f>
        <v>http://vk.com/id362607601</v>
      </c>
      <c r="K87">
        <v>266</v>
      </c>
      <c r="L87" t="s">
        <v>121</v>
      </c>
      <c r="N87" t="s">
        <v>122</v>
      </c>
      <c r="O87" t="s">
        <v>160</v>
      </c>
      <c r="P87" t="str">
        <f>HYPERLINK("http://vk.com/club61101621")</f>
        <v>http://vk.com/club61101621</v>
      </c>
      <c r="Q87">
        <v>21119</v>
      </c>
      <c r="R87" t="s">
        <v>124</v>
      </c>
      <c r="S87" t="s">
        <v>125</v>
      </c>
      <c r="T87" t="s">
        <v>169</v>
      </c>
      <c r="U87" t="s">
        <v>169</v>
      </c>
      <c r="W87">
        <v>0</v>
      </c>
      <c r="X87">
        <v>0</v>
      </c>
      <c r="AM87" t="s">
        <v>129</v>
      </c>
      <c r="AN87" t="s">
        <v>130</v>
      </c>
      <c r="AP87" t="s">
        <v>41</v>
      </c>
      <c r="AU87" t="s">
        <v>46</v>
      </c>
      <c r="AY87" t="s">
        <v>50</v>
      </c>
      <c r="AZ87" t="s">
        <v>51</v>
      </c>
      <c r="BA87" t="s">
        <v>52</v>
      </c>
      <c r="BL87" t="s">
        <v>63</v>
      </c>
    </row>
    <row r="88" spans="1:69" x14ac:dyDescent="0.2">
      <c r="A88" t="s">
        <v>113</v>
      </c>
      <c r="B88" t="s">
        <v>565</v>
      </c>
      <c r="C88" t="s">
        <v>566</v>
      </c>
      <c r="D88" t="s">
        <v>567</v>
      </c>
      <c r="E88" t="s">
        <v>568</v>
      </c>
      <c r="F88" t="s">
        <v>118</v>
      </c>
      <c r="G88" t="str">
        <f>HYPERLINK("https://vk.com/topic-27863223_35936941?post=116042")</f>
        <v>https://vk.com/topic-27863223_35936941?post=116042</v>
      </c>
      <c r="H88" t="s">
        <v>119</v>
      </c>
      <c r="I88" t="s">
        <v>569</v>
      </c>
      <c r="J88" t="str">
        <f>HYPERLINK("http://vk.com/id8456968")</f>
        <v>http://vk.com/id8456968</v>
      </c>
      <c r="K88">
        <v>934</v>
      </c>
      <c r="L88" t="s">
        <v>151</v>
      </c>
      <c r="M88">
        <v>33</v>
      </c>
      <c r="N88" t="s">
        <v>122</v>
      </c>
      <c r="O88" t="s">
        <v>175</v>
      </c>
      <c r="P88" t="str">
        <f>HYPERLINK("http://vk.com/club27863223")</f>
        <v>http://vk.com/club27863223</v>
      </c>
      <c r="Q88">
        <v>134698</v>
      </c>
      <c r="R88" t="s">
        <v>124</v>
      </c>
      <c r="S88" t="s">
        <v>125</v>
      </c>
      <c r="T88" t="s">
        <v>570</v>
      </c>
      <c r="U88" t="s">
        <v>571</v>
      </c>
      <c r="AM88" t="s">
        <v>129</v>
      </c>
      <c r="AN88" t="s">
        <v>130</v>
      </c>
      <c r="AP88" t="s">
        <v>41</v>
      </c>
      <c r="AU88" t="s">
        <v>46</v>
      </c>
      <c r="AY88" t="s">
        <v>50</v>
      </c>
      <c r="BA88" t="s">
        <v>52</v>
      </c>
      <c r="BE88" t="s">
        <v>56</v>
      </c>
    </row>
    <row r="89" spans="1:69" x14ac:dyDescent="0.2">
      <c r="A89" t="s">
        <v>113</v>
      </c>
      <c r="B89" t="s">
        <v>572</v>
      </c>
      <c r="C89" t="s">
        <v>573</v>
      </c>
      <c r="D89" t="s">
        <v>129</v>
      </c>
      <c r="E89" t="s">
        <v>574</v>
      </c>
      <c r="F89" t="s">
        <v>180</v>
      </c>
      <c r="G89" t="str">
        <f>HYPERLINK("https://vk.com/wall-158328996_61378")</f>
        <v>https://vk.com/wall-158328996_61378</v>
      </c>
      <c r="H89" t="s">
        <v>228</v>
      </c>
      <c r="I89" t="s">
        <v>575</v>
      </c>
      <c r="J89" t="str">
        <f>HYPERLINK("http://vk.com/id203160868")</f>
        <v>http://vk.com/id203160868</v>
      </c>
      <c r="K89">
        <v>73</v>
      </c>
      <c r="L89" t="s">
        <v>121</v>
      </c>
      <c r="M89">
        <v>71</v>
      </c>
      <c r="N89" t="s">
        <v>122</v>
      </c>
      <c r="O89" t="s">
        <v>576</v>
      </c>
      <c r="P89" t="str">
        <f>HYPERLINK("http://vk.com/club158328996")</f>
        <v>http://vk.com/club158328996</v>
      </c>
      <c r="Q89">
        <v>3803</v>
      </c>
      <c r="R89" t="s">
        <v>124</v>
      </c>
      <c r="S89" t="s">
        <v>125</v>
      </c>
      <c r="W89">
        <v>0</v>
      </c>
      <c r="X89">
        <v>0</v>
      </c>
      <c r="AE89">
        <v>6</v>
      </c>
      <c r="AF89">
        <v>0</v>
      </c>
      <c r="AG89">
        <v>371</v>
      </c>
      <c r="AM89" t="s">
        <v>129</v>
      </c>
      <c r="AN89" t="s">
        <v>130</v>
      </c>
      <c r="AP89" t="s">
        <v>41</v>
      </c>
      <c r="AW89" t="s">
        <v>48</v>
      </c>
      <c r="AZ89" t="s">
        <v>51</v>
      </c>
      <c r="BA89" t="s">
        <v>52</v>
      </c>
    </row>
    <row r="90" spans="1:69" x14ac:dyDescent="0.2">
      <c r="A90" t="s">
        <v>113</v>
      </c>
      <c r="B90" t="s">
        <v>577</v>
      </c>
      <c r="C90" t="s">
        <v>578</v>
      </c>
      <c r="D90" t="s">
        <v>567</v>
      </c>
      <c r="E90" t="s">
        <v>579</v>
      </c>
      <c r="F90" t="s">
        <v>118</v>
      </c>
      <c r="G90" t="str">
        <f>HYPERLINK("https://vk.com/topic-27863223_35936941?post=116040")</f>
        <v>https://vk.com/topic-27863223_35936941?post=116040</v>
      </c>
      <c r="H90" t="s">
        <v>119</v>
      </c>
      <c r="I90" t="s">
        <v>569</v>
      </c>
      <c r="J90" t="str">
        <f>HYPERLINK("http://vk.com/id8456968")</f>
        <v>http://vk.com/id8456968</v>
      </c>
      <c r="K90">
        <v>934</v>
      </c>
      <c r="L90" t="s">
        <v>151</v>
      </c>
      <c r="M90">
        <v>33</v>
      </c>
      <c r="N90" t="s">
        <v>122</v>
      </c>
      <c r="O90" t="s">
        <v>175</v>
      </c>
      <c r="P90" t="str">
        <f>HYPERLINK("http://vk.com/club27863223")</f>
        <v>http://vk.com/club27863223</v>
      </c>
      <c r="Q90">
        <v>134698</v>
      </c>
      <c r="R90" t="s">
        <v>124</v>
      </c>
      <c r="S90" t="s">
        <v>125</v>
      </c>
      <c r="T90" t="s">
        <v>570</v>
      </c>
      <c r="U90" t="s">
        <v>571</v>
      </c>
      <c r="AM90" t="s">
        <v>129</v>
      </c>
      <c r="AN90" t="s">
        <v>130</v>
      </c>
      <c r="AP90" t="s">
        <v>41</v>
      </c>
      <c r="AY90" t="s">
        <v>50</v>
      </c>
      <c r="BA90" t="s">
        <v>52</v>
      </c>
      <c r="BE90" t="s">
        <v>56</v>
      </c>
    </row>
    <row r="91" spans="1:69" x14ac:dyDescent="0.2">
      <c r="A91" t="s">
        <v>113</v>
      </c>
      <c r="B91" t="s">
        <v>580</v>
      </c>
      <c r="C91" t="s">
        <v>581</v>
      </c>
      <c r="D91" t="s">
        <v>582</v>
      </c>
      <c r="E91" t="s">
        <v>583</v>
      </c>
      <c r="F91" t="s">
        <v>180</v>
      </c>
      <c r="G91" t="str">
        <f>HYPERLINK("https://www.ozon.ru/context/detail/id/228063061/#63371282")</f>
        <v>https://www.ozon.ru/context/detail/id/228063061/#63371282</v>
      </c>
      <c r="H91" t="s">
        <v>181</v>
      </c>
      <c r="I91" t="s">
        <v>584</v>
      </c>
      <c r="J91" t="str">
        <f>HYPERLINK("https://www.ozon.ru/context/client_opinion/ClientGuid/13a32f6e-6a90-493f-892a-29ca24f5a8dc/")</f>
        <v>https://www.ozon.ru/context/client_opinion/ClientGuid/13a32f6e-6a90-493f-892a-29ca24f5a8dc/</v>
      </c>
      <c r="L91" t="s">
        <v>151</v>
      </c>
      <c r="N91" t="s">
        <v>183</v>
      </c>
      <c r="O91" t="s">
        <v>585</v>
      </c>
      <c r="P91" t="str">
        <f>HYPERLINK("https://www.ozon.ru/context/detail/id/228063061/")</f>
        <v>https://www.ozon.ru/context/detail/id/228063061/</v>
      </c>
      <c r="R91" t="s">
        <v>184</v>
      </c>
      <c r="S91" t="s">
        <v>125</v>
      </c>
      <c r="W91">
        <v>0</v>
      </c>
      <c r="X91">
        <v>0</v>
      </c>
      <c r="AH91">
        <v>5</v>
      </c>
      <c r="AM91" t="s">
        <v>129</v>
      </c>
      <c r="AN91" t="s">
        <v>130</v>
      </c>
      <c r="AP91" t="s">
        <v>41</v>
      </c>
      <c r="AZ91" t="s">
        <v>51</v>
      </c>
      <c r="BA91" t="s">
        <v>52</v>
      </c>
      <c r="BK91" t="s">
        <v>62</v>
      </c>
    </row>
    <row r="92" spans="1:69" x14ac:dyDescent="0.2">
      <c r="A92" t="s">
        <v>113</v>
      </c>
      <c r="B92" t="s">
        <v>586</v>
      </c>
      <c r="C92" t="s">
        <v>267</v>
      </c>
      <c r="D92" t="s">
        <v>129</v>
      </c>
      <c r="E92" t="s">
        <v>587</v>
      </c>
      <c r="F92" t="s">
        <v>180</v>
      </c>
      <c r="G92" t="str">
        <f>HYPERLINK("https://www.facebook.com/tricolortv/posts/4131067626947476")</f>
        <v>https://www.facebook.com/tricolortv/posts/4131067626947476</v>
      </c>
      <c r="H92" t="s">
        <v>119</v>
      </c>
      <c r="I92" t="s">
        <v>175</v>
      </c>
      <c r="J92" t="str">
        <f>HYPERLINK("https://www.facebook.com/206198386101106")</f>
        <v>https://www.facebook.com/206198386101106</v>
      </c>
      <c r="K92">
        <v>16432</v>
      </c>
      <c r="L92" t="s">
        <v>340</v>
      </c>
      <c r="N92" t="s">
        <v>305</v>
      </c>
      <c r="O92" t="s">
        <v>175</v>
      </c>
      <c r="P92" t="str">
        <f>HYPERLINK("https://www.facebook.com/206198386101106")</f>
        <v>https://www.facebook.com/206198386101106</v>
      </c>
      <c r="Q92">
        <v>16432</v>
      </c>
      <c r="R92" t="s">
        <v>124</v>
      </c>
      <c r="W92">
        <v>0</v>
      </c>
      <c r="X92">
        <v>0</v>
      </c>
      <c r="Y92">
        <v>0</v>
      </c>
      <c r="Z92">
        <v>0</v>
      </c>
      <c r="AA92">
        <v>0</v>
      </c>
      <c r="AB92">
        <v>0</v>
      </c>
      <c r="AC92">
        <v>0</v>
      </c>
      <c r="AE92">
        <v>0</v>
      </c>
      <c r="AF92">
        <v>0</v>
      </c>
      <c r="AJ92" t="s">
        <v>588</v>
      </c>
      <c r="AK92" t="s">
        <v>589</v>
      </c>
      <c r="AL92" t="s">
        <v>590</v>
      </c>
      <c r="AM92" t="s">
        <v>129</v>
      </c>
      <c r="AN92" t="s">
        <v>130</v>
      </c>
      <c r="BI92" t="s">
        <v>60</v>
      </c>
    </row>
    <row r="93" spans="1:69" x14ac:dyDescent="0.2">
      <c r="A93" t="s">
        <v>113</v>
      </c>
      <c r="B93" t="s">
        <v>586</v>
      </c>
      <c r="C93" t="s">
        <v>591</v>
      </c>
      <c r="D93" t="s">
        <v>592</v>
      </c>
      <c r="E93" t="s">
        <v>593</v>
      </c>
      <c r="F93" t="s">
        <v>180</v>
      </c>
      <c r="G93" t="str">
        <f>HYPERLINK("https://ok.ru/group/51085510115462/topic/153507635373446")</f>
        <v>https://ok.ru/group/51085510115462/topic/153507635373446</v>
      </c>
      <c r="H93" t="s">
        <v>119</v>
      </c>
      <c r="I93" t="s">
        <v>175</v>
      </c>
      <c r="J93" t="str">
        <f>HYPERLINK("https://ok.ru/group/51085510115462")</f>
        <v>https://ok.ru/group/51085510115462</v>
      </c>
      <c r="K93">
        <v>94768</v>
      </c>
      <c r="L93" t="s">
        <v>340</v>
      </c>
      <c r="N93" t="s">
        <v>347</v>
      </c>
      <c r="O93" t="s">
        <v>175</v>
      </c>
      <c r="P93" t="str">
        <f>HYPERLINK("https://ok.ru/group/51085510115462")</f>
        <v>https://ok.ru/group/51085510115462</v>
      </c>
      <c r="Q93">
        <v>94768</v>
      </c>
      <c r="R93" t="s">
        <v>124</v>
      </c>
      <c r="W93">
        <v>10</v>
      </c>
      <c r="X93">
        <v>10</v>
      </c>
      <c r="Y93">
        <v>0</v>
      </c>
      <c r="Z93">
        <v>0</v>
      </c>
      <c r="AA93">
        <v>0</v>
      </c>
      <c r="AB93">
        <v>0</v>
      </c>
      <c r="AE93">
        <v>0</v>
      </c>
      <c r="AF93">
        <v>0</v>
      </c>
      <c r="AJ93" t="s">
        <v>594</v>
      </c>
      <c r="AK93" t="s">
        <v>589</v>
      </c>
      <c r="AL93" t="str">
        <f>HYPERLINK("https://i.mycdn.me/image?id=919158291078&amp;t=20&amp;plc=API&amp;aid=1131601408&amp;tkn=*kvCdZ-OdpZoW0V9CkOCF4UuOFsY")</f>
        <v>https://i.mycdn.me/image?id=919158291078&amp;t=20&amp;plc=API&amp;aid=1131601408&amp;tkn=*kvCdZ-OdpZoW0V9CkOCF4UuOFsY</v>
      </c>
      <c r="AM93" t="s">
        <v>129</v>
      </c>
      <c r="AN93" t="s">
        <v>130</v>
      </c>
      <c r="BI93" t="s">
        <v>60</v>
      </c>
    </row>
    <row r="94" spans="1:69" x14ac:dyDescent="0.2">
      <c r="A94" t="s">
        <v>113</v>
      </c>
      <c r="B94" t="s">
        <v>586</v>
      </c>
      <c r="C94" t="s">
        <v>595</v>
      </c>
      <c r="D94" t="s">
        <v>129</v>
      </c>
      <c r="E94" t="s">
        <v>596</v>
      </c>
      <c r="F94" t="s">
        <v>180</v>
      </c>
      <c r="G94" t="str">
        <f>HYPERLINK("https://twitter.com/360582757/status/1421387657871904773")</f>
        <v>https://twitter.com/360582757/status/1421387657871904773</v>
      </c>
      <c r="H94" t="s">
        <v>119</v>
      </c>
      <c r="I94" t="s">
        <v>175</v>
      </c>
      <c r="J94" t="str">
        <f>HYPERLINK("http://twitter.com/tricolortv")</f>
        <v>http://twitter.com/tricolortv</v>
      </c>
      <c r="K94">
        <v>5663</v>
      </c>
      <c r="N94" t="s">
        <v>350</v>
      </c>
      <c r="R94" t="s">
        <v>124</v>
      </c>
      <c r="S94" t="s">
        <v>125</v>
      </c>
      <c r="T94" t="s">
        <v>137</v>
      </c>
      <c r="U94" t="s">
        <v>137</v>
      </c>
      <c r="W94">
        <v>1</v>
      </c>
      <c r="X94">
        <v>1</v>
      </c>
      <c r="AE94">
        <v>0</v>
      </c>
      <c r="AF94">
        <v>0</v>
      </c>
      <c r="AJ94" t="s">
        <v>588</v>
      </c>
      <c r="AK94" t="s">
        <v>589</v>
      </c>
      <c r="AL94" t="str">
        <f>HYPERLINK("https://pbs.twimg.com/media/E7jgS9vWYAkvSHj.jpg")</f>
        <v>https://pbs.twimg.com/media/E7jgS9vWYAkvSHj.jpg</v>
      </c>
      <c r="AM94" t="s">
        <v>129</v>
      </c>
      <c r="AN94" t="s">
        <v>130</v>
      </c>
      <c r="BI94" t="s">
        <v>60</v>
      </c>
    </row>
    <row r="95" spans="1:69" x14ac:dyDescent="0.2">
      <c r="A95" t="s">
        <v>113</v>
      </c>
      <c r="B95" t="s">
        <v>597</v>
      </c>
      <c r="C95" t="s">
        <v>598</v>
      </c>
      <c r="D95" t="s">
        <v>129</v>
      </c>
      <c r="E95" t="s">
        <v>599</v>
      </c>
      <c r="F95" t="s">
        <v>180</v>
      </c>
      <c r="G95" t="str">
        <f>HYPERLINK("https://vk.com/wall-61101621_254888")</f>
        <v>https://vk.com/wall-61101621_254888</v>
      </c>
      <c r="H95" t="s">
        <v>181</v>
      </c>
      <c r="I95" t="s">
        <v>600</v>
      </c>
      <c r="J95" t="str">
        <f>HYPERLINK("http://vk.com/id16895742")</f>
        <v>http://vk.com/id16895742</v>
      </c>
      <c r="K95">
        <v>28</v>
      </c>
      <c r="L95" t="s">
        <v>151</v>
      </c>
      <c r="M95">
        <v>56</v>
      </c>
      <c r="N95" t="s">
        <v>122</v>
      </c>
      <c r="O95" t="s">
        <v>160</v>
      </c>
      <c r="P95" t="str">
        <f>HYPERLINK("http://vk.com/club61101621")</f>
        <v>http://vk.com/club61101621</v>
      </c>
      <c r="Q95">
        <v>21119</v>
      </c>
      <c r="R95" t="s">
        <v>124</v>
      </c>
      <c r="S95" t="s">
        <v>125</v>
      </c>
      <c r="T95" t="s">
        <v>601</v>
      </c>
      <c r="U95" t="s">
        <v>602</v>
      </c>
      <c r="W95">
        <v>13</v>
      </c>
      <c r="X95">
        <v>13</v>
      </c>
      <c r="AE95">
        <v>7</v>
      </c>
      <c r="AF95">
        <v>0</v>
      </c>
      <c r="AG95">
        <v>2029</v>
      </c>
      <c r="AM95" t="s">
        <v>129</v>
      </c>
      <c r="AN95" t="s">
        <v>130</v>
      </c>
      <c r="AP95" t="s">
        <v>41</v>
      </c>
      <c r="AT95" t="s">
        <v>45</v>
      </c>
      <c r="AU95" t="s">
        <v>46</v>
      </c>
      <c r="AW95" t="s">
        <v>48</v>
      </c>
      <c r="AX95" t="s">
        <v>49</v>
      </c>
      <c r="AY95" t="s">
        <v>50</v>
      </c>
      <c r="AZ95" t="s">
        <v>51</v>
      </c>
      <c r="BA95" t="s">
        <v>52</v>
      </c>
      <c r="BL95" t="s">
        <v>63</v>
      </c>
    </row>
    <row r="96" spans="1:69" x14ac:dyDescent="0.2">
      <c r="A96" t="s">
        <v>113</v>
      </c>
      <c r="B96" t="s">
        <v>603</v>
      </c>
      <c r="C96" t="s">
        <v>604</v>
      </c>
      <c r="D96" t="s">
        <v>567</v>
      </c>
      <c r="E96" t="s">
        <v>605</v>
      </c>
      <c r="F96" t="s">
        <v>118</v>
      </c>
      <c r="G96" t="str">
        <f>HYPERLINK("https://vk.com/topic-27863223_35936941?post=116038")</f>
        <v>https://vk.com/topic-27863223_35936941?post=116038</v>
      </c>
      <c r="H96" t="s">
        <v>119</v>
      </c>
      <c r="I96" t="s">
        <v>569</v>
      </c>
      <c r="J96" t="str">
        <f>HYPERLINK("http://vk.com/id8456968")</f>
        <v>http://vk.com/id8456968</v>
      </c>
      <c r="K96">
        <v>934</v>
      </c>
      <c r="L96" t="s">
        <v>151</v>
      </c>
      <c r="M96">
        <v>33</v>
      </c>
      <c r="N96" t="s">
        <v>122</v>
      </c>
      <c r="O96" t="s">
        <v>175</v>
      </c>
      <c r="P96" t="str">
        <f>HYPERLINK("http://vk.com/club27863223")</f>
        <v>http://vk.com/club27863223</v>
      </c>
      <c r="Q96">
        <v>134698</v>
      </c>
      <c r="R96" t="s">
        <v>124</v>
      </c>
      <c r="S96" t="s">
        <v>125</v>
      </c>
      <c r="T96" t="s">
        <v>570</v>
      </c>
      <c r="U96" t="s">
        <v>571</v>
      </c>
      <c r="AM96" t="s">
        <v>129</v>
      </c>
      <c r="AN96" t="s">
        <v>130</v>
      </c>
      <c r="AP96" t="s">
        <v>41</v>
      </c>
      <c r="AU96" t="s">
        <v>46</v>
      </c>
      <c r="AZ96" t="s">
        <v>51</v>
      </c>
      <c r="BA96" t="s">
        <v>52</v>
      </c>
    </row>
    <row r="97" spans="1:69" x14ac:dyDescent="0.2">
      <c r="A97" t="s">
        <v>113</v>
      </c>
      <c r="B97" t="s">
        <v>606</v>
      </c>
      <c r="C97" t="s">
        <v>607</v>
      </c>
      <c r="D97" t="s">
        <v>608</v>
      </c>
      <c r="E97" t="s">
        <v>609</v>
      </c>
      <c r="F97" t="s">
        <v>180</v>
      </c>
      <c r="G97" t="str">
        <f>HYPERLINK("https://market.yandex.ru/product/297157063/reviews?id=135553746")</f>
        <v>https://market.yandex.ru/product/297157063/reviews?id=135553746</v>
      </c>
      <c r="H97" t="s">
        <v>181</v>
      </c>
      <c r="I97" t="s">
        <v>610</v>
      </c>
      <c r="J97" t="str">
        <f>HYPERLINK("https://market.yandex.ru/user/xntjby4ne6jzknhmzhj4a928ug/reviews")</f>
        <v>https://market.yandex.ru/user/xntjby4ne6jzknhmzhj4a928ug/reviews</v>
      </c>
      <c r="L97" t="s">
        <v>121</v>
      </c>
      <c r="N97" t="s">
        <v>611</v>
      </c>
      <c r="O97" t="s">
        <v>608</v>
      </c>
      <c r="P97" t="str">
        <f>HYPERLINK("https://market.yandex.ru/product/297157063")</f>
        <v>https://market.yandex.ru/product/297157063</v>
      </c>
      <c r="R97" t="s">
        <v>184</v>
      </c>
      <c r="S97" t="s">
        <v>125</v>
      </c>
      <c r="T97" t="s">
        <v>612</v>
      </c>
      <c r="U97" t="s">
        <v>613</v>
      </c>
      <c r="W97">
        <v>0</v>
      </c>
      <c r="X97">
        <v>0</v>
      </c>
      <c r="AH97">
        <v>5</v>
      </c>
      <c r="AM97" t="s">
        <v>129</v>
      </c>
      <c r="AN97" t="s">
        <v>130</v>
      </c>
      <c r="AP97" t="s">
        <v>41</v>
      </c>
      <c r="AT97" t="s">
        <v>45</v>
      </c>
      <c r="AZ97" t="s">
        <v>51</v>
      </c>
      <c r="BA97" t="s">
        <v>52</v>
      </c>
      <c r="BM97" t="s">
        <v>64</v>
      </c>
    </row>
    <row r="98" spans="1:69" x14ac:dyDescent="0.2">
      <c r="A98" t="s">
        <v>113</v>
      </c>
      <c r="B98" t="s">
        <v>614</v>
      </c>
      <c r="C98" t="s">
        <v>615</v>
      </c>
      <c r="D98" t="s">
        <v>215</v>
      </c>
      <c r="E98" t="s">
        <v>616</v>
      </c>
      <c r="F98" t="s">
        <v>118</v>
      </c>
      <c r="G98" t="str">
        <f>HYPERLINK("https://vk.com/wall-27863223_292439?reply=292633")</f>
        <v>https://vk.com/wall-27863223_292439?reply=292633</v>
      </c>
      <c r="H98" t="s">
        <v>119</v>
      </c>
      <c r="I98" t="s">
        <v>269</v>
      </c>
      <c r="J98" t="str">
        <f>HYPERLINK("http://vk.com/id144566191")</f>
        <v>http://vk.com/id144566191</v>
      </c>
      <c r="K98">
        <v>378</v>
      </c>
      <c r="L98" t="s">
        <v>121</v>
      </c>
      <c r="N98" t="s">
        <v>122</v>
      </c>
      <c r="O98" t="s">
        <v>175</v>
      </c>
      <c r="P98" t="str">
        <f>HYPERLINK("http://vk.com/club27863223")</f>
        <v>http://vk.com/club27863223</v>
      </c>
      <c r="Q98">
        <v>134698</v>
      </c>
      <c r="R98" t="s">
        <v>124</v>
      </c>
      <c r="S98" t="s">
        <v>125</v>
      </c>
      <c r="W98">
        <v>0</v>
      </c>
      <c r="X98">
        <v>0</v>
      </c>
      <c r="AM98" t="s">
        <v>129</v>
      </c>
      <c r="AN98" t="s">
        <v>130</v>
      </c>
      <c r="AO98" t="s">
        <v>40</v>
      </c>
      <c r="AP98" t="s">
        <v>41</v>
      </c>
      <c r="AZ98" t="s">
        <v>51</v>
      </c>
      <c r="BA98" t="s">
        <v>52</v>
      </c>
    </row>
    <row r="99" spans="1:69" x14ac:dyDescent="0.2">
      <c r="A99" t="s">
        <v>113</v>
      </c>
      <c r="B99" t="s">
        <v>617</v>
      </c>
      <c r="C99" t="s">
        <v>618</v>
      </c>
      <c r="D99" t="s">
        <v>129</v>
      </c>
      <c r="E99" t="s">
        <v>619</v>
      </c>
      <c r="F99" t="s">
        <v>118</v>
      </c>
      <c r="G99" t="str">
        <f>HYPERLINK("https://twitter.com/1299348112633409536/status/1421379182920142852")</f>
        <v>https://twitter.com/1299348112633409536/status/1421379182920142852</v>
      </c>
      <c r="H99" t="s">
        <v>119</v>
      </c>
      <c r="I99" t="s">
        <v>620</v>
      </c>
      <c r="J99" t="str">
        <f>HYPERLINK("http://twitter.com/Sergey99162025")</f>
        <v>http://twitter.com/Sergey99162025</v>
      </c>
      <c r="K99">
        <v>7</v>
      </c>
      <c r="L99" t="s">
        <v>121</v>
      </c>
      <c r="N99" t="s">
        <v>350</v>
      </c>
      <c r="R99" t="s">
        <v>124</v>
      </c>
      <c r="W99">
        <v>0</v>
      </c>
      <c r="X99">
        <v>0</v>
      </c>
      <c r="AE99">
        <v>0</v>
      </c>
      <c r="AF99">
        <v>0</v>
      </c>
      <c r="AM99" t="s">
        <v>129</v>
      </c>
      <c r="AN99" t="s">
        <v>130</v>
      </c>
      <c r="AP99" t="s">
        <v>41</v>
      </c>
      <c r="AU99" t="s">
        <v>46</v>
      </c>
      <c r="AZ99" t="s">
        <v>51</v>
      </c>
      <c r="BA99" t="s">
        <v>52</v>
      </c>
    </row>
    <row r="100" spans="1:69" x14ac:dyDescent="0.2">
      <c r="A100" t="s">
        <v>113</v>
      </c>
      <c r="B100" t="s">
        <v>621</v>
      </c>
      <c r="C100" t="s">
        <v>622</v>
      </c>
      <c r="D100" t="s">
        <v>623</v>
      </c>
      <c r="E100" t="s">
        <v>624</v>
      </c>
      <c r="F100" t="s">
        <v>118</v>
      </c>
      <c r="G100" t="str">
        <f>HYPERLINK("https://ok.ru/group/52248119738521/topic/153336366735513#MTYyNzcxNzg5ODI4MTotNDk2NToxNjI3NzE3ODk4MjgxOjE1MzMzNjM2NjczNTUxMzox")</f>
        <v>https://ok.ru/group/52248119738521/topic/153336366735513#MTYyNzcxNzg5ODI4MTotNDk2NToxNjI3NzE3ODk4MjgxOjE1MzMzNjM2NjczNTUxMzox</v>
      </c>
      <c r="H100" t="s">
        <v>119</v>
      </c>
      <c r="I100" t="s">
        <v>625</v>
      </c>
      <c r="J100" t="str">
        <f>HYPERLINK("https://ok.ru/profile/567743323049")</f>
        <v>https://ok.ru/profile/567743323049</v>
      </c>
      <c r="K100">
        <v>334</v>
      </c>
      <c r="L100" t="s">
        <v>151</v>
      </c>
      <c r="M100">
        <v>53</v>
      </c>
      <c r="N100" t="s">
        <v>347</v>
      </c>
      <c r="O100" t="s">
        <v>626</v>
      </c>
      <c r="P100" t="str">
        <f>HYPERLINK("https://ok.ru/group/52248119738521")</f>
        <v>https://ok.ru/group/52248119738521</v>
      </c>
      <c r="Q100">
        <v>23111</v>
      </c>
      <c r="R100" t="s">
        <v>124</v>
      </c>
      <c r="S100" t="s">
        <v>125</v>
      </c>
      <c r="T100" t="s">
        <v>627</v>
      </c>
      <c r="U100" t="s">
        <v>628</v>
      </c>
      <c r="W100">
        <v>0</v>
      </c>
      <c r="X100">
        <v>0</v>
      </c>
      <c r="AM100" t="s">
        <v>129</v>
      </c>
      <c r="AN100" t="s">
        <v>130</v>
      </c>
      <c r="AP100" t="s">
        <v>41</v>
      </c>
      <c r="AU100" t="s">
        <v>46</v>
      </c>
      <c r="AY100" t="s">
        <v>50</v>
      </c>
      <c r="AZ100" t="s">
        <v>51</v>
      </c>
      <c r="BA100" t="s">
        <v>52</v>
      </c>
    </row>
    <row r="101" spans="1:69" x14ac:dyDescent="0.2">
      <c r="A101" t="s">
        <v>113</v>
      </c>
      <c r="B101" t="s">
        <v>629</v>
      </c>
      <c r="C101" t="s">
        <v>475</v>
      </c>
      <c r="D101" t="s">
        <v>476</v>
      </c>
      <c r="E101" t="s">
        <v>630</v>
      </c>
      <c r="F101" t="s">
        <v>180</v>
      </c>
      <c r="G101" t="str">
        <f>HYPERLINK("https://www.ozon.ru/context/detail/id/261611432/#63361417")</f>
        <v>https://www.ozon.ru/context/detail/id/261611432/#63361417</v>
      </c>
      <c r="H101" t="s">
        <v>181</v>
      </c>
      <c r="I101" t="s">
        <v>512</v>
      </c>
      <c r="J101" t="str">
        <f>HYPERLINK("https://www.ozon.ru/context/client_opinion/ClientGuid//")</f>
        <v>https://www.ozon.ru/context/client_opinion/ClientGuid//</v>
      </c>
      <c r="N101" t="s">
        <v>183</v>
      </c>
      <c r="O101" t="s">
        <v>476</v>
      </c>
      <c r="P101" t="str">
        <f>HYPERLINK("https://www.ozon.ru/context/detail/id/261611432/")</f>
        <v>https://www.ozon.ru/context/detail/id/261611432/</v>
      </c>
      <c r="R101" t="s">
        <v>184</v>
      </c>
      <c r="S101" t="s">
        <v>125</v>
      </c>
      <c r="W101">
        <v>0</v>
      </c>
      <c r="X101">
        <v>0</v>
      </c>
      <c r="AH101">
        <v>5</v>
      </c>
      <c r="AM101" t="s">
        <v>129</v>
      </c>
      <c r="AN101" t="s">
        <v>130</v>
      </c>
      <c r="AP101" t="s">
        <v>41</v>
      </c>
      <c r="AT101" t="s">
        <v>45</v>
      </c>
      <c r="AZ101" t="s">
        <v>51</v>
      </c>
      <c r="BA101" t="s">
        <v>52</v>
      </c>
      <c r="BL101" t="s">
        <v>63</v>
      </c>
    </row>
    <row r="102" spans="1:69" x14ac:dyDescent="0.2">
      <c r="A102" t="s">
        <v>113</v>
      </c>
      <c r="B102" t="s">
        <v>631</v>
      </c>
      <c r="C102" t="s">
        <v>632</v>
      </c>
      <c r="D102" t="s">
        <v>215</v>
      </c>
      <c r="E102" t="s">
        <v>216</v>
      </c>
      <c r="F102" t="s">
        <v>118</v>
      </c>
      <c r="G102" t="str">
        <f>HYPERLINK("https://vk.com/wall-27863223_292439?reply=292630")</f>
        <v>https://vk.com/wall-27863223_292439?reply=292630</v>
      </c>
      <c r="H102" t="s">
        <v>119</v>
      </c>
      <c r="I102" t="s">
        <v>633</v>
      </c>
      <c r="J102" t="str">
        <f>HYPERLINK("http://vk.com/id659236790")</f>
        <v>http://vk.com/id659236790</v>
      </c>
      <c r="K102">
        <v>25</v>
      </c>
      <c r="L102" t="s">
        <v>151</v>
      </c>
      <c r="M102">
        <v>30</v>
      </c>
      <c r="N102" t="s">
        <v>122</v>
      </c>
      <c r="O102" t="s">
        <v>175</v>
      </c>
      <c r="P102" t="str">
        <f>HYPERLINK("http://vk.com/club27863223")</f>
        <v>http://vk.com/club27863223</v>
      </c>
      <c r="Q102">
        <v>134698</v>
      </c>
      <c r="R102" t="s">
        <v>124</v>
      </c>
      <c r="S102" t="s">
        <v>125</v>
      </c>
      <c r="T102" t="s">
        <v>627</v>
      </c>
      <c r="U102" t="s">
        <v>634</v>
      </c>
      <c r="W102">
        <v>0</v>
      </c>
      <c r="X102">
        <v>0</v>
      </c>
      <c r="AM102" t="s">
        <v>129</v>
      </c>
      <c r="AN102" t="s">
        <v>130</v>
      </c>
      <c r="AO102" t="s">
        <v>40</v>
      </c>
      <c r="AP102" t="s">
        <v>41</v>
      </c>
      <c r="AZ102" t="s">
        <v>51</v>
      </c>
      <c r="BA102" t="s">
        <v>52</v>
      </c>
    </row>
    <row r="103" spans="1:69" x14ac:dyDescent="0.2">
      <c r="A103" t="s">
        <v>113</v>
      </c>
      <c r="B103" t="s">
        <v>635</v>
      </c>
      <c r="C103" t="s">
        <v>632</v>
      </c>
      <c r="D103" t="s">
        <v>172</v>
      </c>
      <c r="E103" t="s">
        <v>187</v>
      </c>
      <c r="F103" t="s">
        <v>118</v>
      </c>
      <c r="G103" t="str">
        <f>HYPERLINK("https://vk.com/wall-27863223_292619?reply=292629")</f>
        <v>https://vk.com/wall-27863223_292619?reply=292629</v>
      </c>
      <c r="H103" t="s">
        <v>119</v>
      </c>
      <c r="I103" t="s">
        <v>633</v>
      </c>
      <c r="J103" t="str">
        <f>HYPERLINK("http://vk.com/id659236790")</f>
        <v>http://vk.com/id659236790</v>
      </c>
      <c r="K103">
        <v>25</v>
      </c>
      <c r="L103" t="s">
        <v>151</v>
      </c>
      <c r="M103">
        <v>30</v>
      </c>
      <c r="N103" t="s">
        <v>122</v>
      </c>
      <c r="O103" t="s">
        <v>175</v>
      </c>
      <c r="P103" t="str">
        <f>HYPERLINK("http://vk.com/club27863223")</f>
        <v>http://vk.com/club27863223</v>
      </c>
      <c r="Q103">
        <v>134698</v>
      </c>
      <c r="R103" t="s">
        <v>124</v>
      </c>
      <c r="S103" t="s">
        <v>125</v>
      </c>
      <c r="T103" t="s">
        <v>627</v>
      </c>
      <c r="U103" t="s">
        <v>634</v>
      </c>
      <c r="W103">
        <v>0</v>
      </c>
      <c r="X103">
        <v>0</v>
      </c>
      <c r="AM103" t="s">
        <v>129</v>
      </c>
      <c r="AN103" t="s">
        <v>130</v>
      </c>
      <c r="AO103" t="s">
        <v>40</v>
      </c>
      <c r="AP103" t="s">
        <v>41</v>
      </c>
      <c r="AZ103" t="s">
        <v>51</v>
      </c>
      <c r="BA103" t="s">
        <v>52</v>
      </c>
    </row>
    <row r="104" spans="1:69" x14ac:dyDescent="0.2">
      <c r="A104" t="s">
        <v>113</v>
      </c>
      <c r="B104" t="s">
        <v>635</v>
      </c>
      <c r="C104" t="s">
        <v>636</v>
      </c>
      <c r="D104" t="s">
        <v>277</v>
      </c>
      <c r="E104" t="s">
        <v>637</v>
      </c>
      <c r="F104" t="s">
        <v>118</v>
      </c>
      <c r="G104" t="str">
        <f>HYPERLINK("https://vk.com/wall-29484355_385227?reply=385242")</f>
        <v>https://vk.com/wall-29484355_385227?reply=385242</v>
      </c>
      <c r="H104" t="s">
        <v>119</v>
      </c>
      <c r="I104" t="s">
        <v>638</v>
      </c>
      <c r="J104" t="str">
        <f>HYPERLINK("http://vk.com/id29225365")</f>
        <v>http://vk.com/id29225365</v>
      </c>
      <c r="K104">
        <v>266</v>
      </c>
      <c r="L104" t="s">
        <v>121</v>
      </c>
      <c r="M104">
        <v>31</v>
      </c>
      <c r="N104" t="s">
        <v>122</v>
      </c>
      <c r="O104" t="s">
        <v>280</v>
      </c>
      <c r="P104" t="str">
        <f>HYPERLINK("http://vk.com/club29484355")</f>
        <v>http://vk.com/club29484355</v>
      </c>
      <c r="Q104">
        <v>105684</v>
      </c>
      <c r="R104" t="s">
        <v>124</v>
      </c>
      <c r="S104" t="s">
        <v>125</v>
      </c>
      <c r="T104" t="s">
        <v>372</v>
      </c>
      <c r="U104" t="s">
        <v>373</v>
      </c>
      <c r="AM104" t="s">
        <v>129</v>
      </c>
      <c r="AN104" t="s">
        <v>130</v>
      </c>
      <c r="AP104" t="s">
        <v>41</v>
      </c>
      <c r="AU104" t="s">
        <v>46</v>
      </c>
      <c r="AZ104" t="s">
        <v>51</v>
      </c>
      <c r="BA104" t="s">
        <v>52</v>
      </c>
    </row>
    <row r="105" spans="1:69" x14ac:dyDescent="0.2">
      <c r="A105" t="s">
        <v>113</v>
      </c>
      <c r="B105" t="s">
        <v>639</v>
      </c>
      <c r="C105" t="s">
        <v>640</v>
      </c>
      <c r="D105" t="s">
        <v>215</v>
      </c>
      <c r="E105" t="s">
        <v>216</v>
      </c>
      <c r="F105" t="s">
        <v>118</v>
      </c>
      <c r="G105" t="str">
        <f>HYPERLINK("https://vk.com/wall-27863223_292439?reply=292626")</f>
        <v>https://vk.com/wall-27863223_292439?reply=292626</v>
      </c>
      <c r="H105" t="s">
        <v>119</v>
      </c>
      <c r="I105" t="s">
        <v>641</v>
      </c>
      <c r="J105" t="str">
        <f>HYPERLINK("http://vk.com/id625372429")</f>
        <v>http://vk.com/id625372429</v>
      </c>
      <c r="K105">
        <v>1</v>
      </c>
      <c r="L105" t="s">
        <v>151</v>
      </c>
      <c r="M105">
        <v>30</v>
      </c>
      <c r="N105" t="s">
        <v>122</v>
      </c>
      <c r="O105" t="s">
        <v>175</v>
      </c>
      <c r="P105" t="str">
        <f>HYPERLINK("http://vk.com/club27863223")</f>
        <v>http://vk.com/club27863223</v>
      </c>
      <c r="Q105">
        <v>134698</v>
      </c>
      <c r="R105" t="s">
        <v>124</v>
      </c>
      <c r="W105">
        <v>0</v>
      </c>
      <c r="X105">
        <v>0</v>
      </c>
      <c r="AM105" t="s">
        <v>129</v>
      </c>
      <c r="AN105" t="s">
        <v>130</v>
      </c>
      <c r="AO105" t="s">
        <v>40</v>
      </c>
      <c r="AP105" t="s">
        <v>41</v>
      </c>
      <c r="AZ105" t="s">
        <v>51</v>
      </c>
      <c r="BA105" t="s">
        <v>52</v>
      </c>
    </row>
    <row r="106" spans="1:69" x14ac:dyDescent="0.2">
      <c r="A106" t="s">
        <v>113</v>
      </c>
      <c r="B106" t="s">
        <v>639</v>
      </c>
      <c r="C106" t="s">
        <v>640</v>
      </c>
      <c r="D106" t="s">
        <v>172</v>
      </c>
      <c r="E106" t="s">
        <v>187</v>
      </c>
      <c r="F106" t="s">
        <v>118</v>
      </c>
      <c r="G106" t="str">
        <f>HYPERLINK("https://vk.com/wall-27863223_292619?reply=292625")</f>
        <v>https://vk.com/wall-27863223_292619?reply=292625</v>
      </c>
      <c r="H106" t="s">
        <v>119</v>
      </c>
      <c r="I106" t="s">
        <v>642</v>
      </c>
      <c r="J106" t="str">
        <f>HYPERLINK("http://vk.com/id179499241")</f>
        <v>http://vk.com/id179499241</v>
      </c>
      <c r="K106">
        <v>196</v>
      </c>
      <c r="L106" t="s">
        <v>151</v>
      </c>
      <c r="M106">
        <v>37</v>
      </c>
      <c r="N106" t="s">
        <v>122</v>
      </c>
      <c r="O106" t="s">
        <v>175</v>
      </c>
      <c r="P106" t="str">
        <f>HYPERLINK("http://vk.com/club27863223")</f>
        <v>http://vk.com/club27863223</v>
      </c>
      <c r="Q106">
        <v>134698</v>
      </c>
      <c r="R106" t="s">
        <v>124</v>
      </c>
      <c r="S106" t="s">
        <v>125</v>
      </c>
      <c r="T106" t="s">
        <v>153</v>
      </c>
      <c r="U106" t="s">
        <v>643</v>
      </c>
      <c r="W106">
        <v>0</v>
      </c>
      <c r="X106">
        <v>0</v>
      </c>
      <c r="AM106" t="s">
        <v>129</v>
      </c>
      <c r="AN106" t="s">
        <v>130</v>
      </c>
      <c r="AO106" t="s">
        <v>40</v>
      </c>
      <c r="AP106" t="s">
        <v>41</v>
      </c>
      <c r="AZ106" t="s">
        <v>51</v>
      </c>
      <c r="BA106" t="s">
        <v>52</v>
      </c>
    </row>
    <row r="107" spans="1:69" x14ac:dyDescent="0.2">
      <c r="A107" t="s">
        <v>113</v>
      </c>
      <c r="B107" t="s">
        <v>644</v>
      </c>
      <c r="C107" t="s">
        <v>640</v>
      </c>
      <c r="D107" t="s">
        <v>172</v>
      </c>
      <c r="E107" t="s">
        <v>187</v>
      </c>
      <c r="F107" t="s">
        <v>118</v>
      </c>
      <c r="G107" t="str">
        <f>HYPERLINK("https://vk.com/wall-27863223_292619?reply=292624")</f>
        <v>https://vk.com/wall-27863223_292619?reply=292624</v>
      </c>
      <c r="H107" t="s">
        <v>119</v>
      </c>
      <c r="I107" t="s">
        <v>641</v>
      </c>
      <c r="J107" t="str">
        <f>HYPERLINK("http://vk.com/id625372429")</f>
        <v>http://vk.com/id625372429</v>
      </c>
      <c r="K107">
        <v>1</v>
      </c>
      <c r="L107" t="s">
        <v>151</v>
      </c>
      <c r="M107">
        <v>30</v>
      </c>
      <c r="N107" t="s">
        <v>122</v>
      </c>
      <c r="O107" t="s">
        <v>175</v>
      </c>
      <c r="P107" t="str">
        <f>HYPERLINK("http://vk.com/club27863223")</f>
        <v>http://vk.com/club27863223</v>
      </c>
      <c r="Q107">
        <v>134698</v>
      </c>
      <c r="R107" t="s">
        <v>124</v>
      </c>
      <c r="W107">
        <v>0</v>
      </c>
      <c r="X107">
        <v>0</v>
      </c>
      <c r="AM107" t="s">
        <v>129</v>
      </c>
      <c r="AN107" t="s">
        <v>130</v>
      </c>
      <c r="AO107" t="s">
        <v>40</v>
      </c>
      <c r="AP107" t="s">
        <v>41</v>
      </c>
      <c r="AZ107" t="s">
        <v>51</v>
      </c>
      <c r="BA107" t="s">
        <v>52</v>
      </c>
    </row>
    <row r="108" spans="1:69" x14ac:dyDescent="0.2">
      <c r="A108" t="s">
        <v>113</v>
      </c>
      <c r="B108" t="s">
        <v>645</v>
      </c>
      <c r="C108" t="s">
        <v>640</v>
      </c>
      <c r="D108" t="s">
        <v>172</v>
      </c>
      <c r="E108" t="s">
        <v>187</v>
      </c>
      <c r="F108" t="s">
        <v>118</v>
      </c>
      <c r="G108" t="str">
        <f>HYPERLINK("https://vk.com/wall-27863223_292619?reply=292623")</f>
        <v>https://vk.com/wall-27863223_292619?reply=292623</v>
      </c>
      <c r="H108" t="s">
        <v>119</v>
      </c>
      <c r="I108" t="s">
        <v>646</v>
      </c>
      <c r="J108" t="str">
        <f>HYPERLINK("http://vk.com/id613018508")</f>
        <v>http://vk.com/id613018508</v>
      </c>
      <c r="K108">
        <v>66</v>
      </c>
      <c r="L108" t="s">
        <v>151</v>
      </c>
      <c r="M108">
        <v>33</v>
      </c>
      <c r="N108" t="s">
        <v>122</v>
      </c>
      <c r="O108" t="s">
        <v>175</v>
      </c>
      <c r="P108" t="str">
        <f>HYPERLINK("http://vk.com/club27863223")</f>
        <v>http://vk.com/club27863223</v>
      </c>
      <c r="Q108">
        <v>134698</v>
      </c>
      <c r="R108" t="s">
        <v>124</v>
      </c>
      <c r="S108" t="s">
        <v>125</v>
      </c>
      <c r="T108" t="s">
        <v>169</v>
      </c>
      <c r="U108" t="s">
        <v>169</v>
      </c>
      <c r="W108">
        <v>0</v>
      </c>
      <c r="X108">
        <v>0</v>
      </c>
      <c r="AM108" t="s">
        <v>129</v>
      </c>
      <c r="AN108" t="s">
        <v>130</v>
      </c>
      <c r="AO108" t="s">
        <v>40</v>
      </c>
      <c r="AP108" t="s">
        <v>41</v>
      </c>
      <c r="AZ108" t="s">
        <v>51</v>
      </c>
      <c r="BA108" t="s">
        <v>52</v>
      </c>
    </row>
    <row r="109" spans="1:69" x14ac:dyDescent="0.2">
      <c r="A109" t="s">
        <v>113</v>
      </c>
      <c r="B109" t="s">
        <v>647</v>
      </c>
      <c r="C109" t="s">
        <v>640</v>
      </c>
      <c r="D109" t="s">
        <v>215</v>
      </c>
      <c r="E109" t="s">
        <v>648</v>
      </c>
      <c r="F109" t="s">
        <v>118</v>
      </c>
      <c r="G109" t="str">
        <f>HYPERLINK("https://vk.com/wall-27863223_292439?reply=292622")</f>
        <v>https://vk.com/wall-27863223_292439?reply=292622</v>
      </c>
      <c r="H109" t="s">
        <v>119</v>
      </c>
      <c r="I109" t="s">
        <v>646</v>
      </c>
      <c r="J109" t="str">
        <f>HYPERLINK("http://vk.com/id613018508")</f>
        <v>http://vk.com/id613018508</v>
      </c>
      <c r="K109">
        <v>66</v>
      </c>
      <c r="L109" t="s">
        <v>151</v>
      </c>
      <c r="M109">
        <v>33</v>
      </c>
      <c r="N109" t="s">
        <v>122</v>
      </c>
      <c r="O109" t="s">
        <v>175</v>
      </c>
      <c r="P109" t="str">
        <f>HYPERLINK("http://vk.com/club27863223")</f>
        <v>http://vk.com/club27863223</v>
      </c>
      <c r="Q109">
        <v>134698</v>
      </c>
      <c r="R109" t="s">
        <v>124</v>
      </c>
      <c r="S109" t="s">
        <v>125</v>
      </c>
      <c r="T109" t="s">
        <v>169</v>
      </c>
      <c r="U109" t="s">
        <v>169</v>
      </c>
      <c r="W109">
        <v>0</v>
      </c>
      <c r="X109">
        <v>0</v>
      </c>
      <c r="AM109" t="s">
        <v>129</v>
      </c>
      <c r="AN109" t="s">
        <v>130</v>
      </c>
      <c r="AO109" t="s">
        <v>40</v>
      </c>
      <c r="AP109" t="s">
        <v>41</v>
      </c>
      <c r="AZ109" t="s">
        <v>51</v>
      </c>
      <c r="BA109" t="s">
        <v>52</v>
      </c>
    </row>
    <row r="110" spans="1:69" x14ac:dyDescent="0.2">
      <c r="A110" t="s">
        <v>113</v>
      </c>
      <c r="B110" t="s">
        <v>649</v>
      </c>
      <c r="C110" t="s">
        <v>650</v>
      </c>
      <c r="D110" t="s">
        <v>651</v>
      </c>
      <c r="E110" t="s">
        <v>652</v>
      </c>
      <c r="F110" t="s">
        <v>180</v>
      </c>
      <c r="G110" t="str">
        <f>HYPERLINK("https://www.ozon.ru/context/detail/id/227979649/#63356195")</f>
        <v>https://www.ozon.ru/context/detail/id/227979649/#63356195</v>
      </c>
      <c r="H110" t="s">
        <v>181</v>
      </c>
      <c r="I110" t="s">
        <v>653</v>
      </c>
      <c r="J110" t="str">
        <f>HYPERLINK("https://www.ozon.ru/context/client_opinion/ClientGuid/89fa4c98-6afb-4a01-8698-98f2c09ce8a7/")</f>
        <v>https://www.ozon.ru/context/client_opinion/ClientGuid/89fa4c98-6afb-4a01-8698-98f2c09ce8a7/</v>
      </c>
      <c r="L110" t="s">
        <v>151</v>
      </c>
      <c r="N110" t="s">
        <v>183</v>
      </c>
      <c r="O110" t="s">
        <v>654</v>
      </c>
      <c r="P110" t="str">
        <f>HYPERLINK("https://www.ozon.ru/context/detail/id/227979649/")</f>
        <v>https://www.ozon.ru/context/detail/id/227979649/</v>
      </c>
      <c r="R110" t="s">
        <v>184</v>
      </c>
      <c r="S110" t="s">
        <v>125</v>
      </c>
      <c r="W110">
        <v>0</v>
      </c>
      <c r="X110">
        <v>0</v>
      </c>
      <c r="AH110">
        <v>5</v>
      </c>
      <c r="AM110" t="s">
        <v>129</v>
      </c>
      <c r="AN110" t="s">
        <v>130</v>
      </c>
      <c r="AP110" t="s">
        <v>41</v>
      </c>
      <c r="AT110" t="s">
        <v>45</v>
      </c>
      <c r="AZ110" t="s">
        <v>51</v>
      </c>
      <c r="BA110" t="s">
        <v>52</v>
      </c>
      <c r="BL110" t="s">
        <v>63</v>
      </c>
    </row>
    <row r="111" spans="1:69" x14ac:dyDescent="0.2">
      <c r="A111" t="s">
        <v>113</v>
      </c>
      <c r="B111" t="s">
        <v>655</v>
      </c>
      <c r="C111" t="s">
        <v>656</v>
      </c>
      <c r="D111" t="s">
        <v>204</v>
      </c>
      <c r="E111" t="s">
        <v>657</v>
      </c>
      <c r="F111" t="s">
        <v>180</v>
      </c>
      <c r="G111" t="str">
        <f>HYPERLINK("https://play.google.com/store/apps/details?id=ru.iflex.android.a3colortv&amp;reviewId=gp:AOqpTOFqz2bW50vDXaefX3KcHuqvMsi1FmfyKprI6PmhBjyCb8Leh8eVa4G_TazvZBoWYzl2L0rzqfJ0OmGBmw")</f>
        <v>https://play.google.com/store/apps/details?id=ru.iflex.android.a3colortv&amp;reviewId=gp:AOqpTOFqz2bW50vDXaefX3KcHuqvMsi1FmfyKprI6PmhBjyCb8Leh8eVa4G_TazvZBoWYzl2L0rzqfJ0OmGBmw</v>
      </c>
      <c r="H111" t="s">
        <v>181</v>
      </c>
      <c r="I111" t="s">
        <v>658</v>
      </c>
      <c r="J111" t="str">
        <f>HYPERLINK("https://plus.google.com/114369845038439743301")</f>
        <v>https://plus.google.com/114369845038439743301</v>
      </c>
      <c r="L111" t="s">
        <v>121</v>
      </c>
      <c r="N111" t="s">
        <v>207</v>
      </c>
      <c r="O111" t="s">
        <v>204</v>
      </c>
      <c r="P111" t="str">
        <f>HYPERLINK("https://play.google.com/store/apps/details?id=ru.iflex.android.a3colortv&amp;hl=ru")</f>
        <v>https://play.google.com/store/apps/details?id=ru.iflex.android.a3colortv&amp;hl=ru</v>
      </c>
      <c r="R111" t="s">
        <v>184</v>
      </c>
      <c r="S111" t="s">
        <v>125</v>
      </c>
      <c r="W111">
        <v>0</v>
      </c>
      <c r="X111">
        <v>0</v>
      </c>
      <c r="AH111">
        <v>5</v>
      </c>
      <c r="AM111" t="s">
        <v>129</v>
      </c>
      <c r="AN111" t="s">
        <v>130</v>
      </c>
      <c r="AP111" t="s">
        <v>41</v>
      </c>
      <c r="AZ111" t="s">
        <v>51</v>
      </c>
      <c r="BA111" t="s">
        <v>52</v>
      </c>
      <c r="BQ111" t="s">
        <v>68</v>
      </c>
    </row>
    <row r="112" spans="1:69" x14ac:dyDescent="0.2">
      <c r="A112" t="s">
        <v>113</v>
      </c>
      <c r="B112" t="s">
        <v>659</v>
      </c>
      <c r="C112" t="s">
        <v>660</v>
      </c>
      <c r="D112" t="s">
        <v>172</v>
      </c>
      <c r="E112" t="s">
        <v>187</v>
      </c>
      <c r="F112" t="s">
        <v>118</v>
      </c>
      <c r="G112" t="str">
        <f>HYPERLINK("https://vk.com/wall-27863223_292619?reply=292621")</f>
        <v>https://vk.com/wall-27863223_292619?reply=292621</v>
      </c>
      <c r="H112" t="s">
        <v>119</v>
      </c>
      <c r="I112" t="s">
        <v>661</v>
      </c>
      <c r="J112" t="str">
        <f>HYPERLINK("http://vk.com/id271938611")</f>
        <v>http://vk.com/id271938611</v>
      </c>
      <c r="K112">
        <v>73</v>
      </c>
      <c r="L112" t="s">
        <v>121</v>
      </c>
      <c r="N112" t="s">
        <v>122</v>
      </c>
      <c r="O112" t="s">
        <v>175</v>
      </c>
      <c r="P112" t="str">
        <f>HYPERLINK("http://vk.com/club27863223")</f>
        <v>http://vk.com/club27863223</v>
      </c>
      <c r="Q112">
        <v>134698</v>
      </c>
      <c r="R112" t="s">
        <v>124</v>
      </c>
      <c r="S112" t="s">
        <v>125</v>
      </c>
      <c r="W112">
        <v>0</v>
      </c>
      <c r="X112">
        <v>0</v>
      </c>
      <c r="AM112" t="s">
        <v>129</v>
      </c>
      <c r="AN112" t="s">
        <v>130</v>
      </c>
      <c r="AO112" t="s">
        <v>40</v>
      </c>
      <c r="AP112" t="s">
        <v>41</v>
      </c>
      <c r="AZ112" t="s">
        <v>51</v>
      </c>
      <c r="BA112" t="s">
        <v>52</v>
      </c>
    </row>
    <row r="113" spans="1:77" x14ac:dyDescent="0.2">
      <c r="A113" t="s">
        <v>113</v>
      </c>
      <c r="B113" t="s">
        <v>662</v>
      </c>
      <c r="C113" t="s">
        <v>663</v>
      </c>
      <c r="D113" t="s">
        <v>129</v>
      </c>
      <c r="E113" t="s">
        <v>664</v>
      </c>
      <c r="F113" t="s">
        <v>180</v>
      </c>
      <c r="G113" t="str">
        <f>HYPERLINK("https://vk.com/wall-86186210_445109")</f>
        <v>https://vk.com/wall-86186210_445109</v>
      </c>
      <c r="H113" t="s">
        <v>119</v>
      </c>
      <c r="I113" t="s">
        <v>665</v>
      </c>
      <c r="J113" t="str">
        <f>HYPERLINK("http://vk.com/id510546763")</f>
        <v>http://vk.com/id510546763</v>
      </c>
      <c r="K113">
        <v>4</v>
      </c>
      <c r="L113" t="s">
        <v>121</v>
      </c>
      <c r="N113" t="s">
        <v>122</v>
      </c>
      <c r="O113" t="s">
        <v>666</v>
      </c>
      <c r="P113" t="str">
        <f>HYPERLINK("http://vk.com/club86186210")</f>
        <v>http://vk.com/club86186210</v>
      </c>
      <c r="Q113">
        <v>10127</v>
      </c>
      <c r="R113" t="s">
        <v>124</v>
      </c>
      <c r="S113" t="s">
        <v>125</v>
      </c>
      <c r="T113" t="s">
        <v>667</v>
      </c>
      <c r="U113" t="s">
        <v>668</v>
      </c>
      <c r="W113">
        <v>0</v>
      </c>
      <c r="X113">
        <v>0</v>
      </c>
      <c r="AE113">
        <v>1</v>
      </c>
      <c r="AF113">
        <v>0</v>
      </c>
      <c r="AM113" t="s">
        <v>129</v>
      </c>
      <c r="AN113" t="s">
        <v>130</v>
      </c>
      <c r="AP113" t="s">
        <v>41</v>
      </c>
      <c r="AW113" t="s">
        <v>48</v>
      </c>
      <c r="AZ113" t="s">
        <v>51</v>
      </c>
      <c r="BA113" t="s">
        <v>52</v>
      </c>
      <c r="BL113" t="s">
        <v>63</v>
      </c>
    </row>
    <row r="114" spans="1:77" x14ac:dyDescent="0.2">
      <c r="A114" t="s">
        <v>113</v>
      </c>
      <c r="B114" t="s">
        <v>669</v>
      </c>
      <c r="C114" t="s">
        <v>670</v>
      </c>
      <c r="D114" t="s">
        <v>671</v>
      </c>
      <c r="E114" t="s">
        <v>672</v>
      </c>
      <c r="F114" t="s">
        <v>118</v>
      </c>
      <c r="G114" t="str">
        <f>HYPERLINK("https://www.google.com/maps/reviews/data=!4m5!14m4!1m3!1m2!1s106990517650426323956!2s0x0:0x1513e3d38895693c?hl=en-NL")</f>
        <v>https://www.google.com/maps/reviews/data=!4m5!14m4!1m3!1m2!1s106990517650426323956!2s0x0:0x1513e3d38895693c?hl=en-NL</v>
      </c>
      <c r="H114" t="s">
        <v>181</v>
      </c>
      <c r="I114" t="s">
        <v>671</v>
      </c>
      <c r="J114" t="str">
        <f>HYPERLINK("https://maps.google.com/maps/place/data=!3m1!4b1!4m5!3m4!1s0x0:0x1513e3d38895693c!8m2!3d54.733960!4d37.399800")</f>
        <v>https://maps.google.com/maps/place/data=!3m1!4b1!4m5!3m4!1s0x0:0x1513e3d38895693c!8m2!3d54.733960!4d37.399800</v>
      </c>
      <c r="N114" t="s">
        <v>673</v>
      </c>
      <c r="O114" t="s">
        <v>671</v>
      </c>
      <c r="P114" t="str">
        <f>HYPERLINK("https://maps.google.com/maps/place/data=!3m1!4b1!4m5!3m4!1s0x0:0x1513e3d38895693c!8m2!3d54.733960!4d37.399800")</f>
        <v>https://maps.google.com/maps/place/data=!3m1!4b1!4m5!3m4!1s0x0:0x1513e3d38895693c!8m2!3d54.733960!4d37.399800</v>
      </c>
      <c r="R114" t="s">
        <v>184</v>
      </c>
      <c r="S114" t="s">
        <v>125</v>
      </c>
      <c r="T114" t="s">
        <v>372</v>
      </c>
      <c r="U114" t="s">
        <v>674</v>
      </c>
      <c r="AM114" t="s">
        <v>129</v>
      </c>
      <c r="AN114" t="s">
        <v>130</v>
      </c>
      <c r="BI114" t="s">
        <v>60</v>
      </c>
    </row>
    <row r="115" spans="1:77" x14ac:dyDescent="0.2">
      <c r="A115" t="s">
        <v>113</v>
      </c>
      <c r="B115" t="s">
        <v>675</v>
      </c>
      <c r="C115" t="s">
        <v>676</v>
      </c>
      <c r="D115" t="s">
        <v>677</v>
      </c>
      <c r="E115" t="s">
        <v>678</v>
      </c>
      <c r="F115" t="s">
        <v>118</v>
      </c>
      <c r="G115" t="str">
        <f>HYPERLINK("https://www.youtube.com/watch?v=Q4Dt0BYMYQU&amp;lc=UgzD3NN9I8KRlVwIJGx4AaABAg")</f>
        <v>https://www.youtube.com/watch?v=Q4Dt0BYMYQU&amp;lc=UgzD3NN9I8KRlVwIJGx4AaABAg</v>
      </c>
      <c r="H115" t="s">
        <v>119</v>
      </c>
      <c r="I115" t="s">
        <v>679</v>
      </c>
      <c r="J115" t="str">
        <f>HYPERLINK("https://www.youtube.com/channel/UCeNyAUZtyPFpdyTJXNujhqw")</f>
        <v>https://www.youtube.com/channel/UCeNyAUZtyPFpdyTJXNujhqw</v>
      </c>
      <c r="K115">
        <v>0</v>
      </c>
      <c r="N115" t="s">
        <v>248</v>
      </c>
      <c r="O115" t="s">
        <v>680</v>
      </c>
      <c r="P115" t="str">
        <f>HYPERLINK("https://www.youtube.com/channel/UCxnmhtdsil-s_rGuwunyZSA")</f>
        <v>https://www.youtube.com/channel/UCxnmhtdsil-s_rGuwunyZSA</v>
      </c>
      <c r="Q115">
        <v>124000</v>
      </c>
      <c r="R115" t="s">
        <v>124</v>
      </c>
      <c r="S115" t="s">
        <v>125</v>
      </c>
      <c r="W115">
        <v>1</v>
      </c>
      <c r="X115">
        <v>1</v>
      </c>
      <c r="AE115">
        <v>0</v>
      </c>
      <c r="AM115" t="s">
        <v>129</v>
      </c>
      <c r="AN115" t="s">
        <v>130</v>
      </c>
      <c r="AP115" t="s">
        <v>41</v>
      </c>
      <c r="AZ115" t="s">
        <v>51</v>
      </c>
      <c r="BA115" t="s">
        <v>52</v>
      </c>
      <c r="BK115" t="s">
        <v>62</v>
      </c>
      <c r="BL115" t="s">
        <v>63</v>
      </c>
    </row>
    <row r="116" spans="1:77" x14ac:dyDescent="0.2">
      <c r="A116" t="s">
        <v>113</v>
      </c>
      <c r="B116" t="s">
        <v>681</v>
      </c>
      <c r="C116" t="s">
        <v>682</v>
      </c>
      <c r="D116" t="s">
        <v>547</v>
      </c>
      <c r="E116" t="s">
        <v>683</v>
      </c>
      <c r="F116" t="s">
        <v>118</v>
      </c>
      <c r="G116" t="str">
        <f>HYPERLINK("https://vk.com/topic-204351896_47766891?post=136")</f>
        <v>https://vk.com/topic-204351896_47766891?post=136</v>
      </c>
      <c r="H116" t="s">
        <v>119</v>
      </c>
      <c r="I116" t="s">
        <v>549</v>
      </c>
      <c r="J116" t="str">
        <f>HYPERLINK("http://vk.com/id9850745")</f>
        <v>http://vk.com/id9850745</v>
      </c>
      <c r="K116">
        <v>70</v>
      </c>
      <c r="L116" t="s">
        <v>121</v>
      </c>
      <c r="M116">
        <v>42</v>
      </c>
      <c r="N116" t="s">
        <v>122</v>
      </c>
      <c r="O116" t="s">
        <v>359</v>
      </c>
      <c r="P116" t="str">
        <f>HYPERLINK("http://vk.com/club204351896")</f>
        <v>http://vk.com/club204351896</v>
      </c>
      <c r="Q116">
        <v>272</v>
      </c>
      <c r="R116" t="s">
        <v>124</v>
      </c>
      <c r="S116" t="s">
        <v>125</v>
      </c>
      <c r="AJ116" t="s">
        <v>684</v>
      </c>
      <c r="AK116" t="s">
        <v>129</v>
      </c>
      <c r="AL116" t="str">
        <f>HYPERLINK("https://sun9-8.userapi.com/impg/UUVsjhOIcKtVK7uR-7u5HwtBa5VJtonPdMpQVQ/ju8nKcNH6z0.jpg?size=1920x1434&amp;quality=96&amp;sign=ba26f06d36b8242903013af4f16575f9&amp;c_uniq_tag=oIQzeCQsDjEF7T892fmGC_xE3lsjWbDqF99XAHwFCBg&amp;type=album")</f>
        <v>https://sun9-8.userapi.com/impg/UUVsjhOIcKtVK7uR-7u5HwtBa5VJtonPdMpQVQ/ju8nKcNH6z0.jpg?size=1920x1434&amp;quality=96&amp;sign=ba26f06d36b8242903013af4f16575f9&amp;c_uniq_tag=oIQzeCQsDjEF7T892fmGC_xE3lsjWbDqF99XAHwFCBg&amp;type=album</v>
      </c>
      <c r="AM116" t="s">
        <v>129</v>
      </c>
      <c r="AN116" t="s">
        <v>130</v>
      </c>
      <c r="AP116" t="s">
        <v>41</v>
      </c>
      <c r="AU116" t="s">
        <v>46</v>
      </c>
      <c r="AZ116" t="s">
        <v>51</v>
      </c>
      <c r="BA116" t="s">
        <v>52</v>
      </c>
      <c r="BL116" t="s">
        <v>63</v>
      </c>
    </row>
    <row r="117" spans="1:77" x14ac:dyDescent="0.2">
      <c r="A117" t="s">
        <v>113</v>
      </c>
      <c r="B117" t="s">
        <v>685</v>
      </c>
      <c r="C117" t="s">
        <v>686</v>
      </c>
      <c r="D117" t="s">
        <v>687</v>
      </c>
      <c r="E117" t="s">
        <v>688</v>
      </c>
      <c r="F117" t="s">
        <v>180</v>
      </c>
      <c r="G117" t="str">
        <f>HYPERLINK("https://otvet.mail.ru/answer/1994790608")</f>
        <v>https://otvet.mail.ru/answer/1994790608</v>
      </c>
      <c r="H117" t="s">
        <v>181</v>
      </c>
      <c r="I117" t="s">
        <v>689</v>
      </c>
      <c r="J117" t="str">
        <f>HYPERLINK("http://otvet.mail.ru/profile/id16497140")</f>
        <v>http://otvet.mail.ru/profile/id16497140</v>
      </c>
      <c r="N117" t="s">
        <v>690</v>
      </c>
      <c r="O117" t="s">
        <v>691</v>
      </c>
      <c r="P117" t="str">
        <f>HYPERLINK("https://otvet.mail.ru/pc_other/")</f>
        <v>https://otvet.mail.ru/pc_other/</v>
      </c>
      <c r="R117" t="s">
        <v>295</v>
      </c>
      <c r="S117" t="s">
        <v>125</v>
      </c>
      <c r="AM117" t="s">
        <v>129</v>
      </c>
      <c r="AN117" t="s">
        <v>130</v>
      </c>
      <c r="AP117" t="s">
        <v>41</v>
      </c>
      <c r="AZ117" t="s">
        <v>51</v>
      </c>
      <c r="BA117" t="s">
        <v>52</v>
      </c>
    </row>
    <row r="118" spans="1:77" x14ac:dyDescent="0.2">
      <c r="A118" t="s">
        <v>113</v>
      </c>
      <c r="B118" t="s">
        <v>692</v>
      </c>
      <c r="C118" t="s">
        <v>693</v>
      </c>
      <c r="D118" t="s">
        <v>129</v>
      </c>
      <c r="E118" t="s">
        <v>694</v>
      </c>
      <c r="F118" t="s">
        <v>118</v>
      </c>
      <c r="G118" t="str">
        <f>HYPERLINK("https://www.facebook.com/groups/NeStrelyaj/permalink/954171108460989/?comment_id=954508581760575&amp;reply_comment_id=956352791576154")</f>
        <v>https://www.facebook.com/groups/NeStrelyaj/permalink/954171108460989/?comment_id=954508581760575&amp;reply_comment_id=956352791576154</v>
      </c>
      <c r="H118" t="s">
        <v>119</v>
      </c>
      <c r="I118" t="s">
        <v>695</v>
      </c>
      <c r="J118" t="str">
        <f>HYPERLINK("https://www.facebook.com/100002360413124")</f>
        <v>https://www.facebook.com/100002360413124</v>
      </c>
      <c r="K118">
        <v>5211</v>
      </c>
      <c r="L118" t="s">
        <v>121</v>
      </c>
      <c r="N118" t="s">
        <v>305</v>
      </c>
      <c r="O118" t="s">
        <v>696</v>
      </c>
      <c r="P118" t="str">
        <f>HYPERLINK("https://www.facebook.com/461171627760942")</f>
        <v>https://www.facebook.com/461171627760942</v>
      </c>
      <c r="Q118">
        <v>10929</v>
      </c>
      <c r="R118" t="s">
        <v>124</v>
      </c>
      <c r="S118" t="s">
        <v>125</v>
      </c>
      <c r="T118" t="s">
        <v>372</v>
      </c>
      <c r="U118" t="s">
        <v>373</v>
      </c>
      <c r="W118">
        <v>0</v>
      </c>
      <c r="X118">
        <v>0</v>
      </c>
      <c r="AE118">
        <v>0</v>
      </c>
      <c r="AM118" t="s">
        <v>129</v>
      </c>
      <c r="AN118" t="s">
        <v>130</v>
      </c>
      <c r="AP118" t="s">
        <v>41</v>
      </c>
      <c r="AU118" t="s">
        <v>46</v>
      </c>
      <c r="AZ118" t="s">
        <v>51</v>
      </c>
      <c r="BA118" t="s">
        <v>52</v>
      </c>
      <c r="BY118" t="s">
        <v>76</v>
      </c>
    </row>
    <row r="119" spans="1:77" x14ac:dyDescent="0.2">
      <c r="A119" t="s">
        <v>113</v>
      </c>
      <c r="B119" t="s">
        <v>697</v>
      </c>
      <c r="C119" t="s">
        <v>475</v>
      </c>
      <c r="D119" t="s">
        <v>476</v>
      </c>
      <c r="E119" t="s">
        <v>698</v>
      </c>
      <c r="F119" t="s">
        <v>180</v>
      </c>
      <c r="G119" t="str">
        <f>HYPERLINK("https://www.ozon.ru/context/detail/id/261611432/#63329865")</f>
        <v>https://www.ozon.ru/context/detail/id/261611432/#63329865</v>
      </c>
      <c r="H119" t="s">
        <v>181</v>
      </c>
      <c r="I119" t="s">
        <v>699</v>
      </c>
      <c r="J119" t="str">
        <f>HYPERLINK("https://www.ozon.ru/context/client_opinion/ClientGuid/9834df00-2af2-46ea-aedd-c3c35a47a263/")</f>
        <v>https://www.ozon.ru/context/client_opinion/ClientGuid/9834df00-2af2-46ea-aedd-c3c35a47a263/</v>
      </c>
      <c r="L119" t="s">
        <v>151</v>
      </c>
      <c r="N119" t="s">
        <v>183</v>
      </c>
      <c r="O119" t="s">
        <v>476</v>
      </c>
      <c r="P119" t="str">
        <f>HYPERLINK("https://www.ozon.ru/context/detail/id/261611432/")</f>
        <v>https://www.ozon.ru/context/detail/id/261611432/</v>
      </c>
      <c r="R119" t="s">
        <v>184</v>
      </c>
      <c r="S119" t="s">
        <v>125</v>
      </c>
      <c r="W119">
        <v>0</v>
      </c>
      <c r="X119">
        <v>0</v>
      </c>
      <c r="AH119">
        <v>5</v>
      </c>
      <c r="AM119" t="s">
        <v>129</v>
      </c>
      <c r="AN119" t="s">
        <v>130</v>
      </c>
      <c r="AP119" t="s">
        <v>41</v>
      </c>
      <c r="AT119" t="s">
        <v>45</v>
      </c>
      <c r="AY119" t="s">
        <v>50</v>
      </c>
      <c r="AZ119" t="s">
        <v>51</v>
      </c>
      <c r="BA119" t="s">
        <v>52</v>
      </c>
    </row>
    <row r="120" spans="1:77" x14ac:dyDescent="0.2">
      <c r="A120" t="s">
        <v>113</v>
      </c>
      <c r="B120" t="s">
        <v>700</v>
      </c>
      <c r="C120" t="s">
        <v>701</v>
      </c>
      <c r="D120" t="s">
        <v>702</v>
      </c>
      <c r="E120" t="s">
        <v>703</v>
      </c>
      <c r="F120" t="s">
        <v>118</v>
      </c>
      <c r="G120" t="str">
        <f>HYPERLINK("https://vk.com/wall-184243975_4657997?reply=4663001")</f>
        <v>https://vk.com/wall-184243975_4657997?reply=4663001</v>
      </c>
      <c r="H120" t="s">
        <v>119</v>
      </c>
      <c r="I120" t="s">
        <v>704</v>
      </c>
      <c r="J120" t="str">
        <f>HYPERLINK("http://vk.com/id336799249")</f>
        <v>http://vk.com/id336799249</v>
      </c>
      <c r="K120">
        <v>47</v>
      </c>
      <c r="L120" t="s">
        <v>121</v>
      </c>
      <c r="M120">
        <v>65</v>
      </c>
      <c r="N120" t="s">
        <v>122</v>
      </c>
      <c r="O120" t="s">
        <v>705</v>
      </c>
      <c r="P120" t="str">
        <f>HYPERLINK("http://vk.com/club184243975")</f>
        <v>http://vk.com/club184243975</v>
      </c>
      <c r="Q120">
        <v>1146702</v>
      </c>
      <c r="R120" t="s">
        <v>124</v>
      </c>
      <c r="S120" t="s">
        <v>125</v>
      </c>
      <c r="T120" t="s">
        <v>189</v>
      </c>
      <c r="U120" t="s">
        <v>190</v>
      </c>
      <c r="AM120" t="s">
        <v>129</v>
      </c>
      <c r="AN120" t="s">
        <v>130</v>
      </c>
      <c r="AP120" t="s">
        <v>41</v>
      </c>
      <c r="AU120" t="s">
        <v>46</v>
      </c>
      <c r="AZ120" t="s">
        <v>51</v>
      </c>
      <c r="BA120" t="s">
        <v>52</v>
      </c>
    </row>
    <row r="121" spans="1:77" x14ac:dyDescent="0.2">
      <c r="A121" t="s">
        <v>113</v>
      </c>
      <c r="B121" t="s">
        <v>706</v>
      </c>
      <c r="C121" t="s">
        <v>707</v>
      </c>
      <c r="D121" t="s">
        <v>204</v>
      </c>
      <c r="E121" t="s">
        <v>708</v>
      </c>
      <c r="F121" t="s">
        <v>180</v>
      </c>
      <c r="G121" t="str">
        <f>HYPERLINK("https://play.google.com/store/apps/details?id=ru.iflex.android.a3colortv&amp;reviewId=gp:AOqpTOEbdl9F-LgieTIyjTEDaDsZ-aiX32Xv9JzQWcrIzQaQlK4y6c1g8WoNvomM6mrEV3JCuO_pUUsl6b6ZCA")</f>
        <v>https://play.google.com/store/apps/details?id=ru.iflex.android.a3colortv&amp;reviewId=gp:AOqpTOEbdl9F-LgieTIyjTEDaDsZ-aiX32Xv9JzQWcrIzQaQlK4y6c1g8WoNvomM6mrEV3JCuO_pUUsl6b6ZCA</v>
      </c>
      <c r="H121" t="s">
        <v>181</v>
      </c>
      <c r="I121" t="s">
        <v>709</v>
      </c>
      <c r="J121" t="str">
        <f>HYPERLINK("https://plus.google.com/108369102907841316707")</f>
        <v>https://plus.google.com/108369102907841316707</v>
      </c>
      <c r="L121" t="s">
        <v>151</v>
      </c>
      <c r="N121" t="s">
        <v>207</v>
      </c>
      <c r="O121" t="s">
        <v>204</v>
      </c>
      <c r="P121" t="str">
        <f>HYPERLINK("https://play.google.com/store/apps/details?id=ru.iflex.android.a3colortv&amp;hl=ru")</f>
        <v>https://play.google.com/store/apps/details?id=ru.iflex.android.a3colortv&amp;hl=ru</v>
      </c>
      <c r="R121" t="s">
        <v>184</v>
      </c>
      <c r="S121" t="s">
        <v>125</v>
      </c>
      <c r="W121">
        <v>0</v>
      </c>
      <c r="X121">
        <v>0</v>
      </c>
      <c r="AH121">
        <v>5</v>
      </c>
      <c r="AM121" t="s">
        <v>129</v>
      </c>
      <c r="AN121" t="s">
        <v>130</v>
      </c>
      <c r="AP121" t="s">
        <v>41</v>
      </c>
      <c r="AU121" t="s">
        <v>46</v>
      </c>
      <c r="AY121" t="s">
        <v>50</v>
      </c>
      <c r="AZ121" t="s">
        <v>51</v>
      </c>
      <c r="BA121" t="s">
        <v>52</v>
      </c>
      <c r="BQ121" t="s">
        <v>68</v>
      </c>
    </row>
    <row r="122" spans="1:77" x14ac:dyDescent="0.2">
      <c r="A122" t="s">
        <v>113</v>
      </c>
      <c r="B122" t="s">
        <v>710</v>
      </c>
      <c r="C122" t="s">
        <v>711</v>
      </c>
      <c r="D122" t="s">
        <v>215</v>
      </c>
      <c r="E122" t="s">
        <v>712</v>
      </c>
      <c r="F122" t="s">
        <v>118</v>
      </c>
      <c r="G122" t="str">
        <f>HYPERLINK("https://vk.com/wall-27863223_292439?reply=292618")</f>
        <v>https://vk.com/wall-27863223_292439?reply=292618</v>
      </c>
      <c r="H122" t="s">
        <v>119</v>
      </c>
      <c r="I122" t="s">
        <v>211</v>
      </c>
      <c r="J122" t="str">
        <f>HYPERLINK("http://vk.com/id69897514")</f>
        <v>http://vk.com/id69897514</v>
      </c>
      <c r="K122">
        <v>1088</v>
      </c>
      <c r="L122" t="s">
        <v>151</v>
      </c>
      <c r="N122" t="s">
        <v>122</v>
      </c>
      <c r="O122" t="s">
        <v>175</v>
      </c>
      <c r="P122" t="str">
        <f>HYPERLINK("http://vk.com/club27863223")</f>
        <v>http://vk.com/club27863223</v>
      </c>
      <c r="Q122">
        <v>134698</v>
      </c>
      <c r="R122" t="s">
        <v>124</v>
      </c>
      <c r="S122" t="s">
        <v>125</v>
      </c>
      <c r="T122" t="s">
        <v>212</v>
      </c>
      <c r="U122" t="s">
        <v>213</v>
      </c>
      <c r="W122">
        <v>0</v>
      </c>
      <c r="X122">
        <v>0</v>
      </c>
      <c r="AM122" t="s">
        <v>129</v>
      </c>
      <c r="AN122" t="s">
        <v>130</v>
      </c>
      <c r="AO122" t="s">
        <v>40</v>
      </c>
      <c r="AP122" t="s">
        <v>41</v>
      </c>
      <c r="AZ122" t="s">
        <v>51</v>
      </c>
      <c r="BA122" t="s">
        <v>52</v>
      </c>
    </row>
    <row r="123" spans="1:77" x14ac:dyDescent="0.2">
      <c r="A123" t="s">
        <v>113</v>
      </c>
      <c r="B123" t="s">
        <v>713</v>
      </c>
      <c r="C123" t="s">
        <v>714</v>
      </c>
      <c r="D123" t="s">
        <v>715</v>
      </c>
      <c r="E123" t="s">
        <v>716</v>
      </c>
      <c r="F123" t="s">
        <v>118</v>
      </c>
      <c r="G123" t="str">
        <f>HYPERLINK("https://vk.com/wall-47267385_624040?reply=624058")</f>
        <v>https://vk.com/wall-47267385_624040?reply=624058</v>
      </c>
      <c r="H123" t="s">
        <v>119</v>
      </c>
      <c r="I123" t="s">
        <v>717</v>
      </c>
      <c r="J123" t="str">
        <f>HYPERLINK("http://vk.com/id643058073")</f>
        <v>http://vk.com/id643058073</v>
      </c>
      <c r="K123">
        <v>15</v>
      </c>
      <c r="L123" t="s">
        <v>121</v>
      </c>
      <c r="N123" t="s">
        <v>122</v>
      </c>
      <c r="O123" t="s">
        <v>718</v>
      </c>
      <c r="P123" t="str">
        <f>HYPERLINK("http://vk.com/club47267385")</f>
        <v>http://vk.com/club47267385</v>
      </c>
      <c r="Q123">
        <v>24843</v>
      </c>
      <c r="R123" t="s">
        <v>124</v>
      </c>
      <c r="S123" t="s">
        <v>125</v>
      </c>
      <c r="T123" t="s">
        <v>169</v>
      </c>
      <c r="U123" t="s">
        <v>169</v>
      </c>
      <c r="AM123" t="s">
        <v>129</v>
      </c>
      <c r="AN123" t="s">
        <v>130</v>
      </c>
      <c r="AP123" t="s">
        <v>41</v>
      </c>
      <c r="AU123" t="s">
        <v>46</v>
      </c>
      <c r="AZ123" t="s">
        <v>51</v>
      </c>
      <c r="BA123" t="s">
        <v>52</v>
      </c>
    </row>
    <row r="124" spans="1:77" x14ac:dyDescent="0.2">
      <c r="A124" t="s">
        <v>113</v>
      </c>
      <c r="B124" t="s">
        <v>713</v>
      </c>
      <c r="C124" t="s">
        <v>714</v>
      </c>
      <c r="D124" t="s">
        <v>715</v>
      </c>
      <c r="E124" t="s">
        <v>719</v>
      </c>
      <c r="F124" t="s">
        <v>118</v>
      </c>
      <c r="G124" t="str">
        <f>HYPERLINK("https://vk.com/wall-47267385_624040?reply=624057")</f>
        <v>https://vk.com/wall-47267385_624040?reply=624057</v>
      </c>
      <c r="H124" t="s">
        <v>119</v>
      </c>
      <c r="I124" t="s">
        <v>717</v>
      </c>
      <c r="J124" t="str">
        <f>HYPERLINK("http://vk.com/id643058073")</f>
        <v>http://vk.com/id643058073</v>
      </c>
      <c r="K124">
        <v>15</v>
      </c>
      <c r="L124" t="s">
        <v>121</v>
      </c>
      <c r="N124" t="s">
        <v>122</v>
      </c>
      <c r="O124" t="s">
        <v>718</v>
      </c>
      <c r="P124" t="str">
        <f>HYPERLINK("http://vk.com/club47267385")</f>
        <v>http://vk.com/club47267385</v>
      </c>
      <c r="Q124">
        <v>24843</v>
      </c>
      <c r="R124" t="s">
        <v>124</v>
      </c>
      <c r="S124" t="s">
        <v>125</v>
      </c>
      <c r="T124" t="s">
        <v>169</v>
      </c>
      <c r="U124" t="s">
        <v>169</v>
      </c>
      <c r="AM124" t="s">
        <v>129</v>
      </c>
      <c r="AN124" t="s">
        <v>130</v>
      </c>
      <c r="AP124" t="s">
        <v>41</v>
      </c>
      <c r="AU124" t="s">
        <v>46</v>
      </c>
      <c r="AZ124" t="s">
        <v>51</v>
      </c>
      <c r="BA124" t="s">
        <v>52</v>
      </c>
    </row>
    <row r="125" spans="1:77" x14ac:dyDescent="0.2">
      <c r="A125" t="s">
        <v>113</v>
      </c>
      <c r="B125" t="s">
        <v>720</v>
      </c>
      <c r="C125" t="s">
        <v>721</v>
      </c>
      <c r="D125" t="s">
        <v>715</v>
      </c>
      <c r="E125" t="s">
        <v>722</v>
      </c>
      <c r="F125" t="s">
        <v>118</v>
      </c>
      <c r="G125" t="str">
        <f>HYPERLINK("https://vk.com/wall-47267385_624040?reply=624056")</f>
        <v>https://vk.com/wall-47267385_624040?reply=624056</v>
      </c>
      <c r="H125" t="s">
        <v>119</v>
      </c>
      <c r="I125" t="s">
        <v>717</v>
      </c>
      <c r="J125" t="str">
        <f>HYPERLINK("http://vk.com/id643058073")</f>
        <v>http://vk.com/id643058073</v>
      </c>
      <c r="K125">
        <v>15</v>
      </c>
      <c r="L125" t="s">
        <v>121</v>
      </c>
      <c r="N125" t="s">
        <v>122</v>
      </c>
      <c r="O125" t="s">
        <v>718</v>
      </c>
      <c r="P125" t="str">
        <f>HYPERLINK("http://vk.com/club47267385")</f>
        <v>http://vk.com/club47267385</v>
      </c>
      <c r="Q125">
        <v>24843</v>
      </c>
      <c r="R125" t="s">
        <v>124</v>
      </c>
      <c r="S125" t="s">
        <v>125</v>
      </c>
      <c r="T125" t="s">
        <v>169</v>
      </c>
      <c r="U125" t="s">
        <v>169</v>
      </c>
      <c r="AM125" t="s">
        <v>129</v>
      </c>
      <c r="AN125" t="s">
        <v>130</v>
      </c>
      <c r="AP125" t="s">
        <v>41</v>
      </c>
      <c r="AU125" t="s">
        <v>46</v>
      </c>
      <c r="AZ125" t="s">
        <v>51</v>
      </c>
      <c r="BA125" t="s">
        <v>52</v>
      </c>
    </row>
    <row r="126" spans="1:77" x14ac:dyDescent="0.2">
      <c r="A126" t="s">
        <v>113</v>
      </c>
      <c r="B126" t="s">
        <v>723</v>
      </c>
      <c r="C126" t="s">
        <v>724</v>
      </c>
      <c r="D126" t="s">
        <v>725</v>
      </c>
      <c r="E126" t="s">
        <v>726</v>
      </c>
      <c r="F126" t="s">
        <v>118</v>
      </c>
      <c r="G126" t="str">
        <f>HYPERLINK("https://vk.com/wall-24136539_5654291?reply=5655961")</f>
        <v>https://vk.com/wall-24136539_5654291?reply=5655961</v>
      </c>
      <c r="H126" t="s">
        <v>228</v>
      </c>
      <c r="I126" t="s">
        <v>727</v>
      </c>
      <c r="J126" t="str">
        <f>HYPERLINK("http://vk.com/id580546500")</f>
        <v>http://vk.com/id580546500</v>
      </c>
      <c r="K126">
        <v>90</v>
      </c>
      <c r="L126" t="s">
        <v>151</v>
      </c>
      <c r="M126">
        <v>37</v>
      </c>
      <c r="N126" t="s">
        <v>122</v>
      </c>
      <c r="O126" t="s">
        <v>728</v>
      </c>
      <c r="P126" t="str">
        <f>HYPERLINK("http://vk.com/club24136539")</f>
        <v>http://vk.com/club24136539</v>
      </c>
      <c r="Q126">
        <v>792199</v>
      </c>
      <c r="R126" t="s">
        <v>124</v>
      </c>
      <c r="S126" t="s">
        <v>125</v>
      </c>
      <c r="AM126" t="s">
        <v>129</v>
      </c>
      <c r="AN126" t="s">
        <v>130</v>
      </c>
      <c r="AP126" t="s">
        <v>41</v>
      </c>
      <c r="AZ126" t="s">
        <v>51</v>
      </c>
      <c r="BA126" t="s">
        <v>52</v>
      </c>
      <c r="BM126" t="s">
        <v>64</v>
      </c>
    </row>
    <row r="127" spans="1:77" x14ac:dyDescent="0.2">
      <c r="A127" t="s">
        <v>113</v>
      </c>
      <c r="B127" t="s">
        <v>729</v>
      </c>
      <c r="C127" t="s">
        <v>730</v>
      </c>
      <c r="D127" t="s">
        <v>731</v>
      </c>
      <c r="E127" t="s">
        <v>732</v>
      </c>
      <c r="F127" t="s">
        <v>118</v>
      </c>
      <c r="G127" t="str">
        <f>HYPERLINK("https://vk.com/wall-61101621_254853?reply=254887")</f>
        <v>https://vk.com/wall-61101621_254853?reply=254887</v>
      </c>
      <c r="H127" t="s">
        <v>119</v>
      </c>
      <c r="I127" t="s">
        <v>733</v>
      </c>
      <c r="J127" t="str">
        <f>HYPERLINK("http://vk.com/id618635793")</f>
        <v>http://vk.com/id618635793</v>
      </c>
      <c r="K127">
        <v>18</v>
      </c>
      <c r="L127" t="s">
        <v>121</v>
      </c>
      <c r="M127">
        <v>53</v>
      </c>
      <c r="N127" t="s">
        <v>122</v>
      </c>
      <c r="O127" t="s">
        <v>160</v>
      </c>
      <c r="P127" t="str">
        <f>HYPERLINK("http://vk.com/club61101621")</f>
        <v>http://vk.com/club61101621</v>
      </c>
      <c r="Q127">
        <v>21119</v>
      </c>
      <c r="R127" t="s">
        <v>124</v>
      </c>
      <c r="S127" t="s">
        <v>125</v>
      </c>
      <c r="T127" t="s">
        <v>212</v>
      </c>
      <c r="U127" t="s">
        <v>734</v>
      </c>
      <c r="W127">
        <v>0</v>
      </c>
      <c r="X127">
        <v>0</v>
      </c>
      <c r="AM127" t="s">
        <v>129</v>
      </c>
      <c r="AN127" t="s">
        <v>130</v>
      </c>
      <c r="AP127" t="s">
        <v>41</v>
      </c>
      <c r="AT127" t="s">
        <v>45</v>
      </c>
      <c r="AZ127" t="s">
        <v>51</v>
      </c>
      <c r="BA127" t="s">
        <v>52</v>
      </c>
    </row>
    <row r="128" spans="1:77" x14ac:dyDescent="0.2">
      <c r="A128" t="s">
        <v>113</v>
      </c>
      <c r="B128" t="s">
        <v>735</v>
      </c>
      <c r="C128" t="s">
        <v>736</v>
      </c>
      <c r="D128" t="s">
        <v>737</v>
      </c>
      <c r="E128" t="s">
        <v>738</v>
      </c>
      <c r="F128" t="s">
        <v>180</v>
      </c>
      <c r="G128" t="str">
        <f>HYPERLINK("https://torpedom.ru/gb/comments.php?id=218424")</f>
        <v>https://torpedom.ru/gb/comments.php?id=218424</v>
      </c>
      <c r="H128" t="s">
        <v>119</v>
      </c>
      <c r="I128" t="s">
        <v>739</v>
      </c>
      <c r="J128" t="str">
        <f>HYPERLINK("https://torpedom.ru/profile/1206")</f>
        <v>https://torpedom.ru/profile/1206</v>
      </c>
      <c r="L128" t="s">
        <v>121</v>
      </c>
      <c r="N128" t="s">
        <v>740</v>
      </c>
      <c r="O128" t="s">
        <v>741</v>
      </c>
      <c r="P128" t="str">
        <f>HYPERLINK("https://torpedom.ru/gb/")</f>
        <v>https://torpedom.ru/gb/</v>
      </c>
      <c r="R128" t="s">
        <v>295</v>
      </c>
      <c r="S128" t="s">
        <v>125</v>
      </c>
      <c r="AM128" t="s">
        <v>129</v>
      </c>
      <c r="AN128" t="s">
        <v>130</v>
      </c>
      <c r="AP128" t="s">
        <v>41</v>
      </c>
      <c r="AU128" t="s">
        <v>46</v>
      </c>
      <c r="AZ128" t="s">
        <v>51</v>
      </c>
      <c r="BA128" t="s">
        <v>52</v>
      </c>
    </row>
    <row r="129" spans="1:69" x14ac:dyDescent="0.2">
      <c r="A129" t="s">
        <v>113</v>
      </c>
      <c r="B129" t="s">
        <v>742</v>
      </c>
      <c r="C129" t="s">
        <v>743</v>
      </c>
      <c r="D129" t="s">
        <v>215</v>
      </c>
      <c r="E129" t="s">
        <v>744</v>
      </c>
      <c r="F129" t="s">
        <v>118</v>
      </c>
      <c r="G129" t="str">
        <f>HYPERLINK("https://vk.com/wall-27863223_292439?reply=292617")</f>
        <v>https://vk.com/wall-27863223_292439?reply=292617</v>
      </c>
      <c r="H129" t="s">
        <v>119</v>
      </c>
      <c r="I129" t="s">
        <v>745</v>
      </c>
      <c r="J129" t="str">
        <f>HYPERLINK("http://vk.com/id254497597")</f>
        <v>http://vk.com/id254497597</v>
      </c>
      <c r="L129" t="s">
        <v>151</v>
      </c>
      <c r="N129" t="s">
        <v>122</v>
      </c>
      <c r="O129" t="s">
        <v>175</v>
      </c>
      <c r="P129" t="str">
        <f>HYPERLINK("http://vk.com/club27863223")</f>
        <v>http://vk.com/club27863223</v>
      </c>
      <c r="Q129">
        <v>134698</v>
      </c>
      <c r="R129" t="s">
        <v>124</v>
      </c>
      <c r="W129">
        <v>0</v>
      </c>
      <c r="X129">
        <v>0</v>
      </c>
      <c r="AM129" t="s">
        <v>129</v>
      </c>
      <c r="AN129" t="s">
        <v>130</v>
      </c>
      <c r="AO129" t="s">
        <v>40</v>
      </c>
      <c r="AP129" t="s">
        <v>41</v>
      </c>
      <c r="AZ129" t="s">
        <v>51</v>
      </c>
      <c r="BA129" t="s">
        <v>52</v>
      </c>
    </row>
    <row r="130" spans="1:69" x14ac:dyDescent="0.2">
      <c r="A130" t="s">
        <v>113</v>
      </c>
      <c r="B130" t="s">
        <v>746</v>
      </c>
      <c r="C130" t="s">
        <v>747</v>
      </c>
      <c r="D130" t="s">
        <v>215</v>
      </c>
      <c r="E130" t="s">
        <v>216</v>
      </c>
      <c r="F130" t="s">
        <v>118</v>
      </c>
      <c r="G130" t="str">
        <f>HYPERLINK("https://vk.com/wall-27863223_292439?reply=292616")</f>
        <v>https://vk.com/wall-27863223_292439?reply=292616</v>
      </c>
      <c r="H130" t="s">
        <v>119</v>
      </c>
      <c r="I130" t="s">
        <v>272</v>
      </c>
      <c r="J130" t="str">
        <f>HYPERLINK("http://vk.com/id121820961")</f>
        <v>http://vk.com/id121820961</v>
      </c>
      <c r="K130">
        <v>78</v>
      </c>
      <c r="L130" t="s">
        <v>121</v>
      </c>
      <c r="M130">
        <v>29</v>
      </c>
      <c r="N130" t="s">
        <v>122</v>
      </c>
      <c r="O130" t="s">
        <v>175</v>
      </c>
      <c r="P130" t="str">
        <f>HYPERLINK("http://vk.com/club27863223")</f>
        <v>http://vk.com/club27863223</v>
      </c>
      <c r="Q130">
        <v>134698</v>
      </c>
      <c r="R130" t="s">
        <v>124</v>
      </c>
      <c r="S130" t="s">
        <v>125</v>
      </c>
      <c r="T130" t="s">
        <v>273</v>
      </c>
      <c r="U130" t="s">
        <v>274</v>
      </c>
      <c r="W130">
        <v>0</v>
      </c>
      <c r="X130">
        <v>0</v>
      </c>
      <c r="AM130" t="s">
        <v>129</v>
      </c>
      <c r="AN130" t="s">
        <v>130</v>
      </c>
      <c r="AO130" t="s">
        <v>40</v>
      </c>
      <c r="AP130" t="s">
        <v>41</v>
      </c>
      <c r="AZ130" t="s">
        <v>51</v>
      </c>
      <c r="BA130" t="s">
        <v>52</v>
      </c>
    </row>
    <row r="131" spans="1:69" x14ac:dyDescent="0.2">
      <c r="A131" t="s">
        <v>748</v>
      </c>
      <c r="B131" t="s">
        <v>749</v>
      </c>
      <c r="C131" t="s">
        <v>750</v>
      </c>
      <c r="D131" t="s">
        <v>424</v>
      </c>
      <c r="E131" t="s">
        <v>751</v>
      </c>
      <c r="F131" t="s">
        <v>118</v>
      </c>
      <c r="G131" t="str">
        <f>HYPERLINK("https://vk.com/topic-124657642_40664927?post=4906")</f>
        <v>https://vk.com/topic-124657642_40664927?post=4906</v>
      </c>
      <c r="H131" t="s">
        <v>119</v>
      </c>
      <c r="I131" t="s">
        <v>752</v>
      </c>
      <c r="J131" t="str">
        <f>HYPERLINK("http://vk.com/id68980458")</f>
        <v>http://vk.com/id68980458</v>
      </c>
      <c r="L131" t="s">
        <v>121</v>
      </c>
      <c r="N131" t="s">
        <v>122</v>
      </c>
      <c r="O131" t="s">
        <v>427</v>
      </c>
      <c r="P131" t="str">
        <f>HYPERLINK("http://vk.com/club124657642")</f>
        <v>http://vk.com/club124657642</v>
      </c>
      <c r="Q131">
        <v>15373</v>
      </c>
      <c r="R131" t="s">
        <v>124</v>
      </c>
      <c r="S131" t="s">
        <v>125</v>
      </c>
      <c r="AM131" t="s">
        <v>129</v>
      </c>
      <c r="AN131" t="s">
        <v>130</v>
      </c>
      <c r="AP131" t="s">
        <v>41</v>
      </c>
      <c r="AW131" t="s">
        <v>48</v>
      </c>
      <c r="AZ131" t="s">
        <v>51</v>
      </c>
      <c r="BA131" t="s">
        <v>52</v>
      </c>
    </row>
    <row r="132" spans="1:69" x14ac:dyDescent="0.2">
      <c r="A132" t="s">
        <v>748</v>
      </c>
      <c r="B132" t="s">
        <v>753</v>
      </c>
      <c r="C132" t="s">
        <v>754</v>
      </c>
      <c r="D132" t="s">
        <v>755</v>
      </c>
      <c r="E132" t="s">
        <v>756</v>
      </c>
      <c r="F132" t="s">
        <v>118</v>
      </c>
      <c r="G132" t="str">
        <f>HYPERLINK("https://www.facebook.com/story.php?story_fbid=10227193095912597&amp;id=1214060906&amp;comment_id=10227194478187153")</f>
        <v>https://www.facebook.com/story.php?story_fbid=10227193095912597&amp;id=1214060906&amp;comment_id=10227194478187153</v>
      </c>
      <c r="H132" t="s">
        <v>119</v>
      </c>
      <c r="I132" t="s">
        <v>757</v>
      </c>
      <c r="J132" t="str">
        <f>HYPERLINK("https://www.facebook.com/100002065251395")</f>
        <v>https://www.facebook.com/100002065251395</v>
      </c>
      <c r="K132">
        <v>547</v>
      </c>
      <c r="L132" t="s">
        <v>121</v>
      </c>
      <c r="N132" t="s">
        <v>305</v>
      </c>
      <c r="O132" t="s">
        <v>758</v>
      </c>
      <c r="P132" t="str">
        <f>HYPERLINK("https://www.facebook.com/1214060906")</f>
        <v>https://www.facebook.com/1214060906</v>
      </c>
      <c r="Q132">
        <v>3817</v>
      </c>
      <c r="R132" t="s">
        <v>124</v>
      </c>
      <c r="S132" t="s">
        <v>125</v>
      </c>
      <c r="T132" t="s">
        <v>759</v>
      </c>
      <c r="U132" t="s">
        <v>760</v>
      </c>
      <c r="W132">
        <v>0</v>
      </c>
      <c r="X132">
        <v>0</v>
      </c>
      <c r="AE132">
        <v>0</v>
      </c>
      <c r="AM132" t="s">
        <v>129</v>
      </c>
      <c r="AN132" t="s">
        <v>130</v>
      </c>
      <c r="AP132" t="s">
        <v>41</v>
      </c>
      <c r="AZ132" t="s">
        <v>51</v>
      </c>
      <c r="BA132" t="s">
        <v>52</v>
      </c>
      <c r="BK132" t="s">
        <v>62</v>
      </c>
    </row>
    <row r="133" spans="1:69" x14ac:dyDescent="0.2">
      <c r="A133" t="s">
        <v>748</v>
      </c>
      <c r="B133" t="s">
        <v>761</v>
      </c>
      <c r="C133" t="s">
        <v>762</v>
      </c>
      <c r="D133" t="s">
        <v>763</v>
      </c>
      <c r="E133" t="s">
        <v>764</v>
      </c>
      <c r="F133" t="s">
        <v>118</v>
      </c>
      <c r="G133" t="str">
        <f>HYPERLINK("https://vk.com/wall-74426550_1165890?reply=1165997")</f>
        <v>https://vk.com/wall-74426550_1165890?reply=1165997</v>
      </c>
      <c r="H133" t="s">
        <v>119</v>
      </c>
      <c r="I133" t="s">
        <v>765</v>
      </c>
      <c r="J133" t="str">
        <f>HYPERLINK("http://vk.com/id428235750")</f>
        <v>http://vk.com/id428235750</v>
      </c>
      <c r="K133">
        <v>62</v>
      </c>
      <c r="L133" t="s">
        <v>151</v>
      </c>
      <c r="M133">
        <v>56</v>
      </c>
      <c r="N133" t="s">
        <v>122</v>
      </c>
      <c r="O133" t="s">
        <v>766</v>
      </c>
      <c r="P133" t="str">
        <f>HYPERLINK("http://vk.com/club74426550")</f>
        <v>http://vk.com/club74426550</v>
      </c>
      <c r="Q133">
        <v>36331</v>
      </c>
      <c r="R133" t="s">
        <v>124</v>
      </c>
      <c r="S133" t="s">
        <v>125</v>
      </c>
      <c r="T133" t="s">
        <v>767</v>
      </c>
      <c r="U133" t="s">
        <v>768</v>
      </c>
      <c r="AM133" t="s">
        <v>129</v>
      </c>
      <c r="AN133" t="s">
        <v>130</v>
      </c>
      <c r="AP133" t="s">
        <v>41</v>
      </c>
      <c r="AY133" t="s">
        <v>50</v>
      </c>
      <c r="AZ133" t="s">
        <v>51</v>
      </c>
      <c r="BA133" t="s">
        <v>52</v>
      </c>
    </row>
    <row r="134" spans="1:69" x14ac:dyDescent="0.2">
      <c r="A134" t="s">
        <v>748</v>
      </c>
      <c r="B134" t="s">
        <v>769</v>
      </c>
      <c r="C134" t="s">
        <v>770</v>
      </c>
      <c r="D134" t="s">
        <v>215</v>
      </c>
      <c r="E134" t="s">
        <v>216</v>
      </c>
      <c r="F134" t="s">
        <v>118</v>
      </c>
      <c r="G134" t="str">
        <f>HYPERLINK("https://vk.com/wall-27863223_292439?reply=292615")</f>
        <v>https://vk.com/wall-27863223_292439?reply=292615</v>
      </c>
      <c r="H134" t="s">
        <v>119</v>
      </c>
      <c r="I134" t="s">
        <v>192</v>
      </c>
      <c r="J134" t="str">
        <f>HYPERLINK("http://vk.com/id620720545")</f>
        <v>http://vk.com/id620720545</v>
      </c>
      <c r="K134">
        <v>62</v>
      </c>
      <c r="L134" t="s">
        <v>151</v>
      </c>
      <c r="M134">
        <v>33</v>
      </c>
      <c r="N134" t="s">
        <v>122</v>
      </c>
      <c r="O134" t="s">
        <v>175</v>
      </c>
      <c r="P134" t="str">
        <f t="shared" ref="P134:P140" si="1">HYPERLINK("http://vk.com/club27863223")</f>
        <v>http://vk.com/club27863223</v>
      </c>
      <c r="Q134">
        <v>134698</v>
      </c>
      <c r="R134" t="s">
        <v>124</v>
      </c>
      <c r="S134" t="s">
        <v>125</v>
      </c>
      <c r="T134" t="s">
        <v>189</v>
      </c>
      <c r="U134" t="s">
        <v>190</v>
      </c>
      <c r="W134">
        <v>0</v>
      </c>
      <c r="X134">
        <v>0</v>
      </c>
      <c r="AM134" t="s">
        <v>129</v>
      </c>
      <c r="AN134" t="s">
        <v>130</v>
      </c>
      <c r="AO134" t="s">
        <v>40</v>
      </c>
      <c r="AP134" t="s">
        <v>41</v>
      </c>
      <c r="AZ134" t="s">
        <v>51</v>
      </c>
      <c r="BA134" t="s">
        <v>52</v>
      </c>
    </row>
    <row r="135" spans="1:69" x14ac:dyDescent="0.2">
      <c r="A135" t="s">
        <v>748</v>
      </c>
      <c r="B135" t="s">
        <v>771</v>
      </c>
      <c r="C135" t="s">
        <v>770</v>
      </c>
      <c r="D135" t="s">
        <v>215</v>
      </c>
      <c r="E135" t="s">
        <v>216</v>
      </c>
      <c r="F135" t="s">
        <v>118</v>
      </c>
      <c r="G135" t="str">
        <f>HYPERLINK("https://vk.com/wall-27863223_292439?reply=292614")</f>
        <v>https://vk.com/wall-27863223_292439?reply=292614</v>
      </c>
      <c r="H135" t="s">
        <v>119</v>
      </c>
      <c r="I135" t="s">
        <v>195</v>
      </c>
      <c r="J135" t="str">
        <f>HYPERLINK("http://vk.com/id596609295")</f>
        <v>http://vk.com/id596609295</v>
      </c>
      <c r="K135">
        <v>39</v>
      </c>
      <c r="L135" t="s">
        <v>151</v>
      </c>
      <c r="M135">
        <v>60</v>
      </c>
      <c r="N135" t="s">
        <v>122</v>
      </c>
      <c r="O135" t="s">
        <v>175</v>
      </c>
      <c r="P135" t="str">
        <f t="shared" si="1"/>
        <v>http://vk.com/club27863223</v>
      </c>
      <c r="Q135">
        <v>134698</v>
      </c>
      <c r="R135" t="s">
        <v>124</v>
      </c>
      <c r="S135" t="s">
        <v>125</v>
      </c>
      <c r="T135" t="s">
        <v>189</v>
      </c>
      <c r="U135" t="s">
        <v>190</v>
      </c>
      <c r="W135">
        <v>0</v>
      </c>
      <c r="X135">
        <v>0</v>
      </c>
      <c r="AM135" t="s">
        <v>129</v>
      </c>
      <c r="AN135" t="s">
        <v>130</v>
      </c>
      <c r="AO135" t="s">
        <v>40</v>
      </c>
      <c r="AP135" t="s">
        <v>41</v>
      </c>
      <c r="AZ135" t="s">
        <v>51</v>
      </c>
      <c r="BA135" t="s">
        <v>52</v>
      </c>
    </row>
    <row r="136" spans="1:69" x14ac:dyDescent="0.2">
      <c r="A136" t="s">
        <v>748</v>
      </c>
      <c r="B136" t="s">
        <v>772</v>
      </c>
      <c r="C136" t="s">
        <v>770</v>
      </c>
      <c r="D136" t="s">
        <v>215</v>
      </c>
      <c r="E136" t="s">
        <v>216</v>
      </c>
      <c r="F136" t="s">
        <v>118</v>
      </c>
      <c r="G136" t="str">
        <f>HYPERLINK("https://vk.com/wall-27863223_292439?reply=292613")</f>
        <v>https://vk.com/wall-27863223_292439?reply=292613</v>
      </c>
      <c r="H136" t="s">
        <v>119</v>
      </c>
      <c r="I136" t="s">
        <v>197</v>
      </c>
      <c r="J136" t="str">
        <f>HYPERLINK("http://vk.com/id552337659")</f>
        <v>http://vk.com/id552337659</v>
      </c>
      <c r="K136">
        <v>73</v>
      </c>
      <c r="L136" t="s">
        <v>121</v>
      </c>
      <c r="M136">
        <v>26</v>
      </c>
      <c r="N136" t="s">
        <v>122</v>
      </c>
      <c r="O136" t="s">
        <v>175</v>
      </c>
      <c r="P136" t="str">
        <f t="shared" si="1"/>
        <v>http://vk.com/club27863223</v>
      </c>
      <c r="Q136">
        <v>134698</v>
      </c>
      <c r="R136" t="s">
        <v>124</v>
      </c>
      <c r="S136" t="s">
        <v>125</v>
      </c>
      <c r="W136">
        <v>0</v>
      </c>
      <c r="X136">
        <v>0</v>
      </c>
      <c r="AM136" t="s">
        <v>129</v>
      </c>
      <c r="AN136" t="s">
        <v>130</v>
      </c>
      <c r="AO136" t="s">
        <v>40</v>
      </c>
      <c r="AP136" t="s">
        <v>41</v>
      </c>
      <c r="AZ136" t="s">
        <v>51</v>
      </c>
      <c r="BA136" t="s">
        <v>52</v>
      </c>
    </row>
    <row r="137" spans="1:69" x14ac:dyDescent="0.2">
      <c r="A137" t="s">
        <v>748</v>
      </c>
      <c r="B137" t="s">
        <v>773</v>
      </c>
      <c r="C137" t="s">
        <v>774</v>
      </c>
      <c r="D137" t="s">
        <v>215</v>
      </c>
      <c r="E137" t="s">
        <v>216</v>
      </c>
      <c r="F137" t="s">
        <v>118</v>
      </c>
      <c r="G137" t="str">
        <f>HYPERLINK("https://vk.com/wall-27863223_292439?reply=292612")</f>
        <v>https://vk.com/wall-27863223_292439?reply=292612</v>
      </c>
      <c r="H137" t="s">
        <v>119</v>
      </c>
      <c r="I137" t="s">
        <v>199</v>
      </c>
      <c r="J137" t="str">
        <f>HYPERLINK("http://vk.com/id541540544")</f>
        <v>http://vk.com/id541540544</v>
      </c>
      <c r="K137">
        <v>114</v>
      </c>
      <c r="L137" t="s">
        <v>121</v>
      </c>
      <c r="M137">
        <v>43</v>
      </c>
      <c r="N137" t="s">
        <v>122</v>
      </c>
      <c r="O137" t="s">
        <v>175</v>
      </c>
      <c r="P137" t="str">
        <f t="shared" si="1"/>
        <v>http://vk.com/club27863223</v>
      </c>
      <c r="Q137">
        <v>134698</v>
      </c>
      <c r="R137" t="s">
        <v>124</v>
      </c>
      <c r="S137" t="s">
        <v>125</v>
      </c>
      <c r="T137" t="s">
        <v>189</v>
      </c>
      <c r="U137" t="s">
        <v>190</v>
      </c>
      <c r="W137">
        <v>0</v>
      </c>
      <c r="X137">
        <v>0</v>
      </c>
      <c r="AM137" t="s">
        <v>129</v>
      </c>
      <c r="AN137" t="s">
        <v>130</v>
      </c>
      <c r="AO137" t="s">
        <v>40</v>
      </c>
      <c r="AP137" t="s">
        <v>41</v>
      </c>
      <c r="AZ137" t="s">
        <v>51</v>
      </c>
      <c r="BA137" t="s">
        <v>52</v>
      </c>
    </row>
    <row r="138" spans="1:69" x14ac:dyDescent="0.2">
      <c r="A138" t="s">
        <v>748</v>
      </c>
      <c r="B138" t="s">
        <v>775</v>
      </c>
      <c r="C138" t="s">
        <v>774</v>
      </c>
      <c r="D138" t="s">
        <v>215</v>
      </c>
      <c r="E138" t="s">
        <v>216</v>
      </c>
      <c r="F138" t="s">
        <v>118</v>
      </c>
      <c r="G138" t="str">
        <f>HYPERLINK("https://vk.com/wall-27863223_292439?reply=292611")</f>
        <v>https://vk.com/wall-27863223_292439?reply=292611</v>
      </c>
      <c r="H138" t="s">
        <v>119</v>
      </c>
      <c r="I138" t="s">
        <v>201</v>
      </c>
      <c r="J138" t="str">
        <f>HYPERLINK("http://vk.com/id438282281")</f>
        <v>http://vk.com/id438282281</v>
      </c>
      <c r="K138">
        <v>208</v>
      </c>
      <c r="L138" t="s">
        <v>151</v>
      </c>
      <c r="M138">
        <v>33</v>
      </c>
      <c r="N138" t="s">
        <v>122</v>
      </c>
      <c r="O138" t="s">
        <v>175</v>
      </c>
      <c r="P138" t="str">
        <f t="shared" si="1"/>
        <v>http://vk.com/club27863223</v>
      </c>
      <c r="Q138">
        <v>134698</v>
      </c>
      <c r="R138" t="s">
        <v>124</v>
      </c>
      <c r="S138" t="s">
        <v>125</v>
      </c>
      <c r="T138" t="s">
        <v>189</v>
      </c>
      <c r="U138" t="s">
        <v>190</v>
      </c>
      <c r="W138">
        <v>0</v>
      </c>
      <c r="X138">
        <v>0</v>
      </c>
      <c r="AM138" t="s">
        <v>129</v>
      </c>
      <c r="AN138" t="s">
        <v>130</v>
      </c>
      <c r="AO138" t="s">
        <v>40</v>
      </c>
      <c r="AP138" t="s">
        <v>41</v>
      </c>
      <c r="AZ138" t="s">
        <v>51</v>
      </c>
      <c r="BA138" t="s">
        <v>52</v>
      </c>
    </row>
    <row r="139" spans="1:69" x14ac:dyDescent="0.2">
      <c r="A139" t="s">
        <v>748</v>
      </c>
      <c r="B139" t="s">
        <v>775</v>
      </c>
      <c r="C139" t="s">
        <v>774</v>
      </c>
      <c r="D139" t="s">
        <v>215</v>
      </c>
      <c r="E139" t="s">
        <v>216</v>
      </c>
      <c r="F139" t="s">
        <v>118</v>
      </c>
      <c r="G139" t="str">
        <f>HYPERLINK("https://vk.com/wall-27863223_292439?reply=292610")</f>
        <v>https://vk.com/wall-27863223_292439?reply=292610</v>
      </c>
      <c r="H139" t="s">
        <v>119</v>
      </c>
      <c r="I139" t="s">
        <v>188</v>
      </c>
      <c r="J139" t="str">
        <f>HYPERLINK("http://vk.com/id405850912")</f>
        <v>http://vk.com/id405850912</v>
      </c>
      <c r="K139">
        <v>189</v>
      </c>
      <c r="L139" t="s">
        <v>121</v>
      </c>
      <c r="M139">
        <v>42</v>
      </c>
      <c r="N139" t="s">
        <v>122</v>
      </c>
      <c r="O139" t="s">
        <v>175</v>
      </c>
      <c r="P139" t="str">
        <f t="shared" si="1"/>
        <v>http://vk.com/club27863223</v>
      </c>
      <c r="Q139">
        <v>134698</v>
      </c>
      <c r="R139" t="s">
        <v>124</v>
      </c>
      <c r="S139" t="s">
        <v>125</v>
      </c>
      <c r="T139" t="s">
        <v>189</v>
      </c>
      <c r="U139" t="s">
        <v>190</v>
      </c>
      <c r="W139">
        <v>0</v>
      </c>
      <c r="X139">
        <v>0</v>
      </c>
      <c r="AM139" t="s">
        <v>129</v>
      </c>
      <c r="AN139" t="s">
        <v>130</v>
      </c>
      <c r="AO139" t="s">
        <v>40</v>
      </c>
      <c r="AP139" t="s">
        <v>41</v>
      </c>
      <c r="AZ139" t="s">
        <v>51</v>
      </c>
      <c r="BA139" t="s">
        <v>52</v>
      </c>
    </row>
    <row r="140" spans="1:69" x14ac:dyDescent="0.2">
      <c r="A140" t="s">
        <v>748</v>
      </c>
      <c r="B140" t="s">
        <v>776</v>
      </c>
      <c r="C140" t="s">
        <v>774</v>
      </c>
      <c r="D140" t="s">
        <v>215</v>
      </c>
      <c r="E140" t="s">
        <v>216</v>
      </c>
      <c r="F140" t="s">
        <v>118</v>
      </c>
      <c r="G140" t="str">
        <f>HYPERLINK("https://vk.com/wall-27863223_292439?reply=292609")</f>
        <v>https://vk.com/wall-27863223_292439?reply=292609</v>
      </c>
      <c r="H140" t="s">
        <v>119</v>
      </c>
      <c r="I140" t="s">
        <v>777</v>
      </c>
      <c r="J140" t="str">
        <f>HYPERLINK("http://vk.com/id258093227")</f>
        <v>http://vk.com/id258093227</v>
      </c>
      <c r="K140">
        <v>528</v>
      </c>
      <c r="L140" t="s">
        <v>121</v>
      </c>
      <c r="N140" t="s">
        <v>122</v>
      </c>
      <c r="O140" t="s">
        <v>175</v>
      </c>
      <c r="P140" t="str">
        <f t="shared" si="1"/>
        <v>http://vk.com/club27863223</v>
      </c>
      <c r="Q140">
        <v>134698</v>
      </c>
      <c r="R140" t="s">
        <v>124</v>
      </c>
      <c r="S140" t="s">
        <v>125</v>
      </c>
      <c r="T140" t="s">
        <v>778</v>
      </c>
      <c r="U140" t="s">
        <v>779</v>
      </c>
      <c r="W140">
        <v>0</v>
      </c>
      <c r="X140">
        <v>0</v>
      </c>
      <c r="AM140" t="s">
        <v>129</v>
      </c>
      <c r="AN140" t="s">
        <v>130</v>
      </c>
      <c r="AO140" t="s">
        <v>40</v>
      </c>
      <c r="AP140" t="s">
        <v>41</v>
      </c>
      <c r="AZ140" t="s">
        <v>51</v>
      </c>
      <c r="BA140" t="s">
        <v>52</v>
      </c>
    </row>
    <row r="141" spans="1:69" x14ac:dyDescent="0.2">
      <c r="A141" t="s">
        <v>748</v>
      </c>
      <c r="B141" t="s">
        <v>780</v>
      </c>
      <c r="C141" t="s">
        <v>781</v>
      </c>
      <c r="D141" t="s">
        <v>782</v>
      </c>
      <c r="E141" t="s">
        <v>783</v>
      </c>
      <c r="F141" t="s">
        <v>180</v>
      </c>
      <c r="G141" t="str">
        <f>HYPERLINK("https://new9.ru/news-2583189-trikolor-rostelekom-i-drugie-opublikovan-rejting-provajderov-platnogo-televideniya.html")</f>
        <v>https://new9.ru/news-2583189-trikolor-rostelekom-i-drugie-opublikovan-rejting-provajderov-platnogo-televideniya.html</v>
      </c>
      <c r="H141" t="s">
        <v>119</v>
      </c>
      <c r="N141" t="s">
        <v>784</v>
      </c>
      <c r="R141" t="s">
        <v>785</v>
      </c>
      <c r="S141" t="s">
        <v>125</v>
      </c>
      <c r="AJ141" t="s">
        <v>786</v>
      </c>
      <c r="AK141" t="s">
        <v>129</v>
      </c>
      <c r="AL141" t="str">
        <f>HYPERLINK("https://new9.ru/imgset/aHR0cHM6Ly93d3cuZmVycmEucnUvaW1ncy8yMDIxLzA3LzMwLzExLzQ3OTY2MjYvN2FiMWQ2MDJiZjI4YjYxNGQzZjNkYTQ3ZjIyNjRlODBjNGJhZjlmZi5qcGc=")</f>
        <v>https://new9.ru/imgset/aHR0cHM6Ly93d3cuZmVycmEucnUvaW1ncy8yMDIxLzA3LzMwLzExLzQ3OTY2MjYvN2FiMWQ2MDJiZjI4YjYxNGQzZjNkYTQ3ZjIyNjRlODBjNGJhZjlmZi5qcGc=</v>
      </c>
      <c r="AM141" t="s">
        <v>129</v>
      </c>
      <c r="AN141" t="s">
        <v>130</v>
      </c>
      <c r="AV141" t="s">
        <v>47</v>
      </c>
    </row>
    <row r="142" spans="1:69" x14ac:dyDescent="0.2">
      <c r="A142" t="s">
        <v>748</v>
      </c>
      <c r="B142" t="s">
        <v>787</v>
      </c>
      <c r="C142" t="s">
        <v>788</v>
      </c>
      <c r="D142" t="s">
        <v>204</v>
      </c>
      <c r="E142" t="s">
        <v>789</v>
      </c>
      <c r="F142" t="s">
        <v>180</v>
      </c>
      <c r="G142" t="str">
        <f>HYPERLINK("https://play.google.com/store/apps/details?id=ru.iflex.android.a3colortv&amp;reviewId=gp:AOqpTOH5b64FjMZ1mAt9qVd1aOXdWKjmwFeJ37nlJyT-V9ZbtBKdvmEKXe3qxuFhoa2dR4z6Sr5JKrjS7cim0Q")</f>
        <v>https://play.google.com/store/apps/details?id=ru.iflex.android.a3colortv&amp;reviewId=gp:AOqpTOH5b64FjMZ1mAt9qVd1aOXdWKjmwFeJ37nlJyT-V9ZbtBKdvmEKXe3qxuFhoa2dR4z6Sr5JKrjS7cim0Q</v>
      </c>
      <c r="H142" t="s">
        <v>181</v>
      </c>
      <c r="I142" t="s">
        <v>790</v>
      </c>
      <c r="J142" t="str">
        <f>HYPERLINK("https://plus.google.com/112036312278853653580")</f>
        <v>https://plus.google.com/112036312278853653580</v>
      </c>
      <c r="L142" t="s">
        <v>121</v>
      </c>
      <c r="N142" t="s">
        <v>207</v>
      </c>
      <c r="O142" t="s">
        <v>204</v>
      </c>
      <c r="P142" t="str">
        <f>HYPERLINK("https://play.google.com/store/apps/details?id=ru.iflex.android.a3colortv&amp;hl=ru")</f>
        <v>https://play.google.com/store/apps/details?id=ru.iflex.android.a3colortv&amp;hl=ru</v>
      </c>
      <c r="R142" t="s">
        <v>184</v>
      </c>
      <c r="S142" t="s">
        <v>125</v>
      </c>
      <c r="W142">
        <v>0</v>
      </c>
      <c r="X142">
        <v>0</v>
      </c>
      <c r="AH142">
        <v>5</v>
      </c>
      <c r="AM142" t="s">
        <v>129</v>
      </c>
      <c r="AN142" t="s">
        <v>130</v>
      </c>
      <c r="AP142" t="s">
        <v>41</v>
      </c>
      <c r="AZ142" t="s">
        <v>51</v>
      </c>
      <c r="BA142" t="s">
        <v>52</v>
      </c>
      <c r="BP142" t="s">
        <v>67</v>
      </c>
      <c r="BQ142" t="s">
        <v>68</v>
      </c>
    </row>
    <row r="143" spans="1:69" x14ac:dyDescent="0.2">
      <c r="A143" t="s">
        <v>748</v>
      </c>
      <c r="B143" t="s">
        <v>791</v>
      </c>
      <c r="C143" t="s">
        <v>774</v>
      </c>
      <c r="D143" t="s">
        <v>215</v>
      </c>
      <c r="E143" t="s">
        <v>216</v>
      </c>
      <c r="F143" t="s">
        <v>118</v>
      </c>
      <c r="G143" t="str">
        <f>HYPERLINK("https://vk.com/wall-27863223_292439?reply=292608")</f>
        <v>https://vk.com/wall-27863223_292439?reply=292608</v>
      </c>
      <c r="H143" t="s">
        <v>119</v>
      </c>
      <c r="I143" t="s">
        <v>473</v>
      </c>
      <c r="J143" t="str">
        <f>HYPERLINK("http://vk.com/id180305621")</f>
        <v>http://vk.com/id180305621</v>
      </c>
      <c r="K143">
        <v>2224</v>
      </c>
      <c r="L143" t="s">
        <v>151</v>
      </c>
      <c r="M143">
        <v>33</v>
      </c>
      <c r="N143" t="s">
        <v>122</v>
      </c>
      <c r="O143" t="s">
        <v>175</v>
      </c>
      <c r="P143" t="str">
        <f>HYPERLINK("http://vk.com/club27863223")</f>
        <v>http://vk.com/club27863223</v>
      </c>
      <c r="Q143">
        <v>134698</v>
      </c>
      <c r="R143" t="s">
        <v>124</v>
      </c>
      <c r="S143" t="s">
        <v>125</v>
      </c>
      <c r="T143" t="s">
        <v>189</v>
      </c>
      <c r="U143" t="s">
        <v>190</v>
      </c>
      <c r="W143">
        <v>0</v>
      </c>
      <c r="X143">
        <v>0</v>
      </c>
      <c r="AM143" t="s">
        <v>129</v>
      </c>
      <c r="AN143" t="s">
        <v>130</v>
      </c>
      <c r="AO143" t="s">
        <v>40</v>
      </c>
      <c r="AP143" t="s">
        <v>41</v>
      </c>
      <c r="AZ143" t="s">
        <v>51</v>
      </c>
      <c r="BA143" t="s">
        <v>52</v>
      </c>
    </row>
    <row r="144" spans="1:69" x14ac:dyDescent="0.2">
      <c r="A144" t="s">
        <v>748</v>
      </c>
      <c r="B144" t="s">
        <v>792</v>
      </c>
      <c r="C144" t="s">
        <v>793</v>
      </c>
      <c r="D144" t="s">
        <v>731</v>
      </c>
      <c r="E144" t="s">
        <v>794</v>
      </c>
      <c r="F144" t="s">
        <v>118</v>
      </c>
      <c r="G144" t="str">
        <f>HYPERLINK("https://vk.com/wall-61101621_254853?reply=254886")</f>
        <v>https://vk.com/wall-61101621_254853?reply=254886</v>
      </c>
      <c r="H144" t="s">
        <v>119</v>
      </c>
      <c r="I144" t="s">
        <v>795</v>
      </c>
      <c r="J144" t="str">
        <f>HYPERLINK("http://vk.com/id211233308")</f>
        <v>http://vk.com/id211233308</v>
      </c>
      <c r="K144">
        <v>192</v>
      </c>
      <c r="L144" t="s">
        <v>121</v>
      </c>
      <c r="N144" t="s">
        <v>122</v>
      </c>
      <c r="O144" t="s">
        <v>160</v>
      </c>
      <c r="P144" t="str">
        <f>HYPERLINK("http://vk.com/club61101621")</f>
        <v>http://vk.com/club61101621</v>
      </c>
      <c r="Q144">
        <v>21119</v>
      </c>
      <c r="R144" t="s">
        <v>124</v>
      </c>
      <c r="S144" t="s">
        <v>125</v>
      </c>
      <c r="W144">
        <v>0</v>
      </c>
      <c r="X144">
        <v>0</v>
      </c>
      <c r="AM144" t="s">
        <v>129</v>
      </c>
      <c r="AN144" t="s">
        <v>130</v>
      </c>
      <c r="AP144" t="s">
        <v>41</v>
      </c>
      <c r="AT144" t="s">
        <v>45</v>
      </c>
      <c r="AZ144" t="s">
        <v>51</v>
      </c>
      <c r="BA144" t="s">
        <v>52</v>
      </c>
    </row>
    <row r="145" spans="1:69" x14ac:dyDescent="0.2">
      <c r="A145" t="s">
        <v>748</v>
      </c>
      <c r="B145" t="s">
        <v>796</v>
      </c>
      <c r="C145" t="s">
        <v>793</v>
      </c>
      <c r="D145" t="s">
        <v>731</v>
      </c>
      <c r="E145" t="s">
        <v>797</v>
      </c>
      <c r="F145" t="s">
        <v>118</v>
      </c>
      <c r="G145" t="str">
        <f>HYPERLINK("https://vk.com/wall-61101621_254853?reply=254885")</f>
        <v>https://vk.com/wall-61101621_254853?reply=254885</v>
      </c>
      <c r="H145" t="s">
        <v>119</v>
      </c>
      <c r="I145" t="s">
        <v>795</v>
      </c>
      <c r="J145" t="str">
        <f>HYPERLINK("http://vk.com/id211233308")</f>
        <v>http://vk.com/id211233308</v>
      </c>
      <c r="K145">
        <v>192</v>
      </c>
      <c r="L145" t="s">
        <v>121</v>
      </c>
      <c r="N145" t="s">
        <v>122</v>
      </c>
      <c r="O145" t="s">
        <v>160</v>
      </c>
      <c r="P145" t="str">
        <f>HYPERLINK("http://vk.com/club61101621")</f>
        <v>http://vk.com/club61101621</v>
      </c>
      <c r="Q145">
        <v>21119</v>
      </c>
      <c r="R145" t="s">
        <v>124</v>
      </c>
      <c r="S145" t="s">
        <v>125</v>
      </c>
      <c r="W145">
        <v>0</v>
      </c>
      <c r="X145">
        <v>0</v>
      </c>
      <c r="AM145" t="s">
        <v>129</v>
      </c>
      <c r="AN145" t="s">
        <v>130</v>
      </c>
      <c r="AP145" t="s">
        <v>41</v>
      </c>
      <c r="AZ145" t="s">
        <v>51</v>
      </c>
      <c r="BA145" t="s">
        <v>52</v>
      </c>
      <c r="BL145" t="s">
        <v>63</v>
      </c>
    </row>
    <row r="146" spans="1:69" x14ac:dyDescent="0.2">
      <c r="A146" t="s">
        <v>748</v>
      </c>
      <c r="B146" t="s">
        <v>176</v>
      </c>
      <c r="C146" t="s">
        <v>798</v>
      </c>
      <c r="D146" t="s">
        <v>215</v>
      </c>
      <c r="E146" t="s">
        <v>216</v>
      </c>
      <c r="F146" t="s">
        <v>118</v>
      </c>
      <c r="G146" t="str">
        <f>HYPERLINK("https://vk.com/wall-27863223_292439?reply=292607")</f>
        <v>https://vk.com/wall-27863223_292439?reply=292607</v>
      </c>
      <c r="H146" t="s">
        <v>119</v>
      </c>
      <c r="I146" t="s">
        <v>799</v>
      </c>
      <c r="J146" t="str">
        <f>HYPERLINK("http://vk.com/id177360670")</f>
        <v>http://vk.com/id177360670</v>
      </c>
      <c r="K146">
        <v>270</v>
      </c>
      <c r="L146" t="s">
        <v>151</v>
      </c>
      <c r="N146" t="s">
        <v>122</v>
      </c>
      <c r="O146" t="s">
        <v>175</v>
      </c>
      <c r="P146" t="str">
        <f>HYPERLINK("http://vk.com/club27863223")</f>
        <v>http://vk.com/club27863223</v>
      </c>
      <c r="Q146">
        <v>134698</v>
      </c>
      <c r="R146" t="s">
        <v>124</v>
      </c>
      <c r="S146" t="s">
        <v>125</v>
      </c>
      <c r="W146">
        <v>0</v>
      </c>
      <c r="X146">
        <v>0</v>
      </c>
      <c r="AM146" t="s">
        <v>129</v>
      </c>
      <c r="AN146" t="s">
        <v>130</v>
      </c>
      <c r="AP146" t="s">
        <v>41</v>
      </c>
      <c r="AZ146" t="s">
        <v>51</v>
      </c>
      <c r="BA146" t="s">
        <v>52</v>
      </c>
    </row>
    <row r="147" spans="1:69" x14ac:dyDescent="0.2">
      <c r="A147" t="s">
        <v>748</v>
      </c>
      <c r="B147" t="s">
        <v>800</v>
      </c>
      <c r="C147" t="s">
        <v>801</v>
      </c>
      <c r="D147" t="s">
        <v>802</v>
      </c>
      <c r="E147" t="s">
        <v>803</v>
      </c>
      <c r="F147" t="s">
        <v>118</v>
      </c>
      <c r="G147" t="str">
        <f>HYPERLINK("https://www.youtube.com/watch?v=6dCd1D8tzvc&amp;lc=UgyRB4XHWH3kHzaCgpd4AaABAg")</f>
        <v>https://www.youtube.com/watch?v=6dCd1D8tzvc&amp;lc=UgyRB4XHWH3kHzaCgpd4AaABAg</v>
      </c>
      <c r="H147" t="s">
        <v>228</v>
      </c>
      <c r="I147" t="s">
        <v>804</v>
      </c>
      <c r="J147" t="str">
        <f>HYPERLINK("https://www.youtube.com/channel/UCxUS8j5fGcHtxp4ak-8JuSQ")</f>
        <v>https://www.youtube.com/channel/UCxUS8j5fGcHtxp4ak-8JuSQ</v>
      </c>
      <c r="K147">
        <v>0</v>
      </c>
      <c r="N147" t="s">
        <v>248</v>
      </c>
      <c r="O147" t="s">
        <v>805</v>
      </c>
      <c r="P147" t="str">
        <f>HYPERLINK("https://www.youtube.com/channel/UCJS_YsdWr6X9G_FAfWGa1kQ")</f>
        <v>https://www.youtube.com/channel/UCJS_YsdWr6X9G_FAfWGa1kQ</v>
      </c>
      <c r="Q147">
        <v>745</v>
      </c>
      <c r="R147" t="s">
        <v>124</v>
      </c>
      <c r="S147" t="s">
        <v>125</v>
      </c>
      <c r="W147">
        <v>0</v>
      </c>
      <c r="X147">
        <v>0</v>
      </c>
      <c r="AE147">
        <v>0</v>
      </c>
      <c r="AM147" t="s">
        <v>129</v>
      </c>
      <c r="AN147" t="s">
        <v>130</v>
      </c>
      <c r="AP147" t="s">
        <v>41</v>
      </c>
      <c r="AZ147" t="s">
        <v>51</v>
      </c>
      <c r="BB147" t="s">
        <v>53</v>
      </c>
    </row>
    <row r="148" spans="1:69" x14ac:dyDescent="0.2">
      <c r="A148" t="s">
        <v>748</v>
      </c>
      <c r="B148" t="s">
        <v>806</v>
      </c>
      <c r="C148" t="s">
        <v>807</v>
      </c>
      <c r="D148" t="s">
        <v>808</v>
      </c>
      <c r="E148" t="s">
        <v>809</v>
      </c>
      <c r="F148" t="s">
        <v>118</v>
      </c>
      <c r="G148" t="str">
        <f>HYPERLINK("https://vk.com/topic-81539736_33750685?post=21714")</f>
        <v>https://vk.com/topic-81539736_33750685?post=21714</v>
      </c>
      <c r="H148" t="s">
        <v>119</v>
      </c>
      <c r="I148" t="s">
        <v>810</v>
      </c>
      <c r="J148" t="str">
        <f>HYPERLINK("http://vk.com/id568012707")</f>
        <v>http://vk.com/id568012707</v>
      </c>
      <c r="K148">
        <v>63</v>
      </c>
      <c r="L148" t="s">
        <v>151</v>
      </c>
      <c r="M148">
        <v>34</v>
      </c>
      <c r="N148" t="s">
        <v>122</v>
      </c>
      <c r="O148" t="s">
        <v>811</v>
      </c>
      <c r="P148" t="str">
        <f>HYPERLINK("http://vk.com/club81539736")</f>
        <v>http://vk.com/club81539736</v>
      </c>
      <c r="Q148">
        <v>40826</v>
      </c>
      <c r="R148" t="s">
        <v>124</v>
      </c>
      <c r="S148" t="s">
        <v>125</v>
      </c>
      <c r="T148" t="s">
        <v>169</v>
      </c>
      <c r="U148" t="s">
        <v>169</v>
      </c>
      <c r="AM148" t="s">
        <v>129</v>
      </c>
      <c r="AN148" t="s">
        <v>130</v>
      </c>
      <c r="AP148" t="s">
        <v>41</v>
      </c>
      <c r="AU148" t="s">
        <v>46</v>
      </c>
      <c r="AZ148" t="s">
        <v>51</v>
      </c>
      <c r="BA148" t="s">
        <v>52</v>
      </c>
    </row>
    <row r="149" spans="1:69" x14ac:dyDescent="0.2">
      <c r="A149" t="s">
        <v>748</v>
      </c>
      <c r="B149" t="s">
        <v>812</v>
      </c>
      <c r="C149" t="s">
        <v>813</v>
      </c>
      <c r="D149" t="s">
        <v>215</v>
      </c>
      <c r="E149" t="s">
        <v>648</v>
      </c>
      <c r="F149" t="s">
        <v>118</v>
      </c>
      <c r="G149" t="str">
        <f>HYPERLINK("https://vk.com/wall-27863223_292439?reply=292606")</f>
        <v>https://vk.com/wall-27863223_292439?reply=292606</v>
      </c>
      <c r="H149" t="s">
        <v>119</v>
      </c>
      <c r="I149" t="s">
        <v>814</v>
      </c>
      <c r="J149" t="str">
        <f>HYPERLINK("http://vk.com/id184470460")</f>
        <v>http://vk.com/id184470460</v>
      </c>
      <c r="K149">
        <v>747</v>
      </c>
      <c r="L149" t="s">
        <v>151</v>
      </c>
      <c r="N149" t="s">
        <v>122</v>
      </c>
      <c r="O149" t="s">
        <v>175</v>
      </c>
      <c r="P149" t="str">
        <f>HYPERLINK("http://vk.com/club27863223")</f>
        <v>http://vk.com/club27863223</v>
      </c>
      <c r="Q149">
        <v>134698</v>
      </c>
      <c r="R149" t="s">
        <v>124</v>
      </c>
      <c r="S149" t="s">
        <v>125</v>
      </c>
      <c r="T149" t="s">
        <v>212</v>
      </c>
      <c r="U149" t="s">
        <v>213</v>
      </c>
      <c r="W149">
        <v>0</v>
      </c>
      <c r="X149">
        <v>0</v>
      </c>
      <c r="AM149" t="s">
        <v>129</v>
      </c>
      <c r="AN149" t="s">
        <v>130</v>
      </c>
      <c r="AO149" t="s">
        <v>40</v>
      </c>
      <c r="AP149" t="s">
        <v>41</v>
      </c>
      <c r="AZ149" t="s">
        <v>51</v>
      </c>
      <c r="BA149" t="s">
        <v>52</v>
      </c>
    </row>
    <row r="150" spans="1:69" x14ac:dyDescent="0.2">
      <c r="A150" t="s">
        <v>748</v>
      </c>
      <c r="B150" t="s">
        <v>815</v>
      </c>
      <c r="C150" t="s">
        <v>816</v>
      </c>
      <c r="D150" t="s">
        <v>129</v>
      </c>
      <c r="E150" t="s">
        <v>817</v>
      </c>
      <c r="F150" t="s">
        <v>180</v>
      </c>
      <c r="G150" t="str">
        <f>HYPERLINK("https://www.facebook.com/permalink.php?story_fbid=2944858599065573&amp;id=100006243854765")</f>
        <v>https://www.facebook.com/permalink.php?story_fbid=2944858599065573&amp;id=100006243854765</v>
      </c>
      <c r="H150" t="s">
        <v>119</v>
      </c>
      <c r="I150" t="s">
        <v>818</v>
      </c>
      <c r="J150" t="str">
        <f>HYPERLINK("https://www.facebook.com/100006243854765")</f>
        <v>https://www.facebook.com/100006243854765</v>
      </c>
      <c r="K150">
        <v>314</v>
      </c>
      <c r="L150" t="s">
        <v>121</v>
      </c>
      <c r="N150" t="s">
        <v>305</v>
      </c>
      <c r="O150" t="s">
        <v>818</v>
      </c>
      <c r="P150" t="str">
        <f>HYPERLINK("https://www.facebook.com/100006243854765")</f>
        <v>https://www.facebook.com/100006243854765</v>
      </c>
      <c r="Q150">
        <v>314</v>
      </c>
      <c r="R150" t="s">
        <v>124</v>
      </c>
      <c r="S150" t="s">
        <v>125</v>
      </c>
      <c r="T150" t="s">
        <v>169</v>
      </c>
      <c r="U150" t="s">
        <v>169</v>
      </c>
      <c r="W150">
        <v>17</v>
      </c>
      <c r="X150">
        <v>8</v>
      </c>
      <c r="Y150">
        <v>0</v>
      </c>
      <c r="Z150">
        <v>9</v>
      </c>
      <c r="AA150">
        <v>0</v>
      </c>
      <c r="AB150">
        <v>0</v>
      </c>
      <c r="AC150">
        <v>0</v>
      </c>
      <c r="AE150">
        <v>2</v>
      </c>
      <c r="AF150">
        <v>0</v>
      </c>
      <c r="AM150" t="s">
        <v>129</v>
      </c>
      <c r="AN150" t="s">
        <v>130</v>
      </c>
      <c r="AP150" t="s">
        <v>41</v>
      </c>
      <c r="AW150" t="s">
        <v>48</v>
      </c>
      <c r="AZ150" t="s">
        <v>51</v>
      </c>
      <c r="BA150" t="s">
        <v>52</v>
      </c>
    </row>
    <row r="151" spans="1:69" x14ac:dyDescent="0.2">
      <c r="A151" t="s">
        <v>748</v>
      </c>
      <c r="B151" t="s">
        <v>819</v>
      </c>
      <c r="C151" t="s">
        <v>820</v>
      </c>
      <c r="D151" t="s">
        <v>821</v>
      </c>
      <c r="E151" t="s">
        <v>822</v>
      </c>
      <c r="F151" t="s">
        <v>180</v>
      </c>
      <c r="G151" t="str">
        <f>HYPERLINK("https://www.wildberries.ru/catalog/25688707/detail.aspx?targetUrl=ES#Comments")</f>
        <v>https://www.wildberries.ru/catalog/25688707/detail.aspx?targetUrl=ES#Comments</v>
      </c>
      <c r="H151" t="s">
        <v>181</v>
      </c>
      <c r="I151" t="s">
        <v>823</v>
      </c>
      <c r="J151" t="str">
        <f>HYPERLINK("https://www.wildberries.ru/profile/w7TDssOkw7PCu8KwwrTCt8KzwrHCtcK2wrY=")</f>
        <v>https://www.wildberries.ru/profile/w7TDssOkw7PCu8KwwrTCt8KzwrHCtcK2wrY=</v>
      </c>
      <c r="N151" t="s">
        <v>534</v>
      </c>
      <c r="O151" t="s">
        <v>821</v>
      </c>
      <c r="P151" t="str">
        <f>HYPERLINK("https://www.wildberries.ru/catalog/18948116/detail.aspx")</f>
        <v>https://www.wildberries.ru/catalog/18948116/detail.aspx</v>
      </c>
      <c r="R151" t="s">
        <v>184</v>
      </c>
      <c r="S151" t="s">
        <v>125</v>
      </c>
      <c r="W151">
        <v>0</v>
      </c>
      <c r="X151">
        <v>0</v>
      </c>
      <c r="AH151">
        <v>5</v>
      </c>
      <c r="AM151" t="s">
        <v>129</v>
      </c>
      <c r="AN151" t="s">
        <v>130</v>
      </c>
      <c r="AP151" t="s">
        <v>41</v>
      </c>
      <c r="AZ151" t="s">
        <v>51</v>
      </c>
      <c r="BA151" t="s">
        <v>52</v>
      </c>
      <c r="BK151" t="s">
        <v>62</v>
      </c>
      <c r="BL151" t="s">
        <v>63</v>
      </c>
    </row>
    <row r="152" spans="1:69" x14ac:dyDescent="0.2">
      <c r="A152" t="s">
        <v>748</v>
      </c>
      <c r="B152" t="s">
        <v>824</v>
      </c>
      <c r="C152" t="s">
        <v>825</v>
      </c>
      <c r="D152" t="s">
        <v>215</v>
      </c>
      <c r="E152" t="s">
        <v>826</v>
      </c>
      <c r="F152" t="s">
        <v>118</v>
      </c>
      <c r="G152" t="str">
        <f>HYPERLINK("https://vk.com/wall-27863223_292439?reply=292604")</f>
        <v>https://vk.com/wall-27863223_292439?reply=292604</v>
      </c>
      <c r="H152" t="s">
        <v>119</v>
      </c>
      <c r="I152" t="s">
        <v>827</v>
      </c>
      <c r="J152" t="str">
        <f>HYPERLINK("http://vk.com/id586256633")</f>
        <v>http://vk.com/id586256633</v>
      </c>
      <c r="K152">
        <v>44</v>
      </c>
      <c r="L152" t="s">
        <v>121</v>
      </c>
      <c r="N152" t="s">
        <v>122</v>
      </c>
      <c r="O152" t="s">
        <v>175</v>
      </c>
      <c r="P152" t="str">
        <f>HYPERLINK("http://vk.com/club27863223")</f>
        <v>http://vk.com/club27863223</v>
      </c>
      <c r="Q152">
        <v>134698</v>
      </c>
      <c r="R152" t="s">
        <v>124</v>
      </c>
      <c r="S152" t="s">
        <v>125</v>
      </c>
      <c r="T152" t="s">
        <v>828</v>
      </c>
      <c r="U152" t="s">
        <v>829</v>
      </c>
      <c r="W152">
        <v>0</v>
      </c>
      <c r="X152">
        <v>0</v>
      </c>
      <c r="AM152" t="s">
        <v>129</v>
      </c>
      <c r="AN152" t="s">
        <v>130</v>
      </c>
      <c r="AO152" t="s">
        <v>40</v>
      </c>
      <c r="AP152" t="s">
        <v>41</v>
      </c>
      <c r="AZ152" t="s">
        <v>51</v>
      </c>
      <c r="BA152" t="s">
        <v>52</v>
      </c>
    </row>
    <row r="153" spans="1:69" x14ac:dyDescent="0.2">
      <c r="A153" t="s">
        <v>748</v>
      </c>
      <c r="B153" t="s">
        <v>830</v>
      </c>
      <c r="C153" t="s">
        <v>825</v>
      </c>
      <c r="D153" t="s">
        <v>215</v>
      </c>
      <c r="E153" t="s">
        <v>648</v>
      </c>
      <c r="F153" t="s">
        <v>118</v>
      </c>
      <c r="G153" t="str">
        <f>HYPERLINK("https://vk.com/wall-27863223_292439?reply=292603")</f>
        <v>https://vk.com/wall-27863223_292439?reply=292603</v>
      </c>
      <c r="H153" t="s">
        <v>119</v>
      </c>
      <c r="I153" t="s">
        <v>831</v>
      </c>
      <c r="J153" t="str">
        <f>HYPERLINK("http://vk.com/id550993424")</f>
        <v>http://vk.com/id550993424</v>
      </c>
      <c r="K153">
        <v>158</v>
      </c>
      <c r="L153" t="s">
        <v>151</v>
      </c>
      <c r="N153" t="s">
        <v>122</v>
      </c>
      <c r="O153" t="s">
        <v>175</v>
      </c>
      <c r="P153" t="str">
        <f>HYPERLINK("http://vk.com/club27863223")</f>
        <v>http://vk.com/club27863223</v>
      </c>
      <c r="Q153">
        <v>134698</v>
      </c>
      <c r="R153" t="s">
        <v>124</v>
      </c>
      <c r="S153" t="s">
        <v>125</v>
      </c>
      <c r="T153" t="s">
        <v>828</v>
      </c>
      <c r="U153" t="s">
        <v>829</v>
      </c>
      <c r="W153">
        <v>0</v>
      </c>
      <c r="X153">
        <v>0</v>
      </c>
      <c r="AM153" t="s">
        <v>129</v>
      </c>
      <c r="AN153" t="s">
        <v>130</v>
      </c>
      <c r="AO153" t="s">
        <v>40</v>
      </c>
      <c r="AP153" t="s">
        <v>41</v>
      </c>
      <c r="AZ153" t="s">
        <v>51</v>
      </c>
      <c r="BA153" t="s">
        <v>52</v>
      </c>
    </row>
    <row r="154" spans="1:69" x14ac:dyDescent="0.2">
      <c r="A154" t="s">
        <v>748</v>
      </c>
      <c r="B154" t="s">
        <v>830</v>
      </c>
      <c r="C154" t="s">
        <v>832</v>
      </c>
      <c r="D154" t="s">
        <v>204</v>
      </c>
      <c r="E154" t="s">
        <v>833</v>
      </c>
      <c r="F154" t="s">
        <v>180</v>
      </c>
      <c r="G154" t="str">
        <f>HYPERLINK("https://play.google.com/store/apps/details?id=ru.iflex.android.a3colortv&amp;reviewId=gp:AOqpTOEX-Xoxn7OPQkFrQ6DM5VEagaUTdYvi9y8e6zM-w0GbTsr4QEfwGFFtJDuwQ7AZz5qy0tSWIcveBZwa2A")</f>
        <v>https://play.google.com/store/apps/details?id=ru.iflex.android.a3colortv&amp;reviewId=gp:AOqpTOEX-Xoxn7OPQkFrQ6DM5VEagaUTdYvi9y8e6zM-w0GbTsr4QEfwGFFtJDuwQ7AZz5qy0tSWIcveBZwa2A</v>
      </c>
      <c r="H154" t="s">
        <v>181</v>
      </c>
      <c r="I154" t="s">
        <v>834</v>
      </c>
      <c r="J154" t="str">
        <f>HYPERLINK("https://plus.google.com/100272848229466794203")</f>
        <v>https://plus.google.com/100272848229466794203</v>
      </c>
      <c r="L154" t="s">
        <v>121</v>
      </c>
      <c r="N154" t="s">
        <v>207</v>
      </c>
      <c r="O154" t="s">
        <v>204</v>
      </c>
      <c r="P154" t="str">
        <f>HYPERLINK("https://play.google.com/store/apps/details?id=ru.iflex.android.a3colortv&amp;hl=ru")</f>
        <v>https://play.google.com/store/apps/details?id=ru.iflex.android.a3colortv&amp;hl=ru</v>
      </c>
      <c r="R154" t="s">
        <v>184</v>
      </c>
      <c r="S154" t="s">
        <v>125</v>
      </c>
      <c r="W154">
        <v>0</v>
      </c>
      <c r="X154">
        <v>0</v>
      </c>
      <c r="AH154">
        <v>5</v>
      </c>
      <c r="AM154" t="s">
        <v>129</v>
      </c>
      <c r="AN154" t="s">
        <v>130</v>
      </c>
      <c r="AP154" t="s">
        <v>41</v>
      </c>
      <c r="AZ154" t="s">
        <v>51</v>
      </c>
      <c r="BA154" t="s">
        <v>52</v>
      </c>
      <c r="BQ154" t="s">
        <v>68</v>
      </c>
    </row>
    <row r="155" spans="1:69" x14ac:dyDescent="0.2">
      <c r="A155" t="s">
        <v>748</v>
      </c>
      <c r="B155" t="s">
        <v>258</v>
      </c>
      <c r="C155" t="s">
        <v>825</v>
      </c>
      <c r="D155" t="s">
        <v>215</v>
      </c>
      <c r="E155" t="s">
        <v>648</v>
      </c>
      <c r="F155" t="s">
        <v>118</v>
      </c>
      <c r="G155" t="str">
        <f>HYPERLINK("https://vk.com/wall-27863223_292439?reply=292602")</f>
        <v>https://vk.com/wall-27863223_292439?reply=292602</v>
      </c>
      <c r="H155" t="s">
        <v>119</v>
      </c>
      <c r="I155" t="s">
        <v>835</v>
      </c>
      <c r="J155" t="str">
        <f>HYPERLINK("http://vk.com/id58646502")</f>
        <v>http://vk.com/id58646502</v>
      </c>
      <c r="K155">
        <v>813</v>
      </c>
      <c r="L155" t="s">
        <v>151</v>
      </c>
      <c r="N155" t="s">
        <v>122</v>
      </c>
      <c r="O155" t="s">
        <v>175</v>
      </c>
      <c r="P155" t="str">
        <f>HYPERLINK("http://vk.com/club27863223")</f>
        <v>http://vk.com/club27863223</v>
      </c>
      <c r="Q155">
        <v>134698</v>
      </c>
      <c r="R155" t="s">
        <v>124</v>
      </c>
      <c r="S155" t="s">
        <v>125</v>
      </c>
      <c r="T155" t="s">
        <v>828</v>
      </c>
      <c r="U155" t="s">
        <v>829</v>
      </c>
      <c r="W155">
        <v>0</v>
      </c>
      <c r="X155">
        <v>0</v>
      </c>
      <c r="AM155" t="s">
        <v>129</v>
      </c>
      <c r="AN155" t="s">
        <v>130</v>
      </c>
      <c r="AO155" t="s">
        <v>40</v>
      </c>
      <c r="AP155" t="s">
        <v>41</v>
      </c>
      <c r="AZ155" t="s">
        <v>51</v>
      </c>
      <c r="BA155" t="s">
        <v>52</v>
      </c>
    </row>
    <row r="156" spans="1:69" x14ac:dyDescent="0.2">
      <c r="A156" t="s">
        <v>748</v>
      </c>
      <c r="B156" t="s">
        <v>836</v>
      </c>
      <c r="C156" t="s">
        <v>825</v>
      </c>
      <c r="D156" t="s">
        <v>215</v>
      </c>
      <c r="E156" t="s">
        <v>648</v>
      </c>
      <c r="F156" t="s">
        <v>118</v>
      </c>
      <c r="G156" t="str">
        <f>HYPERLINK("https://vk.com/wall-27863223_292439?reply=292601")</f>
        <v>https://vk.com/wall-27863223_292439?reply=292601</v>
      </c>
      <c r="H156" t="s">
        <v>119</v>
      </c>
      <c r="I156" t="s">
        <v>837</v>
      </c>
      <c r="J156" t="str">
        <f>HYPERLINK("http://vk.com/id17320969")</f>
        <v>http://vk.com/id17320969</v>
      </c>
      <c r="K156">
        <v>326</v>
      </c>
      <c r="L156" t="s">
        <v>121</v>
      </c>
      <c r="M156">
        <v>31</v>
      </c>
      <c r="N156" t="s">
        <v>122</v>
      </c>
      <c r="O156" t="s">
        <v>175</v>
      </c>
      <c r="P156" t="str">
        <f>HYPERLINK("http://vk.com/club27863223")</f>
        <v>http://vk.com/club27863223</v>
      </c>
      <c r="Q156">
        <v>134698</v>
      </c>
      <c r="R156" t="s">
        <v>124</v>
      </c>
      <c r="S156" t="s">
        <v>125</v>
      </c>
      <c r="T156" t="s">
        <v>828</v>
      </c>
      <c r="U156" t="s">
        <v>829</v>
      </c>
      <c r="W156">
        <v>0</v>
      </c>
      <c r="X156">
        <v>0</v>
      </c>
      <c r="AM156" t="s">
        <v>129</v>
      </c>
      <c r="AN156" t="s">
        <v>130</v>
      </c>
      <c r="AO156" t="s">
        <v>40</v>
      </c>
      <c r="AP156" t="s">
        <v>41</v>
      </c>
      <c r="AZ156" t="s">
        <v>51</v>
      </c>
      <c r="BA156" t="s">
        <v>52</v>
      </c>
    </row>
    <row r="157" spans="1:69" x14ac:dyDescent="0.2">
      <c r="A157" t="s">
        <v>748</v>
      </c>
      <c r="B157" t="s">
        <v>838</v>
      </c>
      <c r="C157" t="s">
        <v>839</v>
      </c>
      <c r="D157" t="s">
        <v>840</v>
      </c>
      <c r="E157" t="s">
        <v>841</v>
      </c>
      <c r="F157" t="s">
        <v>118</v>
      </c>
      <c r="G157" t="str">
        <f>HYPERLINK("https://vk.com/wall-132869462_183739?reply=183747&amp;thread=183745")</f>
        <v>https://vk.com/wall-132869462_183739?reply=183747&amp;thread=183745</v>
      </c>
      <c r="H157" t="s">
        <v>119</v>
      </c>
      <c r="I157" t="s">
        <v>842</v>
      </c>
      <c r="J157" t="str">
        <f>HYPERLINK("http://vk.com/id10778594")</f>
        <v>http://vk.com/id10778594</v>
      </c>
      <c r="K157">
        <v>848</v>
      </c>
      <c r="L157" t="s">
        <v>121</v>
      </c>
      <c r="M157">
        <v>49</v>
      </c>
      <c r="N157" t="s">
        <v>122</v>
      </c>
      <c r="O157" t="s">
        <v>843</v>
      </c>
      <c r="P157" t="str">
        <f>HYPERLINK("http://vk.com/club132869462")</f>
        <v>http://vk.com/club132869462</v>
      </c>
      <c r="Q157">
        <v>14644</v>
      </c>
      <c r="R157" t="s">
        <v>124</v>
      </c>
      <c r="S157" t="s">
        <v>125</v>
      </c>
      <c r="T157" t="s">
        <v>314</v>
      </c>
      <c r="U157" t="s">
        <v>315</v>
      </c>
      <c r="AM157" t="s">
        <v>129</v>
      </c>
      <c r="AN157" t="s">
        <v>130</v>
      </c>
      <c r="AP157" t="s">
        <v>41</v>
      </c>
      <c r="AU157" t="s">
        <v>46</v>
      </c>
      <c r="AW157" t="s">
        <v>48</v>
      </c>
      <c r="AZ157" t="s">
        <v>51</v>
      </c>
      <c r="BA157" t="s">
        <v>52</v>
      </c>
    </row>
    <row r="158" spans="1:69" x14ac:dyDescent="0.2">
      <c r="A158" t="s">
        <v>748</v>
      </c>
      <c r="B158" t="s">
        <v>275</v>
      </c>
      <c r="C158" t="s">
        <v>839</v>
      </c>
      <c r="D158" t="s">
        <v>215</v>
      </c>
      <c r="E158" t="s">
        <v>844</v>
      </c>
      <c r="F158" t="s">
        <v>118</v>
      </c>
      <c r="G158" t="str">
        <f>HYPERLINK("https://vk.com/wall-27863223_292439?reply=292598")</f>
        <v>https://vk.com/wall-27863223_292439?reply=292598</v>
      </c>
      <c r="H158" t="s">
        <v>119</v>
      </c>
      <c r="I158" t="s">
        <v>845</v>
      </c>
      <c r="J158" t="str">
        <f>HYPERLINK("http://vk.com/id175640449")</f>
        <v>http://vk.com/id175640449</v>
      </c>
      <c r="K158">
        <v>727</v>
      </c>
      <c r="L158" t="s">
        <v>121</v>
      </c>
      <c r="M158">
        <v>25</v>
      </c>
      <c r="N158" t="s">
        <v>122</v>
      </c>
      <c r="O158" t="s">
        <v>175</v>
      </c>
      <c r="P158" t="str">
        <f>HYPERLINK("http://vk.com/club27863223")</f>
        <v>http://vk.com/club27863223</v>
      </c>
      <c r="Q158">
        <v>134698</v>
      </c>
      <c r="R158" t="s">
        <v>124</v>
      </c>
      <c r="S158" t="s">
        <v>125</v>
      </c>
      <c r="T158" t="s">
        <v>627</v>
      </c>
      <c r="U158" t="s">
        <v>846</v>
      </c>
      <c r="W158">
        <v>0</v>
      </c>
      <c r="X158">
        <v>0</v>
      </c>
      <c r="AM158" t="s">
        <v>129</v>
      </c>
      <c r="AN158" t="s">
        <v>130</v>
      </c>
      <c r="AO158" t="s">
        <v>40</v>
      </c>
      <c r="AP158" t="s">
        <v>41</v>
      </c>
      <c r="AZ158" t="s">
        <v>51</v>
      </c>
      <c r="BA158" t="s">
        <v>52</v>
      </c>
    </row>
    <row r="159" spans="1:69" x14ac:dyDescent="0.2">
      <c r="A159" t="s">
        <v>748</v>
      </c>
      <c r="B159" t="s">
        <v>847</v>
      </c>
      <c r="C159" t="s">
        <v>839</v>
      </c>
      <c r="D159" t="s">
        <v>394</v>
      </c>
      <c r="E159" t="s">
        <v>848</v>
      </c>
      <c r="F159" t="s">
        <v>118</v>
      </c>
      <c r="G159" t="str">
        <f>HYPERLINK("https://vk.com/wall-27863223_292571?reply=292597")</f>
        <v>https://vk.com/wall-27863223_292571?reply=292597</v>
      </c>
      <c r="H159" t="s">
        <v>119</v>
      </c>
      <c r="I159" t="s">
        <v>396</v>
      </c>
      <c r="J159" t="str">
        <f>HYPERLINK("http://vk.com/id660994595")</f>
        <v>http://vk.com/id660994595</v>
      </c>
      <c r="K159">
        <v>0</v>
      </c>
      <c r="L159" t="s">
        <v>121</v>
      </c>
      <c r="M159">
        <v>18</v>
      </c>
      <c r="N159" t="s">
        <v>122</v>
      </c>
      <c r="O159" t="s">
        <v>175</v>
      </c>
      <c r="P159" t="str">
        <f>HYPERLINK("http://vk.com/club27863223")</f>
        <v>http://vk.com/club27863223</v>
      </c>
      <c r="Q159">
        <v>134698</v>
      </c>
      <c r="R159" t="s">
        <v>124</v>
      </c>
      <c r="W159">
        <v>0</v>
      </c>
      <c r="X159">
        <v>0</v>
      </c>
      <c r="AM159" t="s">
        <v>129</v>
      </c>
      <c r="AN159" t="s">
        <v>130</v>
      </c>
      <c r="AP159" t="s">
        <v>41</v>
      </c>
      <c r="AU159" t="s">
        <v>46</v>
      </c>
      <c r="AZ159" t="s">
        <v>51</v>
      </c>
      <c r="BA159" t="s">
        <v>52</v>
      </c>
    </row>
    <row r="160" spans="1:69" x14ac:dyDescent="0.2">
      <c r="A160" t="s">
        <v>748</v>
      </c>
      <c r="B160" t="s">
        <v>849</v>
      </c>
      <c r="C160" t="s">
        <v>839</v>
      </c>
      <c r="D160" t="s">
        <v>394</v>
      </c>
      <c r="E160" t="s">
        <v>850</v>
      </c>
      <c r="F160" t="s">
        <v>118</v>
      </c>
      <c r="G160" t="str">
        <f>HYPERLINK("https://vk.com/wall-27863223_292571?reply=292593")</f>
        <v>https://vk.com/wall-27863223_292571?reply=292593</v>
      </c>
      <c r="H160" t="s">
        <v>119</v>
      </c>
      <c r="I160" t="s">
        <v>396</v>
      </c>
      <c r="J160" t="str">
        <f>HYPERLINK("http://vk.com/id660994595")</f>
        <v>http://vk.com/id660994595</v>
      </c>
      <c r="K160">
        <v>0</v>
      </c>
      <c r="L160" t="s">
        <v>121</v>
      </c>
      <c r="M160">
        <v>18</v>
      </c>
      <c r="N160" t="s">
        <v>122</v>
      </c>
      <c r="O160" t="s">
        <v>175</v>
      </c>
      <c r="P160" t="str">
        <f>HYPERLINK("http://vk.com/club27863223")</f>
        <v>http://vk.com/club27863223</v>
      </c>
      <c r="Q160">
        <v>134698</v>
      </c>
      <c r="R160" t="s">
        <v>124</v>
      </c>
      <c r="W160">
        <v>0</v>
      </c>
      <c r="X160">
        <v>0</v>
      </c>
      <c r="AM160" t="s">
        <v>129</v>
      </c>
      <c r="AN160" t="s">
        <v>130</v>
      </c>
      <c r="AP160" t="s">
        <v>41</v>
      </c>
      <c r="AZ160" t="s">
        <v>51</v>
      </c>
      <c r="BA160" t="s">
        <v>52</v>
      </c>
    </row>
    <row r="161" spans="1:77" x14ac:dyDescent="0.2">
      <c r="A161" t="s">
        <v>748</v>
      </c>
      <c r="B161" t="s">
        <v>285</v>
      </c>
      <c r="C161" t="s">
        <v>851</v>
      </c>
      <c r="D161" t="s">
        <v>204</v>
      </c>
      <c r="E161" t="s">
        <v>852</v>
      </c>
      <c r="F161" t="s">
        <v>180</v>
      </c>
      <c r="G161" t="str">
        <f>HYPERLINK("https://play.google.com/store/apps/details?id=ru.iflex.android.a3colortv&amp;reviewId=gp:AOqpTOGwhq5m2BYA8s4yU1NT2aM5w7KeG1ipN6S4RrGgoj-UXMt1CoAHpQwQ8U6k-7EqGUBJsECVzHCoJyjveQ")</f>
        <v>https://play.google.com/store/apps/details?id=ru.iflex.android.a3colortv&amp;reviewId=gp:AOqpTOGwhq5m2BYA8s4yU1NT2aM5w7KeG1ipN6S4RrGgoj-UXMt1CoAHpQwQ8U6k-7EqGUBJsECVzHCoJyjveQ</v>
      </c>
      <c r="H161" t="s">
        <v>181</v>
      </c>
      <c r="I161" t="s">
        <v>853</v>
      </c>
      <c r="J161" t="str">
        <f>HYPERLINK("https://plus.google.com/109291576837066755243")</f>
        <v>https://plus.google.com/109291576837066755243</v>
      </c>
      <c r="K161">
        <v>0</v>
      </c>
      <c r="L161" t="s">
        <v>121</v>
      </c>
      <c r="N161" t="s">
        <v>207</v>
      </c>
      <c r="O161" t="s">
        <v>204</v>
      </c>
      <c r="P161" t="str">
        <f>HYPERLINK("https://play.google.com/store/apps/details?id=ru.iflex.android.a3colortv&amp;hl=ru")</f>
        <v>https://play.google.com/store/apps/details?id=ru.iflex.android.a3colortv&amp;hl=ru</v>
      </c>
      <c r="R161" t="s">
        <v>184</v>
      </c>
      <c r="S161" t="s">
        <v>125</v>
      </c>
      <c r="W161">
        <v>0</v>
      </c>
      <c r="X161">
        <v>0</v>
      </c>
      <c r="AH161">
        <v>5</v>
      </c>
      <c r="AM161" t="s">
        <v>129</v>
      </c>
      <c r="AN161" t="s">
        <v>130</v>
      </c>
      <c r="AP161" t="s">
        <v>41</v>
      </c>
      <c r="AZ161" t="s">
        <v>51</v>
      </c>
      <c r="BA161" t="s">
        <v>52</v>
      </c>
      <c r="BQ161" t="s">
        <v>68</v>
      </c>
    </row>
    <row r="162" spans="1:77" x14ac:dyDescent="0.2">
      <c r="A162" t="s">
        <v>748</v>
      </c>
      <c r="B162" t="s">
        <v>285</v>
      </c>
      <c r="C162" t="s">
        <v>854</v>
      </c>
      <c r="D162" t="s">
        <v>855</v>
      </c>
      <c r="E162" t="s">
        <v>856</v>
      </c>
      <c r="F162" t="s">
        <v>180</v>
      </c>
      <c r="G162" t="str">
        <f>HYPERLINK("https://www.ozon.ru/context/detail/id/170215696/#63265050")</f>
        <v>https://www.ozon.ru/context/detail/id/170215696/#63265050</v>
      </c>
      <c r="H162" t="s">
        <v>181</v>
      </c>
      <c r="I162" t="s">
        <v>857</v>
      </c>
      <c r="J162" t="str">
        <f>HYPERLINK("https://www.ozon.ru/context/client_opinion/ClientGuid/a690cca4-e5c7-4a4d-88f0-052e6b4eef50/")</f>
        <v>https://www.ozon.ru/context/client_opinion/ClientGuid/a690cca4-e5c7-4a4d-88f0-052e6b4eef50/</v>
      </c>
      <c r="N162" t="s">
        <v>183</v>
      </c>
      <c r="O162" t="s">
        <v>855</v>
      </c>
      <c r="P162" t="str">
        <f>HYPERLINK("https://www.ozon.ru/context/detail/id/170215696/")</f>
        <v>https://www.ozon.ru/context/detail/id/170215696/</v>
      </c>
      <c r="R162" t="s">
        <v>184</v>
      </c>
      <c r="S162" t="s">
        <v>125</v>
      </c>
      <c r="W162">
        <v>0</v>
      </c>
      <c r="X162">
        <v>0</v>
      </c>
      <c r="AH162">
        <v>5</v>
      </c>
      <c r="AM162" t="s">
        <v>129</v>
      </c>
      <c r="AN162" t="s">
        <v>130</v>
      </c>
      <c r="AP162" t="s">
        <v>41</v>
      </c>
      <c r="AZ162" t="s">
        <v>51</v>
      </c>
      <c r="BA162" t="s">
        <v>52</v>
      </c>
      <c r="BK162" t="s">
        <v>62</v>
      </c>
      <c r="BL162" t="s">
        <v>63</v>
      </c>
    </row>
    <row r="163" spans="1:77" x14ac:dyDescent="0.2">
      <c r="A163" t="s">
        <v>748</v>
      </c>
      <c r="B163" t="s">
        <v>858</v>
      </c>
      <c r="C163" t="s">
        <v>859</v>
      </c>
      <c r="D163" t="s">
        <v>860</v>
      </c>
      <c r="E163" t="s">
        <v>861</v>
      </c>
      <c r="F163" t="s">
        <v>118</v>
      </c>
      <c r="G163" t="str">
        <f>HYPERLINK("https://vk.com/wall-61399475_345867?reply=345914")</f>
        <v>https://vk.com/wall-61399475_345867?reply=345914</v>
      </c>
      <c r="H163" t="s">
        <v>119</v>
      </c>
      <c r="I163" t="s">
        <v>862</v>
      </c>
      <c r="J163" t="str">
        <f>HYPERLINK("http://vk.com/id597539346")</f>
        <v>http://vk.com/id597539346</v>
      </c>
      <c r="K163">
        <v>121</v>
      </c>
      <c r="L163" t="s">
        <v>151</v>
      </c>
      <c r="M163">
        <v>54</v>
      </c>
      <c r="N163" t="s">
        <v>122</v>
      </c>
      <c r="O163" t="s">
        <v>863</v>
      </c>
      <c r="P163" t="str">
        <f>HYPERLINK("http://vk.com/club61399475")</f>
        <v>http://vk.com/club61399475</v>
      </c>
      <c r="Q163">
        <v>15949</v>
      </c>
      <c r="R163" t="s">
        <v>124</v>
      </c>
      <c r="AM163" t="s">
        <v>129</v>
      </c>
      <c r="AN163" t="s">
        <v>130</v>
      </c>
      <c r="AP163" t="s">
        <v>41</v>
      </c>
      <c r="AZ163" t="s">
        <v>51</v>
      </c>
      <c r="BA163" t="s">
        <v>52</v>
      </c>
      <c r="BK163" t="s">
        <v>62</v>
      </c>
    </row>
    <row r="164" spans="1:77" x14ac:dyDescent="0.2">
      <c r="A164" t="s">
        <v>748</v>
      </c>
      <c r="B164" t="s">
        <v>288</v>
      </c>
      <c r="C164" t="s">
        <v>864</v>
      </c>
      <c r="D164" t="s">
        <v>215</v>
      </c>
      <c r="E164" t="s">
        <v>865</v>
      </c>
      <c r="F164" t="s">
        <v>118</v>
      </c>
      <c r="G164" t="str">
        <f>HYPERLINK("https://vk.com/wall-27863223_292439?reply=292590")</f>
        <v>https://vk.com/wall-27863223_292439?reply=292590</v>
      </c>
      <c r="H164" t="s">
        <v>119</v>
      </c>
      <c r="I164" t="s">
        <v>363</v>
      </c>
      <c r="J164" t="str">
        <f>HYPERLINK("http://vk.com/id28210709")</f>
        <v>http://vk.com/id28210709</v>
      </c>
      <c r="K164">
        <v>249</v>
      </c>
      <c r="L164" t="s">
        <v>121</v>
      </c>
      <c r="M164">
        <v>32</v>
      </c>
      <c r="N164" t="s">
        <v>122</v>
      </c>
      <c r="O164" t="s">
        <v>175</v>
      </c>
      <c r="P164" t="str">
        <f>HYPERLINK("http://vk.com/club27863223")</f>
        <v>http://vk.com/club27863223</v>
      </c>
      <c r="Q164">
        <v>134698</v>
      </c>
      <c r="R164" t="s">
        <v>124</v>
      </c>
      <c r="S164" t="s">
        <v>125</v>
      </c>
      <c r="T164" t="s">
        <v>364</v>
      </c>
      <c r="U164" t="s">
        <v>365</v>
      </c>
      <c r="W164">
        <v>0</v>
      </c>
      <c r="X164">
        <v>0</v>
      </c>
      <c r="AM164" t="s">
        <v>129</v>
      </c>
      <c r="AN164" t="s">
        <v>130</v>
      </c>
      <c r="AO164" t="s">
        <v>40</v>
      </c>
      <c r="AP164" t="s">
        <v>41</v>
      </c>
      <c r="AZ164" t="s">
        <v>51</v>
      </c>
      <c r="BA164" t="s">
        <v>52</v>
      </c>
    </row>
    <row r="165" spans="1:77" x14ac:dyDescent="0.2">
      <c r="A165" t="s">
        <v>748</v>
      </c>
      <c r="B165" t="s">
        <v>866</v>
      </c>
      <c r="C165" t="s">
        <v>867</v>
      </c>
      <c r="D165" t="s">
        <v>868</v>
      </c>
      <c r="E165" t="s">
        <v>869</v>
      </c>
      <c r="F165" t="s">
        <v>180</v>
      </c>
      <c r="G165" t="str">
        <f>HYPERLINK("https://telesputnik.ru/forum/viewtopic.php?f=34&amp;t=49901&amp;start=900#p2483038")</f>
        <v>https://telesputnik.ru/forum/viewtopic.php?f=34&amp;t=49901&amp;start=900#p2483038</v>
      </c>
      <c r="H165" t="s">
        <v>119</v>
      </c>
      <c r="I165" t="s">
        <v>870</v>
      </c>
      <c r="J165" t="str">
        <f>HYPERLINK("https://telesputnik.ru/forum/memberlist.php?mode=viewprofile&amp;u=59696")</f>
        <v>https://telesputnik.ru/forum/memberlist.php?mode=viewprofile&amp;u=59696</v>
      </c>
      <c r="N165" t="s">
        <v>335</v>
      </c>
      <c r="O165" t="s">
        <v>871</v>
      </c>
      <c r="P165" t="str">
        <f>HYPERLINK("https://telesputnik.ru/forum/viewforum.php?f=34")</f>
        <v>https://telesputnik.ru/forum/viewforum.php?f=34</v>
      </c>
      <c r="R165" t="s">
        <v>295</v>
      </c>
      <c r="S165" t="s">
        <v>125</v>
      </c>
      <c r="AM165" t="s">
        <v>129</v>
      </c>
      <c r="AN165" t="s">
        <v>130</v>
      </c>
      <c r="AP165" t="s">
        <v>41</v>
      </c>
      <c r="AU165" t="s">
        <v>46</v>
      </c>
      <c r="AY165" t="s">
        <v>50</v>
      </c>
      <c r="AZ165" t="s">
        <v>51</v>
      </c>
      <c r="BA165" t="s">
        <v>52</v>
      </c>
    </row>
    <row r="166" spans="1:77" x14ac:dyDescent="0.2">
      <c r="A166" t="s">
        <v>748</v>
      </c>
      <c r="B166" t="s">
        <v>872</v>
      </c>
      <c r="C166" t="s">
        <v>873</v>
      </c>
      <c r="D166" t="s">
        <v>129</v>
      </c>
      <c r="E166" t="s">
        <v>874</v>
      </c>
      <c r="F166" t="s">
        <v>180</v>
      </c>
      <c r="G166" t="str">
        <f>HYPERLINK("https://twitter.com/360582757/status/1421139651415482373")</f>
        <v>https://twitter.com/360582757/status/1421139651415482373</v>
      </c>
      <c r="H166" t="s">
        <v>119</v>
      </c>
      <c r="I166" t="s">
        <v>175</v>
      </c>
      <c r="J166" t="str">
        <f>HYPERLINK("http://twitter.com/tricolortv")</f>
        <v>http://twitter.com/tricolortv</v>
      </c>
      <c r="K166">
        <v>5663</v>
      </c>
      <c r="N166" t="s">
        <v>350</v>
      </c>
      <c r="R166" t="s">
        <v>124</v>
      </c>
      <c r="S166" t="s">
        <v>125</v>
      </c>
      <c r="T166" t="s">
        <v>137</v>
      </c>
      <c r="U166" t="s">
        <v>137</v>
      </c>
      <c r="W166">
        <v>1</v>
      </c>
      <c r="X166">
        <v>1</v>
      </c>
      <c r="AE166">
        <v>0</v>
      </c>
      <c r="AF166">
        <v>0</v>
      </c>
      <c r="AJ166" t="s">
        <v>875</v>
      </c>
      <c r="AK166" t="s">
        <v>876</v>
      </c>
      <c r="AL166" t="str">
        <f>HYPERLINK("https://pbs.twimg.com/ext_tw_video_thumb/1421138906813276167/pu/img/HVxvbNev_UloQSGO.jpg")</f>
        <v>https://pbs.twimg.com/ext_tw_video_thumb/1421138906813276167/pu/img/HVxvbNev_UloQSGO.jpg</v>
      </c>
      <c r="AM166" t="s">
        <v>129</v>
      </c>
      <c r="AN166" t="s">
        <v>130</v>
      </c>
      <c r="BI166" t="s">
        <v>60</v>
      </c>
    </row>
    <row r="167" spans="1:77" x14ac:dyDescent="0.2">
      <c r="A167" t="s">
        <v>748</v>
      </c>
      <c r="B167" t="s">
        <v>877</v>
      </c>
      <c r="C167" t="s">
        <v>873</v>
      </c>
      <c r="D167" t="s">
        <v>878</v>
      </c>
      <c r="E167" t="s">
        <v>879</v>
      </c>
      <c r="F167" t="s">
        <v>180</v>
      </c>
      <c r="G167" t="str">
        <f>HYPERLINK("https://www.yell.ru/krasnodar/com/torgovaya-kompaniya-nolimit-electronics_12184843/?reviewId=3767508")</f>
        <v>https://www.yell.ru/krasnodar/com/torgovaya-kompaniya-nolimit-electronics_12184843/?reviewId=3767508</v>
      </c>
      <c r="H167" t="s">
        <v>119</v>
      </c>
      <c r="I167" t="s">
        <v>880</v>
      </c>
      <c r="J167" t="str">
        <f>HYPERLINK("http://www.yell.ru/users/2233310/")</f>
        <v>http://www.yell.ru/users/2233310/</v>
      </c>
      <c r="K167">
        <v>0</v>
      </c>
      <c r="N167" t="s">
        <v>881</v>
      </c>
      <c r="O167" t="s">
        <v>878</v>
      </c>
      <c r="P167" t="str">
        <f>HYPERLINK("https://www.yell.ru/krasnodar/com/torgovaya-kompaniya-nolimit-electronics_12184843/")</f>
        <v>https://www.yell.ru/krasnodar/com/torgovaya-kompaniya-nolimit-electronics_12184843/</v>
      </c>
      <c r="R167" t="s">
        <v>184</v>
      </c>
      <c r="S167" t="s">
        <v>125</v>
      </c>
      <c r="T167" t="s">
        <v>759</v>
      </c>
      <c r="U167" t="s">
        <v>882</v>
      </c>
      <c r="W167">
        <v>0</v>
      </c>
      <c r="X167">
        <v>0</v>
      </c>
      <c r="AH167">
        <v>1</v>
      </c>
      <c r="AM167" t="s">
        <v>129</v>
      </c>
      <c r="AN167" t="s">
        <v>130</v>
      </c>
      <c r="AP167" t="s">
        <v>41</v>
      </c>
      <c r="AT167" t="s">
        <v>45</v>
      </c>
      <c r="AX167" t="s">
        <v>49</v>
      </c>
      <c r="AZ167" t="s">
        <v>51</v>
      </c>
      <c r="BA167" t="s">
        <v>52</v>
      </c>
      <c r="BL167" t="s">
        <v>63</v>
      </c>
    </row>
    <row r="168" spans="1:77" x14ac:dyDescent="0.2">
      <c r="A168" t="s">
        <v>748</v>
      </c>
      <c r="B168" t="s">
        <v>883</v>
      </c>
      <c r="C168" t="s">
        <v>884</v>
      </c>
      <c r="D168" t="s">
        <v>885</v>
      </c>
      <c r="E168" t="s">
        <v>886</v>
      </c>
      <c r="F168" t="s">
        <v>118</v>
      </c>
      <c r="G168" t="str">
        <f>HYPERLINK("https://vk.com/wall-27863223_292520?reply=292588")</f>
        <v>https://vk.com/wall-27863223_292520?reply=292588</v>
      </c>
      <c r="H168" t="s">
        <v>119</v>
      </c>
      <c r="I168" t="s">
        <v>887</v>
      </c>
      <c r="J168" t="str">
        <f>HYPERLINK("http://vk.com/id65707900")</f>
        <v>http://vk.com/id65707900</v>
      </c>
      <c r="K168">
        <v>275</v>
      </c>
      <c r="L168" t="s">
        <v>121</v>
      </c>
      <c r="M168">
        <v>46</v>
      </c>
      <c r="N168" t="s">
        <v>122</v>
      </c>
      <c r="O168" t="s">
        <v>175</v>
      </c>
      <c r="P168" t="str">
        <f>HYPERLINK("http://vk.com/club27863223")</f>
        <v>http://vk.com/club27863223</v>
      </c>
      <c r="Q168">
        <v>134698</v>
      </c>
      <c r="R168" t="s">
        <v>124</v>
      </c>
      <c r="W168">
        <v>0</v>
      </c>
      <c r="X168">
        <v>0</v>
      </c>
      <c r="AM168" t="s">
        <v>129</v>
      </c>
      <c r="AN168" t="s">
        <v>130</v>
      </c>
      <c r="AP168" t="s">
        <v>41</v>
      </c>
      <c r="AW168" t="s">
        <v>48</v>
      </c>
      <c r="AZ168" t="s">
        <v>51</v>
      </c>
      <c r="BB168" t="s">
        <v>53</v>
      </c>
    </row>
    <row r="169" spans="1:77" x14ac:dyDescent="0.2">
      <c r="A169" t="s">
        <v>748</v>
      </c>
      <c r="B169" t="s">
        <v>883</v>
      </c>
      <c r="C169" t="s">
        <v>888</v>
      </c>
      <c r="D169" t="s">
        <v>889</v>
      </c>
      <c r="E169" t="s">
        <v>890</v>
      </c>
      <c r="F169" t="s">
        <v>180</v>
      </c>
      <c r="G169" t="str">
        <f>HYPERLINK("https://ok.ru/group/51085510115462/topic/153505337943430")</f>
        <v>https://ok.ru/group/51085510115462/topic/153505337943430</v>
      </c>
      <c r="H169" t="s">
        <v>119</v>
      </c>
      <c r="I169" t="s">
        <v>175</v>
      </c>
      <c r="J169" t="str">
        <f>HYPERLINK("https://ok.ru/group/51085510115462")</f>
        <v>https://ok.ru/group/51085510115462</v>
      </c>
      <c r="K169">
        <v>94768</v>
      </c>
      <c r="L169" t="s">
        <v>340</v>
      </c>
      <c r="N169" t="s">
        <v>347</v>
      </c>
      <c r="O169" t="s">
        <v>175</v>
      </c>
      <c r="P169" t="str">
        <f>HYPERLINK("https://ok.ru/group/51085510115462")</f>
        <v>https://ok.ru/group/51085510115462</v>
      </c>
      <c r="Q169">
        <v>94768</v>
      </c>
      <c r="R169" t="s">
        <v>124</v>
      </c>
      <c r="W169">
        <v>11</v>
      </c>
      <c r="X169">
        <v>11</v>
      </c>
      <c r="Y169">
        <v>0</v>
      </c>
      <c r="Z169">
        <v>0</v>
      </c>
      <c r="AA169">
        <v>0</v>
      </c>
      <c r="AB169">
        <v>0</v>
      </c>
      <c r="AE169">
        <v>0</v>
      </c>
      <c r="AF169">
        <v>0</v>
      </c>
      <c r="AJ169" t="s">
        <v>891</v>
      </c>
      <c r="AK169" t="s">
        <v>892</v>
      </c>
      <c r="AL169" t="str">
        <f>HYPERLINK("https://i.mycdn.me/image?id=913880759324&amp;t=50&amp;plc=WEB&amp;tkn=*WkuFP-uQmV5dy5JnEEjNPTrGCgg")</f>
        <v>https://i.mycdn.me/image?id=913880759324&amp;t=50&amp;plc=WEB&amp;tkn=*WkuFP-uQmV5dy5JnEEjNPTrGCgg</v>
      </c>
      <c r="AM169" t="s">
        <v>129</v>
      </c>
      <c r="AN169" t="s">
        <v>130</v>
      </c>
      <c r="BI169" t="s">
        <v>60</v>
      </c>
    </row>
    <row r="170" spans="1:77" x14ac:dyDescent="0.2">
      <c r="A170" t="s">
        <v>748</v>
      </c>
      <c r="B170" t="s">
        <v>893</v>
      </c>
      <c r="C170" t="s">
        <v>894</v>
      </c>
      <c r="D170" t="s">
        <v>129</v>
      </c>
      <c r="E170" t="s">
        <v>890</v>
      </c>
      <c r="F170" t="s">
        <v>180</v>
      </c>
      <c r="G170" t="str">
        <f>HYPERLINK("https://www.facebook.com/tricolortv/posts/4131123706941868")</f>
        <v>https://www.facebook.com/tricolortv/posts/4131123706941868</v>
      </c>
      <c r="H170" t="s">
        <v>119</v>
      </c>
      <c r="I170" t="s">
        <v>175</v>
      </c>
      <c r="J170" t="str">
        <f>HYPERLINK("https://www.facebook.com/206198386101106")</f>
        <v>https://www.facebook.com/206198386101106</v>
      </c>
      <c r="K170">
        <v>16432</v>
      </c>
      <c r="L170" t="s">
        <v>340</v>
      </c>
      <c r="N170" t="s">
        <v>305</v>
      </c>
      <c r="O170" t="s">
        <v>175</v>
      </c>
      <c r="P170" t="str">
        <f>HYPERLINK("https://www.facebook.com/206198386101106")</f>
        <v>https://www.facebook.com/206198386101106</v>
      </c>
      <c r="Q170">
        <v>16432</v>
      </c>
      <c r="R170" t="s">
        <v>124</v>
      </c>
      <c r="W170">
        <v>0</v>
      </c>
      <c r="X170">
        <v>0</v>
      </c>
      <c r="Y170">
        <v>0</v>
      </c>
      <c r="Z170">
        <v>0</v>
      </c>
      <c r="AA170">
        <v>0</v>
      </c>
      <c r="AB170">
        <v>0</v>
      </c>
      <c r="AC170">
        <v>0</v>
      </c>
      <c r="AE170">
        <v>0</v>
      </c>
      <c r="AF170">
        <v>0</v>
      </c>
      <c r="AJ170" t="s">
        <v>891</v>
      </c>
      <c r="AK170" t="s">
        <v>892</v>
      </c>
      <c r="AL170" t="s">
        <v>895</v>
      </c>
      <c r="AM170" t="s">
        <v>129</v>
      </c>
      <c r="AN170" t="s">
        <v>130</v>
      </c>
      <c r="BI170" t="s">
        <v>60</v>
      </c>
    </row>
    <row r="171" spans="1:77" x14ac:dyDescent="0.2">
      <c r="A171" t="s">
        <v>748</v>
      </c>
      <c r="B171" t="s">
        <v>896</v>
      </c>
      <c r="C171" t="s">
        <v>897</v>
      </c>
      <c r="D171" t="s">
        <v>898</v>
      </c>
      <c r="E171" t="s">
        <v>899</v>
      </c>
      <c r="F171" t="s">
        <v>180</v>
      </c>
      <c r="G171" t="str">
        <f>HYPERLINK("https://4pda.to/forum/index.php?showtopic=987287&amp;st=440#entry108321154")</f>
        <v>https://4pda.to/forum/index.php?showtopic=987287&amp;st=440#entry108321154</v>
      </c>
      <c r="H171" t="s">
        <v>119</v>
      </c>
      <c r="I171" t="s">
        <v>900</v>
      </c>
      <c r="J171" t="str">
        <f>HYPERLINK("https://4pda.to/forum/index.php?showuser=1828779")</f>
        <v>https://4pda.to/forum/index.php?showuser=1828779</v>
      </c>
      <c r="N171" t="s">
        <v>293</v>
      </c>
      <c r="O171" t="s">
        <v>901</v>
      </c>
      <c r="P171" t="str">
        <f>HYPERLINK("https://4pda.to/forum/index.php?showforum=876")</f>
        <v>https://4pda.to/forum/index.php?showforum=876</v>
      </c>
      <c r="R171" t="s">
        <v>295</v>
      </c>
      <c r="S171" t="s">
        <v>125</v>
      </c>
      <c r="AM171" t="s">
        <v>129</v>
      </c>
      <c r="AN171" t="s">
        <v>130</v>
      </c>
      <c r="AP171" t="s">
        <v>41</v>
      </c>
      <c r="AZ171" t="s">
        <v>51</v>
      </c>
      <c r="BA171" t="s">
        <v>52</v>
      </c>
      <c r="BL171" t="s">
        <v>63</v>
      </c>
      <c r="BQ171" t="s">
        <v>68</v>
      </c>
    </row>
    <row r="172" spans="1:77" x14ac:dyDescent="0.2">
      <c r="A172" t="s">
        <v>748</v>
      </c>
      <c r="B172" t="s">
        <v>902</v>
      </c>
      <c r="C172" t="s">
        <v>903</v>
      </c>
      <c r="D172" t="s">
        <v>204</v>
      </c>
      <c r="E172" t="s">
        <v>904</v>
      </c>
      <c r="F172" t="s">
        <v>180</v>
      </c>
      <c r="G172" t="str">
        <f>HYPERLINK("https://play.google.com/store/apps/details?id=ru.iflex.android.a3colortv&amp;reviewId=gp:AOqpTOGC07l4Ux5DfC69VBL1UwgRhB0ReRuW2mW9EeXKp2_x0hJEskPCSobBxpX3qtzfUSGN8b1293o88zQvWA")</f>
        <v>https://play.google.com/store/apps/details?id=ru.iflex.android.a3colortv&amp;reviewId=gp:AOqpTOGC07l4Ux5DfC69VBL1UwgRhB0ReRuW2mW9EeXKp2_x0hJEskPCSobBxpX3qtzfUSGN8b1293o88zQvWA</v>
      </c>
      <c r="H172" t="s">
        <v>181</v>
      </c>
      <c r="I172" t="s">
        <v>905</v>
      </c>
      <c r="J172" t="str">
        <f>HYPERLINK("https://plus.google.com/103718131684187332147")</f>
        <v>https://plus.google.com/103718131684187332147</v>
      </c>
      <c r="L172" t="s">
        <v>121</v>
      </c>
      <c r="N172" t="s">
        <v>207</v>
      </c>
      <c r="O172" t="s">
        <v>204</v>
      </c>
      <c r="P172" t="str">
        <f>HYPERLINK("https://play.google.com/store/apps/details?id=ru.iflex.android.a3colortv&amp;hl=ru")</f>
        <v>https://play.google.com/store/apps/details?id=ru.iflex.android.a3colortv&amp;hl=ru</v>
      </c>
      <c r="R172" t="s">
        <v>184</v>
      </c>
      <c r="S172" t="s">
        <v>125</v>
      </c>
      <c r="W172">
        <v>0</v>
      </c>
      <c r="X172">
        <v>0</v>
      </c>
      <c r="AH172">
        <v>5</v>
      </c>
      <c r="AM172" t="s">
        <v>129</v>
      </c>
      <c r="AN172" t="s">
        <v>130</v>
      </c>
      <c r="AP172" t="s">
        <v>41</v>
      </c>
      <c r="AZ172" t="s">
        <v>51</v>
      </c>
      <c r="BA172" t="s">
        <v>52</v>
      </c>
      <c r="BQ172" t="s">
        <v>68</v>
      </c>
    </row>
    <row r="173" spans="1:77" x14ac:dyDescent="0.2">
      <c r="A173" t="s">
        <v>748</v>
      </c>
      <c r="B173" t="s">
        <v>906</v>
      </c>
      <c r="C173" t="s">
        <v>686</v>
      </c>
      <c r="D173" t="s">
        <v>907</v>
      </c>
      <c r="E173" t="s">
        <v>908</v>
      </c>
      <c r="F173" t="s">
        <v>180</v>
      </c>
      <c r="G173" t="str">
        <f>HYPERLINK("https://telesputnik.ru/forum/viewtopic.php?f=36&amp;t=42382&amp;start=37840#p2483157")</f>
        <v>https://telesputnik.ru/forum/viewtopic.php?f=36&amp;t=42382&amp;start=37840#p2483157</v>
      </c>
      <c r="H173" t="s">
        <v>119</v>
      </c>
      <c r="I173" t="s">
        <v>334</v>
      </c>
      <c r="J173" t="str">
        <f>HYPERLINK("https://telesputnik.ru/forum/memberlist.php?mode=viewprofile&amp;u=330723")</f>
        <v>https://telesputnik.ru/forum/memberlist.php?mode=viewprofile&amp;u=330723</v>
      </c>
      <c r="N173" t="s">
        <v>335</v>
      </c>
      <c r="O173" t="s">
        <v>909</v>
      </c>
      <c r="P173" t="str">
        <f>HYPERLINK("https://telesputnik.ru/forum/viewforum.php?f=36")</f>
        <v>https://telesputnik.ru/forum/viewforum.php?f=36</v>
      </c>
      <c r="R173" t="s">
        <v>295</v>
      </c>
      <c r="S173" t="s">
        <v>125</v>
      </c>
      <c r="AM173" t="s">
        <v>129</v>
      </c>
      <c r="AN173" t="s">
        <v>130</v>
      </c>
      <c r="AP173" t="s">
        <v>41</v>
      </c>
      <c r="AY173" t="s">
        <v>50</v>
      </c>
      <c r="AZ173" t="s">
        <v>51</v>
      </c>
      <c r="BA173" t="s">
        <v>52</v>
      </c>
      <c r="BL173" t="s">
        <v>63</v>
      </c>
    </row>
    <row r="174" spans="1:77" x14ac:dyDescent="0.2">
      <c r="A174" t="s">
        <v>748</v>
      </c>
      <c r="B174" t="s">
        <v>910</v>
      </c>
      <c r="C174" t="s">
        <v>911</v>
      </c>
      <c r="D174" t="s">
        <v>215</v>
      </c>
      <c r="E174" t="s">
        <v>912</v>
      </c>
      <c r="F174" t="s">
        <v>118</v>
      </c>
      <c r="G174" t="str">
        <f>HYPERLINK("https://vk.com/wall-27863223_292439?reply=292583")</f>
        <v>https://vk.com/wall-27863223_292439?reply=292583</v>
      </c>
      <c r="H174" t="s">
        <v>119</v>
      </c>
      <c r="I174" t="s">
        <v>642</v>
      </c>
      <c r="J174" t="str">
        <f>HYPERLINK("http://vk.com/id179499241")</f>
        <v>http://vk.com/id179499241</v>
      </c>
      <c r="K174">
        <v>196</v>
      </c>
      <c r="L174" t="s">
        <v>151</v>
      </c>
      <c r="M174">
        <v>37</v>
      </c>
      <c r="N174" t="s">
        <v>122</v>
      </c>
      <c r="O174" t="s">
        <v>175</v>
      </c>
      <c r="P174" t="str">
        <f>HYPERLINK("http://vk.com/club27863223")</f>
        <v>http://vk.com/club27863223</v>
      </c>
      <c r="Q174">
        <v>134698</v>
      </c>
      <c r="R174" t="s">
        <v>124</v>
      </c>
      <c r="S174" t="s">
        <v>125</v>
      </c>
      <c r="T174" t="s">
        <v>153</v>
      </c>
      <c r="U174" t="s">
        <v>643</v>
      </c>
      <c r="W174">
        <v>0</v>
      </c>
      <c r="X174">
        <v>0</v>
      </c>
      <c r="AM174" t="s">
        <v>129</v>
      </c>
      <c r="AN174" t="s">
        <v>130</v>
      </c>
      <c r="AP174" t="s">
        <v>41</v>
      </c>
      <c r="AZ174" t="s">
        <v>51</v>
      </c>
      <c r="BA174" t="s">
        <v>52</v>
      </c>
    </row>
    <row r="175" spans="1:77" x14ac:dyDescent="0.2">
      <c r="A175" t="s">
        <v>748</v>
      </c>
      <c r="B175" t="s">
        <v>913</v>
      </c>
      <c r="C175" t="s">
        <v>914</v>
      </c>
      <c r="D175" t="s">
        <v>915</v>
      </c>
      <c r="E175" t="s">
        <v>916</v>
      </c>
      <c r="F175" t="s">
        <v>118</v>
      </c>
      <c r="G175" t="str">
        <f>HYPERLINK("https://vk.com/wall-74226519_26757?reply=26764&amp;thread=26759")</f>
        <v>https://vk.com/wall-74226519_26757?reply=26764&amp;thread=26759</v>
      </c>
      <c r="H175" t="s">
        <v>119</v>
      </c>
      <c r="I175" t="s">
        <v>917</v>
      </c>
      <c r="J175" t="str">
        <f>HYPERLINK("http://vk.com/club74226519")</f>
        <v>http://vk.com/club74226519</v>
      </c>
      <c r="K175">
        <v>17061</v>
      </c>
      <c r="L175" t="s">
        <v>340</v>
      </c>
      <c r="N175" t="s">
        <v>122</v>
      </c>
      <c r="O175" t="s">
        <v>917</v>
      </c>
      <c r="P175" t="str">
        <f>HYPERLINK("http://vk.com/club74226519")</f>
        <v>http://vk.com/club74226519</v>
      </c>
      <c r="Q175">
        <v>17061</v>
      </c>
      <c r="R175" t="s">
        <v>124</v>
      </c>
      <c r="S175" t="s">
        <v>125</v>
      </c>
      <c r="T175" t="s">
        <v>169</v>
      </c>
      <c r="U175" t="s">
        <v>169</v>
      </c>
      <c r="AM175" t="s">
        <v>129</v>
      </c>
      <c r="AN175" t="s">
        <v>130</v>
      </c>
      <c r="AP175" t="s">
        <v>41</v>
      </c>
      <c r="AU175" t="s">
        <v>46</v>
      </c>
      <c r="AZ175" t="s">
        <v>51</v>
      </c>
      <c r="BA175" t="s">
        <v>52</v>
      </c>
    </row>
    <row r="176" spans="1:77" x14ac:dyDescent="0.2">
      <c r="A176" t="s">
        <v>748</v>
      </c>
      <c r="B176" t="s">
        <v>369</v>
      </c>
      <c r="C176" t="s">
        <v>918</v>
      </c>
      <c r="D176" t="s">
        <v>394</v>
      </c>
      <c r="E176" t="s">
        <v>919</v>
      </c>
      <c r="F176" t="s">
        <v>118</v>
      </c>
      <c r="G176" t="str">
        <f>HYPERLINK("https://vk.com/wall-27863223_292571?reply=292577")</f>
        <v>https://vk.com/wall-27863223_292571?reply=292577</v>
      </c>
      <c r="H176" t="s">
        <v>228</v>
      </c>
      <c r="I176" t="s">
        <v>254</v>
      </c>
      <c r="J176" t="str">
        <f>HYPERLINK("http://vk.com/id286061518")</f>
        <v>http://vk.com/id286061518</v>
      </c>
      <c r="K176">
        <v>5170</v>
      </c>
      <c r="L176" t="s">
        <v>121</v>
      </c>
      <c r="M176">
        <v>34</v>
      </c>
      <c r="N176" t="s">
        <v>122</v>
      </c>
      <c r="O176" t="s">
        <v>175</v>
      </c>
      <c r="P176" t="str">
        <f>HYPERLINK("http://vk.com/club27863223")</f>
        <v>http://vk.com/club27863223</v>
      </c>
      <c r="Q176">
        <v>134698</v>
      </c>
      <c r="R176" t="s">
        <v>124</v>
      </c>
      <c r="S176" t="s">
        <v>125</v>
      </c>
      <c r="T176" t="s">
        <v>256</v>
      </c>
      <c r="U176" t="s">
        <v>257</v>
      </c>
      <c r="W176">
        <v>0</v>
      </c>
      <c r="X176">
        <v>0</v>
      </c>
      <c r="AM176" t="s">
        <v>129</v>
      </c>
      <c r="AN176" t="s">
        <v>130</v>
      </c>
      <c r="AP176" t="s">
        <v>41</v>
      </c>
      <c r="AZ176" t="s">
        <v>51</v>
      </c>
      <c r="BD176" t="s">
        <v>55</v>
      </c>
      <c r="BY176" t="s">
        <v>76</v>
      </c>
    </row>
    <row r="177" spans="1:90" x14ac:dyDescent="0.2">
      <c r="A177" t="s">
        <v>748</v>
      </c>
      <c r="B177" t="s">
        <v>920</v>
      </c>
      <c r="C177" t="s">
        <v>921</v>
      </c>
      <c r="D177" t="s">
        <v>922</v>
      </c>
      <c r="E177" t="s">
        <v>923</v>
      </c>
      <c r="F177" t="s">
        <v>180</v>
      </c>
      <c r="G177" t="str">
        <f>HYPERLINK("https://www.wildberries.ru/catalog/21220605/detail.aspx?targetUrl=ES#Comments")</f>
        <v>https://www.wildberries.ru/catalog/21220605/detail.aspx?targetUrl=ES#Comments</v>
      </c>
      <c r="H177" t="s">
        <v>181</v>
      </c>
      <c r="I177" t="s">
        <v>924</v>
      </c>
      <c r="J177" t="str">
        <f>HYPERLINK("https://www.wildberries.ru/profile/w7TDssOkw7PCu8KwwrTCtcKywrjCuMK3wrI=")</f>
        <v>https://www.wildberries.ru/profile/w7TDssOkw7PCu8KwwrTCtcKywrjCuMK3wrI=</v>
      </c>
      <c r="L177" t="s">
        <v>121</v>
      </c>
      <c r="N177" t="s">
        <v>534</v>
      </c>
      <c r="O177" t="s">
        <v>922</v>
      </c>
      <c r="P177" t="str">
        <f>HYPERLINK("https://www.wildberries.ru/catalog/15142010/detail.aspx")</f>
        <v>https://www.wildberries.ru/catalog/15142010/detail.aspx</v>
      </c>
      <c r="R177" t="s">
        <v>184</v>
      </c>
      <c r="S177" t="s">
        <v>125</v>
      </c>
      <c r="W177">
        <v>0</v>
      </c>
      <c r="X177">
        <v>0</v>
      </c>
      <c r="AH177">
        <v>5</v>
      </c>
      <c r="AM177" t="s">
        <v>129</v>
      </c>
      <c r="AN177" t="s">
        <v>130</v>
      </c>
      <c r="AP177" t="s">
        <v>41</v>
      </c>
      <c r="AY177" t="s">
        <v>50</v>
      </c>
      <c r="AZ177" t="s">
        <v>51</v>
      </c>
      <c r="BA177" t="s">
        <v>52</v>
      </c>
      <c r="BK177" t="s">
        <v>62</v>
      </c>
      <c r="BL177" t="s">
        <v>63</v>
      </c>
    </row>
    <row r="178" spans="1:90" x14ac:dyDescent="0.2">
      <c r="A178" t="s">
        <v>748</v>
      </c>
      <c r="B178" t="s">
        <v>925</v>
      </c>
      <c r="C178" t="s">
        <v>926</v>
      </c>
      <c r="D178" t="s">
        <v>175</v>
      </c>
      <c r="E178" t="s">
        <v>927</v>
      </c>
      <c r="F178" t="s">
        <v>180</v>
      </c>
      <c r="G178" t="str">
        <f>HYPERLINK("https://yandex.ru/maps/org/140836061078#_zGEmA9OfiBBAqPS2XQDCNoSldJl9YQ")</f>
        <v>https://yandex.ru/maps/org/140836061078#_zGEmA9OfiBBAqPS2XQDCNoSldJl9YQ</v>
      </c>
      <c r="H178" t="s">
        <v>228</v>
      </c>
      <c r="I178" t="s">
        <v>928</v>
      </c>
      <c r="J178" t="str">
        <f>HYPERLINK("https://yandex.ru/user/pc1adb2j423jza721xnde22yb0")</f>
        <v>https://yandex.ru/user/pc1adb2j423jza721xnde22yb0</v>
      </c>
      <c r="L178" t="s">
        <v>121</v>
      </c>
      <c r="N178" t="s">
        <v>236</v>
      </c>
      <c r="O178" t="s">
        <v>175</v>
      </c>
      <c r="P178" t="str">
        <f>HYPERLINK("https://yandex.ru/maps/org/140836061078")</f>
        <v>https://yandex.ru/maps/org/140836061078</v>
      </c>
      <c r="R178" t="s">
        <v>184</v>
      </c>
      <c r="S178" t="s">
        <v>125</v>
      </c>
      <c r="T178" t="s">
        <v>929</v>
      </c>
      <c r="U178" t="s">
        <v>930</v>
      </c>
      <c r="W178">
        <v>0</v>
      </c>
      <c r="X178">
        <v>0</v>
      </c>
      <c r="AH178">
        <v>1</v>
      </c>
      <c r="AM178" t="s">
        <v>129</v>
      </c>
      <c r="AN178" t="s">
        <v>130</v>
      </c>
      <c r="AP178" t="s">
        <v>41</v>
      </c>
      <c r="AU178" t="s">
        <v>46</v>
      </c>
      <c r="AW178" t="s">
        <v>48</v>
      </c>
      <c r="AX178" t="s">
        <v>49</v>
      </c>
      <c r="AY178" t="s">
        <v>50</v>
      </c>
      <c r="BA178" t="s">
        <v>52</v>
      </c>
      <c r="BF178" t="s">
        <v>57</v>
      </c>
      <c r="CK178" t="s">
        <v>88</v>
      </c>
      <c r="CL178" t="s">
        <v>89</v>
      </c>
    </row>
    <row r="179" spans="1:90" x14ac:dyDescent="0.2">
      <c r="A179" t="s">
        <v>748</v>
      </c>
      <c r="B179" t="s">
        <v>392</v>
      </c>
      <c r="C179" t="s">
        <v>931</v>
      </c>
      <c r="D179" t="s">
        <v>932</v>
      </c>
      <c r="E179" t="s">
        <v>933</v>
      </c>
      <c r="F179" t="s">
        <v>180</v>
      </c>
      <c r="G179" t="str">
        <f>HYPERLINK("https://www.cableman.ru/content/abonentskaya-baza-platnogo-tv-v-rossii-uvelichilas")</f>
        <v>https://www.cableman.ru/content/abonentskaya-baza-platnogo-tv-v-rossii-uvelichilas</v>
      </c>
      <c r="H179" t="s">
        <v>119</v>
      </c>
      <c r="N179" t="s">
        <v>934</v>
      </c>
      <c r="R179" t="s">
        <v>785</v>
      </c>
      <c r="S179" t="s">
        <v>125</v>
      </c>
      <c r="AJ179" t="s">
        <v>935</v>
      </c>
      <c r="AK179" t="s">
        <v>876</v>
      </c>
      <c r="AL179" t="str">
        <f>HYPERLINK("https://www.cableman.ru/sites/default/files/2021/telekom_10.jpg")</f>
        <v>https://www.cableman.ru/sites/default/files/2021/telekom_10.jpg</v>
      </c>
      <c r="AM179" t="s">
        <v>129</v>
      </c>
      <c r="AN179" t="s">
        <v>130</v>
      </c>
      <c r="AV179" t="s">
        <v>47</v>
      </c>
    </row>
    <row r="180" spans="1:90" x14ac:dyDescent="0.2">
      <c r="A180" t="s">
        <v>748</v>
      </c>
      <c r="B180" t="s">
        <v>936</v>
      </c>
      <c r="C180" t="s">
        <v>937</v>
      </c>
      <c r="D180" t="s">
        <v>938</v>
      </c>
      <c r="E180" t="s">
        <v>939</v>
      </c>
      <c r="F180" t="s">
        <v>118</v>
      </c>
      <c r="G180" t="str">
        <f>HYPERLINK("https://vk.com/wall-98267535_182370?reply=182382")</f>
        <v>https://vk.com/wall-98267535_182370?reply=182382</v>
      </c>
      <c r="H180" t="s">
        <v>181</v>
      </c>
      <c r="I180" t="s">
        <v>940</v>
      </c>
      <c r="J180" t="str">
        <f>HYPERLINK("http://vk.com/id538147675")</f>
        <v>http://vk.com/id538147675</v>
      </c>
      <c r="K180">
        <v>4</v>
      </c>
      <c r="L180" t="s">
        <v>121</v>
      </c>
      <c r="M180">
        <v>48</v>
      </c>
      <c r="N180" t="s">
        <v>122</v>
      </c>
      <c r="O180" t="s">
        <v>941</v>
      </c>
      <c r="P180" t="str">
        <f>HYPERLINK("http://vk.com/club98267535")</f>
        <v>http://vk.com/club98267535</v>
      </c>
      <c r="Q180">
        <v>23908</v>
      </c>
      <c r="R180" t="s">
        <v>124</v>
      </c>
      <c r="S180" t="s">
        <v>125</v>
      </c>
      <c r="T180" t="s">
        <v>612</v>
      </c>
      <c r="U180" t="s">
        <v>942</v>
      </c>
      <c r="AM180" t="s">
        <v>129</v>
      </c>
      <c r="AN180" t="s">
        <v>130</v>
      </c>
      <c r="AP180" t="s">
        <v>41</v>
      </c>
      <c r="AZ180" t="s">
        <v>51</v>
      </c>
      <c r="BA180" t="s">
        <v>52</v>
      </c>
    </row>
    <row r="181" spans="1:90" x14ac:dyDescent="0.2">
      <c r="A181" t="s">
        <v>748</v>
      </c>
      <c r="B181" t="s">
        <v>943</v>
      </c>
      <c r="C181" t="s">
        <v>944</v>
      </c>
      <c r="D181" t="s">
        <v>945</v>
      </c>
      <c r="E181" t="s">
        <v>946</v>
      </c>
      <c r="F181" t="s">
        <v>180</v>
      </c>
      <c r="G181" t="str">
        <f>HYPERLINK("https://www.ozon.ru/context/detail/id/168022785/#63225116")</f>
        <v>https://www.ozon.ru/context/detail/id/168022785/#63225116</v>
      </c>
      <c r="H181" t="s">
        <v>181</v>
      </c>
      <c r="I181" t="s">
        <v>947</v>
      </c>
      <c r="J181" t="str">
        <f>HYPERLINK("https://www.ozon.ru/context/client_opinion/ClientGuid/d1955354-49cc-4f7a-8529-f8617fa97a3d/")</f>
        <v>https://www.ozon.ru/context/client_opinion/ClientGuid/d1955354-49cc-4f7a-8529-f8617fa97a3d/</v>
      </c>
      <c r="L181" t="s">
        <v>121</v>
      </c>
      <c r="N181" t="s">
        <v>183</v>
      </c>
      <c r="O181" t="s">
        <v>945</v>
      </c>
      <c r="P181" t="str">
        <f>HYPERLINK("https://www.ozon.ru/context/detail/id/168022785/")</f>
        <v>https://www.ozon.ru/context/detail/id/168022785/</v>
      </c>
      <c r="R181" t="s">
        <v>184</v>
      </c>
      <c r="S181" t="s">
        <v>125</v>
      </c>
      <c r="W181">
        <v>0</v>
      </c>
      <c r="X181">
        <v>0</v>
      </c>
      <c r="AH181">
        <v>5</v>
      </c>
      <c r="AM181" t="s">
        <v>129</v>
      </c>
      <c r="AN181" t="s">
        <v>130</v>
      </c>
      <c r="AP181" t="s">
        <v>41</v>
      </c>
      <c r="AY181" t="s">
        <v>50</v>
      </c>
      <c r="AZ181" t="s">
        <v>51</v>
      </c>
      <c r="BA181" t="s">
        <v>52</v>
      </c>
      <c r="BO181" t="s">
        <v>66</v>
      </c>
    </row>
    <row r="182" spans="1:90" x14ac:dyDescent="0.2">
      <c r="A182" t="s">
        <v>748</v>
      </c>
      <c r="B182" t="s">
        <v>948</v>
      </c>
      <c r="C182" t="s">
        <v>949</v>
      </c>
      <c r="D182" t="s">
        <v>782</v>
      </c>
      <c r="E182" t="s">
        <v>950</v>
      </c>
      <c r="F182" t="s">
        <v>180</v>
      </c>
      <c r="G182" t="str">
        <f>HYPERLINK("https://www.ferra.ru/news/techlife/trikolor-rostelekom-i-drugie-opublikovan-reiting-provaiderov-platnogo-televideniya-30-07-2021.htm")</f>
        <v>https://www.ferra.ru/news/techlife/trikolor-rostelekom-i-drugie-opublikovan-reiting-provaiderov-platnogo-televideniya-30-07-2021.htm</v>
      </c>
      <c r="H182" t="s">
        <v>119</v>
      </c>
      <c r="I182" t="s">
        <v>951</v>
      </c>
      <c r="J182" t="str">
        <f>HYPERLINK("http://ferra.ru")</f>
        <v>http://ferra.ru</v>
      </c>
      <c r="N182" t="s">
        <v>952</v>
      </c>
      <c r="R182" t="s">
        <v>785</v>
      </c>
      <c r="S182" t="s">
        <v>125</v>
      </c>
      <c r="AM182" t="s">
        <v>129</v>
      </c>
      <c r="AN182" t="s">
        <v>130</v>
      </c>
      <c r="AV182" t="s">
        <v>47</v>
      </c>
    </row>
    <row r="183" spans="1:90" x14ac:dyDescent="0.2">
      <c r="A183" t="s">
        <v>748</v>
      </c>
      <c r="B183" t="s">
        <v>953</v>
      </c>
      <c r="C183" t="s">
        <v>954</v>
      </c>
      <c r="D183" t="s">
        <v>955</v>
      </c>
      <c r="E183" t="s">
        <v>956</v>
      </c>
      <c r="F183" t="s">
        <v>180</v>
      </c>
      <c r="G183" t="str">
        <f>HYPERLINK("https://www.wildberries.ru/catalog/16559824/detail.aspx?targetUrl=ES#Comments")</f>
        <v>https://www.wildberries.ru/catalog/16559824/detail.aspx?targetUrl=ES#Comments</v>
      </c>
      <c r="H183" t="s">
        <v>181</v>
      </c>
      <c r="I183" t="s">
        <v>957</v>
      </c>
      <c r="J183" t="str">
        <f>HYPERLINK("https://www.wildberries.ru/profile/w7TDssOkw7PCu8K1wrfCt8K5wrHCtsKywrk=")</f>
        <v>https://www.wildberries.ru/profile/w7TDssOkw7PCu8K1wrfCt8K5wrHCtsKywrk=</v>
      </c>
      <c r="L183" t="s">
        <v>121</v>
      </c>
      <c r="N183" t="s">
        <v>534</v>
      </c>
      <c r="O183" t="s">
        <v>955</v>
      </c>
      <c r="P183" t="str">
        <f>HYPERLINK("https://www.wildberries.ru/catalog/12339622/detail.aspx")</f>
        <v>https://www.wildberries.ru/catalog/12339622/detail.aspx</v>
      </c>
      <c r="R183" t="s">
        <v>184</v>
      </c>
      <c r="S183" t="s">
        <v>125</v>
      </c>
      <c r="W183">
        <v>0</v>
      </c>
      <c r="X183">
        <v>0</v>
      </c>
      <c r="AH183">
        <v>5</v>
      </c>
      <c r="AM183" t="s">
        <v>129</v>
      </c>
      <c r="AN183" t="s">
        <v>130</v>
      </c>
      <c r="AP183" t="s">
        <v>41</v>
      </c>
      <c r="AT183" t="s">
        <v>45</v>
      </c>
      <c r="AZ183" t="s">
        <v>51</v>
      </c>
      <c r="BA183" t="s">
        <v>52</v>
      </c>
    </row>
    <row r="184" spans="1:90" x14ac:dyDescent="0.2">
      <c r="A184" t="s">
        <v>748</v>
      </c>
      <c r="B184" t="s">
        <v>958</v>
      </c>
      <c r="C184" t="s">
        <v>959</v>
      </c>
      <c r="D184" t="s">
        <v>960</v>
      </c>
      <c r="E184" t="s">
        <v>961</v>
      </c>
      <c r="F184" t="s">
        <v>118</v>
      </c>
      <c r="G184" t="str">
        <f>HYPERLINK("https://vk.com/wall-120157520_5185?reply=5202")</f>
        <v>https://vk.com/wall-120157520_5185?reply=5202</v>
      </c>
      <c r="H184" t="s">
        <v>119</v>
      </c>
      <c r="I184" t="s">
        <v>962</v>
      </c>
      <c r="J184" t="str">
        <f>HYPERLINK("http://vk.com/id654140935")</f>
        <v>http://vk.com/id654140935</v>
      </c>
      <c r="L184" t="s">
        <v>151</v>
      </c>
      <c r="M184">
        <v>32</v>
      </c>
      <c r="N184" t="s">
        <v>122</v>
      </c>
      <c r="O184" t="s">
        <v>963</v>
      </c>
      <c r="P184" t="str">
        <f>HYPERLINK("http://vk.com/club120157520")</f>
        <v>http://vk.com/club120157520</v>
      </c>
      <c r="Q184">
        <v>2616</v>
      </c>
      <c r="R184" t="s">
        <v>124</v>
      </c>
      <c r="S184" t="s">
        <v>125</v>
      </c>
      <c r="T184" t="s">
        <v>828</v>
      </c>
      <c r="U184" t="s">
        <v>964</v>
      </c>
      <c r="AM184" t="s">
        <v>129</v>
      </c>
      <c r="AN184" t="s">
        <v>130</v>
      </c>
      <c r="AP184" t="s">
        <v>41</v>
      </c>
      <c r="AT184" t="s">
        <v>45</v>
      </c>
      <c r="AW184" t="s">
        <v>48</v>
      </c>
      <c r="AZ184" t="s">
        <v>51</v>
      </c>
      <c r="BA184" t="s">
        <v>52</v>
      </c>
      <c r="BM184" t="s">
        <v>64</v>
      </c>
    </row>
    <row r="185" spans="1:90" x14ac:dyDescent="0.2">
      <c r="A185" t="s">
        <v>748</v>
      </c>
      <c r="B185" t="s">
        <v>965</v>
      </c>
      <c r="C185" t="s">
        <v>966</v>
      </c>
      <c r="D185" t="s">
        <v>967</v>
      </c>
      <c r="E185" t="s">
        <v>968</v>
      </c>
      <c r="F185" t="s">
        <v>180</v>
      </c>
      <c r="G185" t="str">
        <f>HYPERLINK("https://www.wildberries.ru/catalog/26952626/detail.aspx?targetUrl=ES#Comments")</f>
        <v>https://www.wildberries.ru/catalog/26952626/detail.aspx?targetUrl=ES#Comments</v>
      </c>
      <c r="H185" t="s">
        <v>181</v>
      </c>
      <c r="I185" t="s">
        <v>924</v>
      </c>
      <c r="J185" t="str">
        <f>HYPERLINK("https://www.wildberries.ru/profile/w7TDssOkw7PCu8KzwrnCsMK5wrXCt8KwwrE=")</f>
        <v>https://www.wildberries.ru/profile/w7TDssOkw7PCu8KzwrnCsMK5wrXCt8KwwrE=</v>
      </c>
      <c r="L185" t="s">
        <v>121</v>
      </c>
      <c r="N185" t="s">
        <v>534</v>
      </c>
      <c r="O185" t="s">
        <v>967</v>
      </c>
      <c r="P185" t="str">
        <f>HYPERLINK("https://www.wildberries.ru/catalog/19754871/detail.aspx")</f>
        <v>https://www.wildberries.ru/catalog/19754871/detail.aspx</v>
      </c>
      <c r="R185" t="s">
        <v>184</v>
      </c>
      <c r="S185" t="s">
        <v>125</v>
      </c>
      <c r="W185">
        <v>0</v>
      </c>
      <c r="X185">
        <v>0</v>
      </c>
      <c r="AH185">
        <v>5</v>
      </c>
      <c r="AJ185" t="s">
        <v>129</v>
      </c>
      <c r="AK185" t="s">
        <v>129</v>
      </c>
      <c r="AL185" t="str">
        <f>HYPERLINK("http://feedbackphotos.wbstatic.net/feedbacks/1975/19754871/bb71a90b-94e7-422a-839e-30d31f587ec8_fs.jpg")</f>
        <v>http://feedbackphotos.wbstatic.net/feedbacks/1975/19754871/bb71a90b-94e7-422a-839e-30d31f587ec8_fs.jpg</v>
      </c>
      <c r="AM185" t="s">
        <v>129</v>
      </c>
      <c r="AN185" t="s">
        <v>130</v>
      </c>
      <c r="AP185" t="s">
        <v>41</v>
      </c>
      <c r="AT185" t="s">
        <v>45</v>
      </c>
      <c r="AZ185" t="s">
        <v>51</v>
      </c>
      <c r="BA185" t="s">
        <v>52</v>
      </c>
    </row>
    <row r="186" spans="1:90" x14ac:dyDescent="0.2">
      <c r="A186" t="s">
        <v>748</v>
      </c>
      <c r="B186" t="s">
        <v>969</v>
      </c>
      <c r="C186" t="s">
        <v>970</v>
      </c>
      <c r="D186" t="s">
        <v>424</v>
      </c>
      <c r="E186" t="s">
        <v>971</v>
      </c>
      <c r="F186" t="s">
        <v>118</v>
      </c>
      <c r="G186" t="str">
        <f>HYPERLINK("https://vk.com/topic-124657642_40664927?post=4901")</f>
        <v>https://vk.com/topic-124657642_40664927?post=4901</v>
      </c>
      <c r="H186" t="s">
        <v>119</v>
      </c>
      <c r="I186" t="s">
        <v>427</v>
      </c>
      <c r="J186" t="str">
        <f>HYPERLINK("http://vk.com/club124657642")</f>
        <v>http://vk.com/club124657642</v>
      </c>
      <c r="K186">
        <v>15373</v>
      </c>
      <c r="L186" t="s">
        <v>340</v>
      </c>
      <c r="N186" t="s">
        <v>122</v>
      </c>
      <c r="O186" t="s">
        <v>427</v>
      </c>
      <c r="P186" t="str">
        <f>HYPERLINK("http://vk.com/club124657642")</f>
        <v>http://vk.com/club124657642</v>
      </c>
      <c r="Q186">
        <v>15373</v>
      </c>
      <c r="R186" t="s">
        <v>124</v>
      </c>
      <c r="S186" t="s">
        <v>125</v>
      </c>
      <c r="T186" t="s">
        <v>137</v>
      </c>
      <c r="U186" t="s">
        <v>137</v>
      </c>
      <c r="AM186" t="s">
        <v>129</v>
      </c>
      <c r="AN186" t="s">
        <v>130</v>
      </c>
      <c r="AP186" t="s">
        <v>41</v>
      </c>
      <c r="AT186" t="s">
        <v>45</v>
      </c>
      <c r="AZ186" t="s">
        <v>51</v>
      </c>
      <c r="BA186" t="s">
        <v>52</v>
      </c>
    </row>
    <row r="187" spans="1:90" x14ac:dyDescent="0.2">
      <c r="A187" t="s">
        <v>748</v>
      </c>
      <c r="B187" t="s">
        <v>972</v>
      </c>
      <c r="C187" t="s">
        <v>973</v>
      </c>
      <c r="D187" t="s">
        <v>974</v>
      </c>
      <c r="E187" t="s">
        <v>975</v>
      </c>
      <c r="F187" t="s">
        <v>118</v>
      </c>
      <c r="G187" t="str">
        <f>HYPERLINK("https://vk.com/topic-20785629_34900292?post=85549")</f>
        <v>https://vk.com/topic-20785629_34900292?post=85549</v>
      </c>
      <c r="H187" t="s">
        <v>119</v>
      </c>
      <c r="I187" t="s">
        <v>976</v>
      </c>
      <c r="J187" t="str">
        <f>HYPERLINK("http://vk.com/id29879854")</f>
        <v>http://vk.com/id29879854</v>
      </c>
      <c r="K187">
        <v>246</v>
      </c>
      <c r="L187" t="s">
        <v>121</v>
      </c>
      <c r="N187" t="s">
        <v>122</v>
      </c>
      <c r="O187" t="s">
        <v>977</v>
      </c>
      <c r="P187" t="str">
        <f>HYPERLINK("http://vk.com/club20785629")</f>
        <v>http://vk.com/club20785629</v>
      </c>
      <c r="Q187">
        <v>299034</v>
      </c>
      <c r="R187" t="s">
        <v>124</v>
      </c>
      <c r="S187" t="s">
        <v>125</v>
      </c>
      <c r="AM187" t="s">
        <v>129</v>
      </c>
      <c r="AN187" t="s">
        <v>130</v>
      </c>
      <c r="AP187" t="s">
        <v>41</v>
      </c>
      <c r="AU187" t="s">
        <v>46</v>
      </c>
      <c r="AZ187" t="s">
        <v>51</v>
      </c>
      <c r="BA187" t="s">
        <v>52</v>
      </c>
    </row>
    <row r="188" spans="1:90" x14ac:dyDescent="0.2">
      <c r="A188" t="s">
        <v>748</v>
      </c>
      <c r="B188" t="s">
        <v>978</v>
      </c>
      <c r="C188" t="s">
        <v>979</v>
      </c>
      <c r="D188" t="s">
        <v>980</v>
      </c>
      <c r="E188" t="s">
        <v>981</v>
      </c>
      <c r="F188" t="s">
        <v>118</v>
      </c>
      <c r="G188" t="str">
        <f>HYPERLINK("https://www.youtube.com/watch?v=cSMz1Z1f4aI&amp;lc=UgybP85bYxcDQLzA6cZ4AaABAg")</f>
        <v>https://www.youtube.com/watch?v=cSMz1Z1f4aI&amp;lc=UgybP85bYxcDQLzA6cZ4AaABAg</v>
      </c>
      <c r="H188" t="s">
        <v>119</v>
      </c>
      <c r="I188" t="s">
        <v>982</v>
      </c>
      <c r="J188" t="str">
        <f>HYPERLINK("https://www.youtube.com/channel/UC9GiX9SM2EGnxALdJVwAPrQ")</f>
        <v>https://www.youtube.com/channel/UC9GiX9SM2EGnxALdJVwAPrQ</v>
      </c>
      <c r="K188">
        <v>416</v>
      </c>
      <c r="N188" t="s">
        <v>248</v>
      </c>
      <c r="O188" t="s">
        <v>983</v>
      </c>
      <c r="P188" t="str">
        <f>HYPERLINK("https://www.youtube.com/channel/UCFX1ZQBNPbx_dXkfCghTVnA")</f>
        <v>https://www.youtube.com/channel/UCFX1ZQBNPbx_dXkfCghTVnA</v>
      </c>
      <c r="Q188">
        <v>1410</v>
      </c>
      <c r="R188" t="s">
        <v>124</v>
      </c>
      <c r="W188">
        <v>0</v>
      </c>
      <c r="X188">
        <v>0</v>
      </c>
      <c r="AE188">
        <v>0</v>
      </c>
      <c r="AM188" t="s">
        <v>129</v>
      </c>
      <c r="AN188" t="s">
        <v>130</v>
      </c>
      <c r="AP188" t="s">
        <v>41</v>
      </c>
      <c r="AZ188" t="s">
        <v>51</v>
      </c>
      <c r="BA188" t="s">
        <v>52</v>
      </c>
    </row>
    <row r="189" spans="1:90" x14ac:dyDescent="0.2">
      <c r="A189" t="s">
        <v>748</v>
      </c>
      <c r="B189" t="s">
        <v>984</v>
      </c>
      <c r="C189" t="s">
        <v>985</v>
      </c>
      <c r="D189" t="s">
        <v>986</v>
      </c>
      <c r="E189" t="s">
        <v>987</v>
      </c>
      <c r="F189" t="s">
        <v>118</v>
      </c>
      <c r="G189" t="str">
        <f>HYPERLINK("https://vk.com/wall-27863223_291396?w=wall-27863223_291396_r292565")</f>
        <v>https://vk.com/wall-27863223_291396?w=wall-27863223_291396_r292565</v>
      </c>
      <c r="H189" t="s">
        <v>119</v>
      </c>
      <c r="I189" t="s">
        <v>988</v>
      </c>
      <c r="J189" t="str">
        <f>HYPERLINK("http://vk.com/id227266248")</f>
        <v>http://vk.com/id227266248</v>
      </c>
      <c r="K189">
        <v>7</v>
      </c>
      <c r="L189" t="s">
        <v>121</v>
      </c>
      <c r="M189">
        <v>39</v>
      </c>
      <c r="N189" t="s">
        <v>122</v>
      </c>
      <c r="O189" t="s">
        <v>175</v>
      </c>
      <c r="P189" t="str">
        <f>HYPERLINK("http://vk.com/club27863223")</f>
        <v>http://vk.com/club27863223</v>
      </c>
      <c r="Q189">
        <v>134698</v>
      </c>
      <c r="R189" t="s">
        <v>124</v>
      </c>
      <c r="S189" t="s">
        <v>125</v>
      </c>
      <c r="T189" t="s">
        <v>989</v>
      </c>
      <c r="U189" t="s">
        <v>990</v>
      </c>
      <c r="W189">
        <v>0</v>
      </c>
      <c r="X189">
        <v>0</v>
      </c>
      <c r="AM189" t="s">
        <v>129</v>
      </c>
      <c r="AN189" t="s">
        <v>130</v>
      </c>
      <c r="AP189" t="s">
        <v>41</v>
      </c>
      <c r="AU189" t="s">
        <v>46</v>
      </c>
      <c r="AZ189" t="s">
        <v>51</v>
      </c>
      <c r="BA189" t="s">
        <v>52</v>
      </c>
    </row>
    <row r="190" spans="1:90" x14ac:dyDescent="0.2">
      <c r="A190" t="s">
        <v>748</v>
      </c>
      <c r="B190" t="s">
        <v>991</v>
      </c>
      <c r="C190" t="s">
        <v>992</v>
      </c>
      <c r="D190" t="s">
        <v>993</v>
      </c>
      <c r="E190" t="s">
        <v>994</v>
      </c>
      <c r="F190" t="s">
        <v>118</v>
      </c>
      <c r="G190" t="str">
        <f>HYPERLINK("https://ok.ru/group/49419463688253/topic/153463534232381#MTYyNzY0NTYxODc1ODotNDg1NToxNjI3NjQ1NjE4NzU4OjE1MzQ2MzUzNDIzMjM4MTox")</f>
        <v>https://ok.ru/group/49419463688253/topic/153463534232381#MTYyNzY0NTYxODc1ODotNDg1NToxNjI3NjQ1NjE4NzU4OjE1MzQ2MzUzNDIzMjM4MTox</v>
      </c>
      <c r="H190" t="s">
        <v>119</v>
      </c>
      <c r="I190" t="s">
        <v>995</v>
      </c>
      <c r="J190" t="str">
        <f>HYPERLINK("https://ok.ru/profile/574794529775")</f>
        <v>https://ok.ru/profile/574794529775</v>
      </c>
      <c r="K190">
        <v>92</v>
      </c>
      <c r="L190" t="s">
        <v>151</v>
      </c>
      <c r="N190" t="s">
        <v>347</v>
      </c>
      <c r="O190" t="s">
        <v>996</v>
      </c>
      <c r="P190" t="str">
        <f>HYPERLINK("https://ok.ru/group/49419463688253")</f>
        <v>https://ok.ru/group/49419463688253</v>
      </c>
      <c r="Q190">
        <v>40739</v>
      </c>
      <c r="R190" t="s">
        <v>124</v>
      </c>
      <c r="S190" t="s">
        <v>125</v>
      </c>
      <c r="T190" t="s">
        <v>264</v>
      </c>
      <c r="U190" t="s">
        <v>265</v>
      </c>
      <c r="W190">
        <v>1</v>
      </c>
      <c r="X190">
        <v>1</v>
      </c>
      <c r="AM190" t="s">
        <v>129</v>
      </c>
      <c r="AN190" t="s">
        <v>130</v>
      </c>
      <c r="AP190" t="s">
        <v>41</v>
      </c>
      <c r="AZ190" t="s">
        <v>51</v>
      </c>
      <c r="BA190" t="s">
        <v>52</v>
      </c>
      <c r="BM190" t="s">
        <v>64</v>
      </c>
    </row>
    <row r="191" spans="1:90" x14ac:dyDescent="0.2">
      <c r="A191" t="s">
        <v>748</v>
      </c>
      <c r="B191" t="s">
        <v>991</v>
      </c>
      <c r="C191" t="s">
        <v>997</v>
      </c>
      <c r="D191" t="s">
        <v>782</v>
      </c>
      <c r="E191" t="s">
        <v>998</v>
      </c>
      <c r="F191" t="s">
        <v>180</v>
      </c>
      <c r="G191" t="str">
        <f>HYPERLINK("https://pcnews.ru/news/trikolor_rostelekom_i_drugie_opublikovan_rejting_provajderov_platnogo_televidenia-1100929.html")</f>
        <v>https://pcnews.ru/news/trikolor_rostelekom_i_drugie_opublikovan_rejting_provajderov_platnogo_televidenia-1100929.html</v>
      </c>
      <c r="H191" t="s">
        <v>119</v>
      </c>
      <c r="N191" t="s">
        <v>999</v>
      </c>
      <c r="R191" t="s">
        <v>785</v>
      </c>
      <c r="S191" t="s">
        <v>125</v>
      </c>
      <c r="AJ191" t="s">
        <v>786</v>
      </c>
      <c r="AK191" t="s">
        <v>129</v>
      </c>
      <c r="AL191" t="str">
        <f>HYPERLINK("https://www.ferra.ru/imgs/2021/07/30/11/4796626/a20f295fb304115f6ab8b62a385b7b053bc42963.jpg")</f>
        <v>https://www.ferra.ru/imgs/2021/07/30/11/4796626/a20f295fb304115f6ab8b62a385b7b053bc42963.jpg</v>
      </c>
      <c r="AM191" t="s">
        <v>129</v>
      </c>
      <c r="AN191" t="s">
        <v>130</v>
      </c>
      <c r="AV191" t="s">
        <v>47</v>
      </c>
    </row>
    <row r="192" spans="1:90" x14ac:dyDescent="0.2">
      <c r="A192" t="s">
        <v>748</v>
      </c>
      <c r="B192" t="s">
        <v>1000</v>
      </c>
      <c r="C192" t="s">
        <v>985</v>
      </c>
      <c r="D192" t="s">
        <v>986</v>
      </c>
      <c r="E192" t="s">
        <v>1001</v>
      </c>
      <c r="F192" t="s">
        <v>118</v>
      </c>
      <c r="G192" t="str">
        <f>HYPERLINK("https://vk.com/wall-27863223_291396?w=wall-27863223_291396_r292563")</f>
        <v>https://vk.com/wall-27863223_291396?w=wall-27863223_291396_r292563</v>
      </c>
      <c r="H192" t="s">
        <v>119</v>
      </c>
      <c r="I192" t="s">
        <v>988</v>
      </c>
      <c r="J192" t="str">
        <f>HYPERLINK("http://vk.com/id227266248")</f>
        <v>http://vk.com/id227266248</v>
      </c>
      <c r="K192">
        <v>7</v>
      </c>
      <c r="L192" t="s">
        <v>121</v>
      </c>
      <c r="M192">
        <v>39</v>
      </c>
      <c r="N192" t="s">
        <v>122</v>
      </c>
      <c r="O192" t="s">
        <v>175</v>
      </c>
      <c r="P192" t="str">
        <f>HYPERLINK("http://vk.com/club27863223")</f>
        <v>http://vk.com/club27863223</v>
      </c>
      <c r="Q192">
        <v>134698</v>
      </c>
      <c r="R192" t="s">
        <v>124</v>
      </c>
      <c r="S192" t="s">
        <v>125</v>
      </c>
      <c r="T192" t="s">
        <v>989</v>
      </c>
      <c r="U192" t="s">
        <v>990</v>
      </c>
      <c r="W192">
        <v>0</v>
      </c>
      <c r="X192">
        <v>0</v>
      </c>
      <c r="AM192" t="s">
        <v>129</v>
      </c>
      <c r="AN192" t="s">
        <v>130</v>
      </c>
      <c r="AP192" t="s">
        <v>41</v>
      </c>
      <c r="AU192" t="s">
        <v>46</v>
      </c>
      <c r="AZ192" t="s">
        <v>51</v>
      </c>
      <c r="BA192" t="s">
        <v>52</v>
      </c>
    </row>
    <row r="193" spans="1:100" x14ac:dyDescent="0.2">
      <c r="A193" t="s">
        <v>748</v>
      </c>
      <c r="B193" t="s">
        <v>1002</v>
      </c>
      <c r="C193" t="s">
        <v>1003</v>
      </c>
      <c r="D193" t="s">
        <v>424</v>
      </c>
      <c r="E193" t="s">
        <v>1004</v>
      </c>
      <c r="F193" t="s">
        <v>118</v>
      </c>
      <c r="G193" t="str">
        <f>HYPERLINK("https://vk.com/topic-124657642_40664927?post=4900")</f>
        <v>https://vk.com/topic-124657642_40664927?post=4900</v>
      </c>
      <c r="H193" t="s">
        <v>119</v>
      </c>
      <c r="I193" t="s">
        <v>1005</v>
      </c>
      <c r="J193" t="str">
        <f>HYPERLINK("http://vk.com/id353449363")</f>
        <v>http://vk.com/id353449363</v>
      </c>
      <c r="K193">
        <v>24</v>
      </c>
      <c r="L193" t="s">
        <v>121</v>
      </c>
      <c r="M193">
        <v>31</v>
      </c>
      <c r="N193" t="s">
        <v>122</v>
      </c>
      <c r="O193" t="s">
        <v>427</v>
      </c>
      <c r="P193" t="str">
        <f>HYPERLINK("http://vk.com/club124657642")</f>
        <v>http://vk.com/club124657642</v>
      </c>
      <c r="Q193">
        <v>15373</v>
      </c>
      <c r="R193" t="s">
        <v>124</v>
      </c>
      <c r="S193" t="s">
        <v>125</v>
      </c>
      <c r="T193" t="s">
        <v>137</v>
      </c>
      <c r="U193" t="s">
        <v>137</v>
      </c>
      <c r="AM193" t="s">
        <v>129</v>
      </c>
      <c r="AN193" t="s">
        <v>130</v>
      </c>
      <c r="AP193" t="s">
        <v>41</v>
      </c>
      <c r="AZ193" t="s">
        <v>51</v>
      </c>
      <c r="BA193" t="s">
        <v>52</v>
      </c>
      <c r="BQ193" t="s">
        <v>68</v>
      </c>
    </row>
    <row r="194" spans="1:100" x14ac:dyDescent="0.2">
      <c r="A194" t="s">
        <v>748</v>
      </c>
      <c r="B194" t="s">
        <v>1006</v>
      </c>
      <c r="C194" t="s">
        <v>1003</v>
      </c>
      <c r="D194" t="s">
        <v>986</v>
      </c>
      <c r="E194" t="s">
        <v>1007</v>
      </c>
      <c r="F194" t="s">
        <v>118</v>
      </c>
      <c r="G194" t="str">
        <f>HYPERLINK("https://vk.com/wall-27863223_291396?w=wall-27863223_291396_r292561")</f>
        <v>https://vk.com/wall-27863223_291396?w=wall-27863223_291396_r292561</v>
      </c>
      <c r="H194" t="s">
        <v>181</v>
      </c>
      <c r="I194" t="s">
        <v>988</v>
      </c>
      <c r="J194" t="str">
        <f>HYPERLINK("http://vk.com/id227266248")</f>
        <v>http://vk.com/id227266248</v>
      </c>
      <c r="K194">
        <v>7</v>
      </c>
      <c r="L194" t="s">
        <v>121</v>
      </c>
      <c r="M194">
        <v>39</v>
      </c>
      <c r="N194" t="s">
        <v>122</v>
      </c>
      <c r="O194" t="s">
        <v>175</v>
      </c>
      <c r="P194" t="str">
        <f>HYPERLINK("http://vk.com/club27863223")</f>
        <v>http://vk.com/club27863223</v>
      </c>
      <c r="Q194">
        <v>134698</v>
      </c>
      <c r="R194" t="s">
        <v>124</v>
      </c>
      <c r="S194" t="s">
        <v>125</v>
      </c>
      <c r="T194" t="s">
        <v>989</v>
      </c>
      <c r="U194" t="s">
        <v>990</v>
      </c>
      <c r="W194">
        <v>0</v>
      </c>
      <c r="X194">
        <v>0</v>
      </c>
      <c r="AM194" t="s">
        <v>129</v>
      </c>
      <c r="AN194" t="s">
        <v>130</v>
      </c>
      <c r="AP194" t="s">
        <v>41</v>
      </c>
      <c r="AU194" t="s">
        <v>46</v>
      </c>
      <c r="AZ194" t="s">
        <v>51</v>
      </c>
      <c r="BA194" t="s">
        <v>52</v>
      </c>
    </row>
    <row r="195" spans="1:100" x14ac:dyDescent="0.2">
      <c r="A195" t="s">
        <v>748</v>
      </c>
      <c r="B195" t="s">
        <v>1008</v>
      </c>
      <c r="C195" t="s">
        <v>1009</v>
      </c>
      <c r="D195" t="s">
        <v>1010</v>
      </c>
      <c r="E195" t="s">
        <v>1011</v>
      </c>
      <c r="F195" t="s">
        <v>180</v>
      </c>
      <c r="G195" t="str">
        <f>HYPERLINK("https://rspectr.com/novosti/62627/podschitana-chislennost-abonentov-platnogo-tv-v-rossii")</f>
        <v>https://rspectr.com/novosti/62627/podschitana-chislennost-abonentov-platnogo-tv-v-rossii</v>
      </c>
      <c r="H195" t="s">
        <v>119</v>
      </c>
      <c r="N195" t="s">
        <v>1012</v>
      </c>
      <c r="R195" t="s">
        <v>785</v>
      </c>
      <c r="S195" t="s">
        <v>125</v>
      </c>
      <c r="AJ195" t="s">
        <v>1013</v>
      </c>
      <c r="AK195" t="s">
        <v>1014</v>
      </c>
      <c r="AL195" t="str">
        <f>HYPERLINK("https://rspectr.com/files/news/tv-e54905dc9cb64d796cb2d3e31841e859-200314c623bb94c4ae0c3cc357b9ce1b.jpg")</f>
        <v>https://rspectr.com/files/news/tv-e54905dc9cb64d796cb2d3e31841e859-200314c623bb94c4ae0c3cc357b9ce1b.jpg</v>
      </c>
      <c r="AM195" t="s">
        <v>129</v>
      </c>
      <c r="AN195" t="s">
        <v>130</v>
      </c>
      <c r="AV195" t="s">
        <v>47</v>
      </c>
    </row>
    <row r="196" spans="1:100" x14ac:dyDescent="0.2">
      <c r="A196" t="s">
        <v>748</v>
      </c>
      <c r="B196" t="s">
        <v>1015</v>
      </c>
      <c r="C196" t="s">
        <v>1003</v>
      </c>
      <c r="D196" t="s">
        <v>986</v>
      </c>
      <c r="E196" t="s">
        <v>1016</v>
      </c>
      <c r="F196" t="s">
        <v>118</v>
      </c>
      <c r="G196" t="str">
        <f>HYPERLINK("https://vk.com/wall-27863223_291396?w=wall-27863223_291396_r292559")</f>
        <v>https://vk.com/wall-27863223_291396?w=wall-27863223_291396_r292559</v>
      </c>
      <c r="H196" t="s">
        <v>119</v>
      </c>
      <c r="I196" t="s">
        <v>988</v>
      </c>
      <c r="J196" t="str">
        <f>HYPERLINK("http://vk.com/id227266248")</f>
        <v>http://vk.com/id227266248</v>
      </c>
      <c r="K196">
        <v>7</v>
      </c>
      <c r="L196" t="s">
        <v>121</v>
      </c>
      <c r="M196">
        <v>39</v>
      </c>
      <c r="N196" t="s">
        <v>122</v>
      </c>
      <c r="O196" t="s">
        <v>175</v>
      </c>
      <c r="P196" t="str">
        <f>HYPERLINK("http://vk.com/club27863223")</f>
        <v>http://vk.com/club27863223</v>
      </c>
      <c r="Q196">
        <v>134698</v>
      </c>
      <c r="R196" t="s">
        <v>124</v>
      </c>
      <c r="S196" t="s">
        <v>125</v>
      </c>
      <c r="T196" t="s">
        <v>989</v>
      </c>
      <c r="U196" t="s">
        <v>990</v>
      </c>
      <c r="W196">
        <v>0</v>
      </c>
      <c r="X196">
        <v>0</v>
      </c>
      <c r="AM196" t="s">
        <v>129</v>
      </c>
      <c r="AN196" t="s">
        <v>130</v>
      </c>
      <c r="AP196" t="s">
        <v>41</v>
      </c>
      <c r="AU196" t="s">
        <v>46</v>
      </c>
      <c r="AZ196" t="s">
        <v>51</v>
      </c>
      <c r="BA196" t="s">
        <v>52</v>
      </c>
    </row>
    <row r="197" spans="1:100" x14ac:dyDescent="0.2">
      <c r="A197" t="s">
        <v>748</v>
      </c>
      <c r="B197" t="s">
        <v>1017</v>
      </c>
      <c r="C197" t="s">
        <v>1018</v>
      </c>
      <c r="D197" t="s">
        <v>215</v>
      </c>
      <c r="E197" t="s">
        <v>1019</v>
      </c>
      <c r="F197" t="s">
        <v>118</v>
      </c>
      <c r="G197" t="str">
        <f>HYPERLINK("https://vk.com/wall-27863223_292439?reply=292558")</f>
        <v>https://vk.com/wall-27863223_292439?reply=292558</v>
      </c>
      <c r="H197" t="s">
        <v>119</v>
      </c>
      <c r="I197" t="s">
        <v>745</v>
      </c>
      <c r="J197" t="str">
        <f>HYPERLINK("http://vk.com/id254497597")</f>
        <v>http://vk.com/id254497597</v>
      </c>
      <c r="L197" t="s">
        <v>151</v>
      </c>
      <c r="N197" t="s">
        <v>122</v>
      </c>
      <c r="O197" t="s">
        <v>175</v>
      </c>
      <c r="P197" t="str">
        <f>HYPERLINK("http://vk.com/club27863223")</f>
        <v>http://vk.com/club27863223</v>
      </c>
      <c r="Q197">
        <v>134698</v>
      </c>
      <c r="R197" t="s">
        <v>124</v>
      </c>
      <c r="W197">
        <v>0</v>
      </c>
      <c r="X197">
        <v>0</v>
      </c>
      <c r="AM197" t="s">
        <v>129</v>
      </c>
      <c r="AN197" t="s">
        <v>130</v>
      </c>
      <c r="AO197" t="s">
        <v>40</v>
      </c>
      <c r="AP197" t="s">
        <v>41</v>
      </c>
      <c r="AZ197" t="s">
        <v>51</v>
      </c>
      <c r="BA197" t="s">
        <v>52</v>
      </c>
    </row>
    <row r="198" spans="1:100" x14ac:dyDescent="0.2">
      <c r="A198" t="s">
        <v>748</v>
      </c>
      <c r="B198" t="s">
        <v>1020</v>
      </c>
      <c r="C198" t="s">
        <v>1021</v>
      </c>
      <c r="D198" t="s">
        <v>424</v>
      </c>
      <c r="E198" t="s">
        <v>1022</v>
      </c>
      <c r="F198" t="s">
        <v>118</v>
      </c>
      <c r="G198" t="str">
        <f>HYPERLINK("https://vk.com/topic-124657642_40664927?post=4899")</f>
        <v>https://vk.com/topic-124657642_40664927?post=4899</v>
      </c>
      <c r="H198" t="s">
        <v>119</v>
      </c>
      <c r="I198" t="s">
        <v>426</v>
      </c>
      <c r="J198" t="str">
        <f>HYPERLINK("http://vk.com/id146095413")</f>
        <v>http://vk.com/id146095413</v>
      </c>
      <c r="K198">
        <v>76</v>
      </c>
      <c r="L198" t="s">
        <v>151</v>
      </c>
      <c r="M198">
        <v>49</v>
      </c>
      <c r="N198" t="s">
        <v>122</v>
      </c>
      <c r="O198" t="s">
        <v>427</v>
      </c>
      <c r="P198" t="str">
        <f>HYPERLINK("http://vk.com/club124657642")</f>
        <v>http://vk.com/club124657642</v>
      </c>
      <c r="Q198">
        <v>15373</v>
      </c>
      <c r="R198" t="s">
        <v>124</v>
      </c>
      <c r="S198" t="s">
        <v>125</v>
      </c>
      <c r="T198" t="s">
        <v>428</v>
      </c>
      <c r="U198" t="s">
        <v>429</v>
      </c>
      <c r="AM198" t="s">
        <v>129</v>
      </c>
      <c r="AN198" t="s">
        <v>130</v>
      </c>
      <c r="AP198" t="s">
        <v>41</v>
      </c>
      <c r="AZ198" t="s">
        <v>51</v>
      </c>
      <c r="BA198" t="s">
        <v>52</v>
      </c>
      <c r="BQ198" t="s">
        <v>68</v>
      </c>
    </row>
    <row r="199" spans="1:100" x14ac:dyDescent="0.2">
      <c r="A199" t="s">
        <v>748</v>
      </c>
      <c r="B199" t="s">
        <v>1023</v>
      </c>
      <c r="C199" t="s">
        <v>1024</v>
      </c>
      <c r="D199" t="s">
        <v>175</v>
      </c>
      <c r="E199" t="s">
        <v>1025</v>
      </c>
      <c r="F199" t="s">
        <v>180</v>
      </c>
      <c r="G199" t="str">
        <f>HYPERLINK("https://yandex.ru/maps/org/129757974868#krzubx9fvDvh5DEpnd3P25PekuiBFgc")</f>
        <v>https://yandex.ru/maps/org/129757974868#krzubx9fvDvh5DEpnd3P25PekuiBFgc</v>
      </c>
      <c r="H199" t="s">
        <v>228</v>
      </c>
      <c r="I199" t="s">
        <v>1026</v>
      </c>
      <c r="J199" t="str">
        <f>HYPERLINK("https://yandex.ru/user/3zmetkfm3j55hgkg36hj1q5w1m")</f>
        <v>https://yandex.ru/user/3zmetkfm3j55hgkg36hj1q5w1m</v>
      </c>
      <c r="L199" t="s">
        <v>121</v>
      </c>
      <c r="N199" t="s">
        <v>236</v>
      </c>
      <c r="O199" t="s">
        <v>175</v>
      </c>
      <c r="P199" t="str">
        <f>HYPERLINK("https://yandex.ru/maps/org/129757974868")</f>
        <v>https://yandex.ru/maps/org/129757974868</v>
      </c>
      <c r="R199" t="s">
        <v>184</v>
      </c>
      <c r="S199" t="s">
        <v>125</v>
      </c>
      <c r="T199" t="s">
        <v>1027</v>
      </c>
      <c r="U199" t="s">
        <v>1028</v>
      </c>
      <c r="W199">
        <v>0</v>
      </c>
      <c r="X199">
        <v>0</v>
      </c>
      <c r="AH199">
        <v>1</v>
      </c>
      <c r="AM199" t="s">
        <v>129</v>
      </c>
      <c r="AN199" t="s">
        <v>130</v>
      </c>
      <c r="AP199" t="s">
        <v>41</v>
      </c>
      <c r="AX199" t="s">
        <v>49</v>
      </c>
      <c r="BD199" t="s">
        <v>55</v>
      </c>
      <c r="BF199" t="s">
        <v>57</v>
      </c>
      <c r="CK199" t="s">
        <v>88</v>
      </c>
    </row>
    <row r="200" spans="1:100" x14ac:dyDescent="0.2">
      <c r="A200" t="s">
        <v>748</v>
      </c>
      <c r="B200" t="s">
        <v>1029</v>
      </c>
      <c r="C200" t="s">
        <v>1030</v>
      </c>
      <c r="D200" t="s">
        <v>1031</v>
      </c>
      <c r="E200" t="s">
        <v>1032</v>
      </c>
      <c r="F200" t="s">
        <v>118</v>
      </c>
      <c r="G200" t="str">
        <f>HYPERLINK("https://vk.com/wall-27863223_292230?reply=292557")</f>
        <v>https://vk.com/wall-27863223_292230?reply=292557</v>
      </c>
      <c r="H200" t="s">
        <v>119</v>
      </c>
      <c r="I200" t="s">
        <v>1033</v>
      </c>
      <c r="J200" t="str">
        <f>HYPERLINK("http://vk.com/id197800556")</f>
        <v>http://vk.com/id197800556</v>
      </c>
      <c r="K200">
        <v>1850</v>
      </c>
      <c r="L200" t="s">
        <v>151</v>
      </c>
      <c r="N200" t="s">
        <v>122</v>
      </c>
      <c r="O200" t="s">
        <v>175</v>
      </c>
      <c r="P200" t="str">
        <f>HYPERLINK("http://vk.com/club27863223")</f>
        <v>http://vk.com/club27863223</v>
      </c>
      <c r="Q200">
        <v>134698</v>
      </c>
      <c r="R200" t="s">
        <v>124</v>
      </c>
      <c r="S200" t="s">
        <v>125</v>
      </c>
      <c r="T200" t="s">
        <v>314</v>
      </c>
      <c r="U200" t="s">
        <v>315</v>
      </c>
      <c r="W200">
        <v>0</v>
      </c>
      <c r="X200">
        <v>0</v>
      </c>
      <c r="AM200" t="s">
        <v>129</v>
      </c>
      <c r="AN200" t="s">
        <v>130</v>
      </c>
      <c r="AO200" t="s">
        <v>40</v>
      </c>
      <c r="AP200" t="s">
        <v>41</v>
      </c>
      <c r="AZ200" t="s">
        <v>51</v>
      </c>
      <c r="BA200" t="s">
        <v>52</v>
      </c>
    </row>
    <row r="201" spans="1:100" x14ac:dyDescent="0.2">
      <c r="A201" t="s">
        <v>748</v>
      </c>
      <c r="B201" t="s">
        <v>1034</v>
      </c>
      <c r="C201" t="s">
        <v>1030</v>
      </c>
      <c r="D201" t="s">
        <v>215</v>
      </c>
      <c r="E201" t="s">
        <v>1035</v>
      </c>
      <c r="F201" t="s">
        <v>118</v>
      </c>
      <c r="G201" t="str">
        <f>HYPERLINK("https://vk.com/wall-27863223_292439?reply=292556")</f>
        <v>https://vk.com/wall-27863223_292439?reply=292556</v>
      </c>
      <c r="H201" t="s">
        <v>119</v>
      </c>
      <c r="I201" t="s">
        <v>1033</v>
      </c>
      <c r="J201" t="str">
        <f>HYPERLINK("http://vk.com/id197800556")</f>
        <v>http://vk.com/id197800556</v>
      </c>
      <c r="K201">
        <v>1850</v>
      </c>
      <c r="L201" t="s">
        <v>151</v>
      </c>
      <c r="N201" t="s">
        <v>122</v>
      </c>
      <c r="O201" t="s">
        <v>175</v>
      </c>
      <c r="P201" t="str">
        <f>HYPERLINK("http://vk.com/club27863223")</f>
        <v>http://vk.com/club27863223</v>
      </c>
      <c r="Q201">
        <v>134698</v>
      </c>
      <c r="R201" t="s">
        <v>124</v>
      </c>
      <c r="S201" t="s">
        <v>125</v>
      </c>
      <c r="T201" t="s">
        <v>314</v>
      </c>
      <c r="U201" t="s">
        <v>315</v>
      </c>
      <c r="W201">
        <v>0</v>
      </c>
      <c r="X201">
        <v>0</v>
      </c>
      <c r="AM201" t="s">
        <v>129</v>
      </c>
      <c r="AN201" t="s">
        <v>130</v>
      </c>
      <c r="AO201" t="s">
        <v>40</v>
      </c>
      <c r="AP201" t="s">
        <v>41</v>
      </c>
      <c r="AZ201" t="s">
        <v>51</v>
      </c>
      <c r="BA201" t="s">
        <v>52</v>
      </c>
    </row>
    <row r="202" spans="1:100" x14ac:dyDescent="0.2">
      <c r="A202" t="s">
        <v>748</v>
      </c>
      <c r="B202" t="s">
        <v>496</v>
      </c>
      <c r="C202" t="s">
        <v>1036</v>
      </c>
      <c r="D202" t="s">
        <v>1037</v>
      </c>
      <c r="E202" t="s">
        <v>1038</v>
      </c>
      <c r="F202" t="s">
        <v>118</v>
      </c>
      <c r="G202" t="str">
        <f>HYPERLINK("https://vk.com/wall-122572419_283739?reply=283875")</f>
        <v>https://vk.com/wall-122572419_283739?reply=283875</v>
      </c>
      <c r="H202" t="s">
        <v>119</v>
      </c>
      <c r="I202" t="s">
        <v>1039</v>
      </c>
      <c r="J202" t="str">
        <f>HYPERLINK("http://vk.com/id407554684")</f>
        <v>http://vk.com/id407554684</v>
      </c>
      <c r="K202">
        <v>228</v>
      </c>
      <c r="L202" t="s">
        <v>121</v>
      </c>
      <c r="N202" t="s">
        <v>122</v>
      </c>
      <c r="O202" t="s">
        <v>1040</v>
      </c>
      <c r="P202" t="str">
        <f>HYPERLINK("http://vk.com/club122572419")</f>
        <v>http://vk.com/club122572419</v>
      </c>
      <c r="Q202">
        <v>26336</v>
      </c>
      <c r="R202" t="s">
        <v>124</v>
      </c>
      <c r="S202" t="s">
        <v>125</v>
      </c>
      <c r="AM202" t="s">
        <v>129</v>
      </c>
      <c r="AN202" t="s">
        <v>130</v>
      </c>
      <c r="AP202" t="s">
        <v>41</v>
      </c>
      <c r="AZ202" t="s">
        <v>51</v>
      </c>
      <c r="BA202" t="s">
        <v>52</v>
      </c>
      <c r="BM202" t="s">
        <v>64</v>
      </c>
    </row>
    <row r="203" spans="1:100" x14ac:dyDescent="0.2">
      <c r="A203" t="s">
        <v>748</v>
      </c>
      <c r="B203" t="s">
        <v>500</v>
      </c>
      <c r="C203" t="s">
        <v>1036</v>
      </c>
      <c r="D203" t="s">
        <v>1041</v>
      </c>
      <c r="E203" t="s">
        <v>1042</v>
      </c>
      <c r="F203" t="s">
        <v>118</v>
      </c>
      <c r="G203" t="str">
        <f>HYPERLINK("https://vk.com/wall-122659236_361989?reply=362307&amp;thread=362007")</f>
        <v>https://vk.com/wall-122659236_361989?reply=362307&amp;thread=362007</v>
      </c>
      <c r="H203" t="s">
        <v>181</v>
      </c>
      <c r="I203" t="s">
        <v>1043</v>
      </c>
      <c r="J203" t="str">
        <f>HYPERLINK("http://vk.com/id557836665")</f>
        <v>http://vk.com/id557836665</v>
      </c>
      <c r="L203" t="s">
        <v>151</v>
      </c>
      <c r="M203">
        <v>53</v>
      </c>
      <c r="N203" t="s">
        <v>122</v>
      </c>
      <c r="O203" t="s">
        <v>1044</v>
      </c>
      <c r="P203" t="str">
        <f>HYPERLINK("http://vk.com/club122659236")</f>
        <v>http://vk.com/club122659236</v>
      </c>
      <c r="Q203">
        <v>17901</v>
      </c>
      <c r="R203" t="s">
        <v>124</v>
      </c>
      <c r="S203" t="s">
        <v>125</v>
      </c>
      <c r="T203" t="s">
        <v>1045</v>
      </c>
      <c r="U203" t="s">
        <v>1046</v>
      </c>
      <c r="AM203" t="s">
        <v>129</v>
      </c>
      <c r="AN203" t="s">
        <v>130</v>
      </c>
      <c r="AP203" t="s">
        <v>41</v>
      </c>
      <c r="AY203" t="s">
        <v>50</v>
      </c>
      <c r="AZ203" t="s">
        <v>51</v>
      </c>
      <c r="BA203" t="s">
        <v>52</v>
      </c>
    </row>
    <row r="204" spans="1:100" x14ac:dyDescent="0.2">
      <c r="A204" t="s">
        <v>748</v>
      </c>
      <c r="B204" t="s">
        <v>1047</v>
      </c>
      <c r="C204" t="s">
        <v>1048</v>
      </c>
      <c r="D204" t="s">
        <v>1049</v>
      </c>
      <c r="E204" t="s">
        <v>1050</v>
      </c>
      <c r="F204" t="s">
        <v>180</v>
      </c>
      <c r="G204" t="str">
        <f>HYPERLINK("https://releases.ict-online.ru/news/n198752/")</f>
        <v>https://releases.ict-online.ru/news/n198752/</v>
      </c>
      <c r="H204" t="s">
        <v>119</v>
      </c>
      <c r="N204" t="s">
        <v>1051</v>
      </c>
      <c r="R204" t="s">
        <v>785</v>
      </c>
      <c r="S204" t="s">
        <v>125</v>
      </c>
      <c r="AJ204" t="s">
        <v>1052</v>
      </c>
      <c r="AK204" t="s">
        <v>1053</v>
      </c>
      <c r="AL204" t="str">
        <f>HYPERLINK("https://releases.ict-online.ru/files/lid_image198752.jpg")</f>
        <v>https://releases.ict-online.ru/files/lid_image198752.jpg</v>
      </c>
      <c r="AM204" t="s">
        <v>129</v>
      </c>
      <c r="AN204" t="s">
        <v>130</v>
      </c>
      <c r="AV204" t="s">
        <v>47</v>
      </c>
    </row>
    <row r="205" spans="1:100" x14ac:dyDescent="0.2">
      <c r="A205" t="s">
        <v>748</v>
      </c>
      <c r="B205" t="s">
        <v>1054</v>
      </c>
      <c r="C205" t="s">
        <v>1055</v>
      </c>
      <c r="D205" t="s">
        <v>215</v>
      </c>
      <c r="E205" t="s">
        <v>1056</v>
      </c>
      <c r="F205" t="s">
        <v>118</v>
      </c>
      <c r="G205" t="str">
        <f>HYPERLINK("https://vk.com/wall-27863223_292439?reply=292555")</f>
        <v>https://vk.com/wall-27863223_292439?reply=292555</v>
      </c>
      <c r="H205" t="s">
        <v>119</v>
      </c>
      <c r="I205" t="s">
        <v>272</v>
      </c>
      <c r="J205" t="str">
        <f>HYPERLINK("http://vk.com/id121820961")</f>
        <v>http://vk.com/id121820961</v>
      </c>
      <c r="K205">
        <v>78</v>
      </c>
      <c r="L205" t="s">
        <v>121</v>
      </c>
      <c r="M205">
        <v>29</v>
      </c>
      <c r="N205" t="s">
        <v>122</v>
      </c>
      <c r="O205" t="s">
        <v>175</v>
      </c>
      <c r="P205" t="str">
        <f>HYPERLINK("http://vk.com/club27863223")</f>
        <v>http://vk.com/club27863223</v>
      </c>
      <c r="Q205">
        <v>134698</v>
      </c>
      <c r="R205" t="s">
        <v>124</v>
      </c>
      <c r="S205" t="s">
        <v>125</v>
      </c>
      <c r="T205" t="s">
        <v>273</v>
      </c>
      <c r="U205" t="s">
        <v>274</v>
      </c>
      <c r="W205">
        <v>0</v>
      </c>
      <c r="X205">
        <v>0</v>
      </c>
      <c r="AM205" t="s">
        <v>129</v>
      </c>
      <c r="AN205" t="s">
        <v>130</v>
      </c>
      <c r="AO205" t="s">
        <v>40</v>
      </c>
      <c r="AP205" t="s">
        <v>41</v>
      </c>
      <c r="AZ205" t="s">
        <v>51</v>
      </c>
      <c r="BA205" t="s">
        <v>52</v>
      </c>
    </row>
    <row r="206" spans="1:100" x14ac:dyDescent="0.2">
      <c r="A206" t="s">
        <v>748</v>
      </c>
      <c r="B206" t="s">
        <v>1057</v>
      </c>
      <c r="C206" t="s">
        <v>1058</v>
      </c>
      <c r="D206" t="s">
        <v>1059</v>
      </c>
      <c r="E206" t="s">
        <v>1060</v>
      </c>
      <c r="F206" t="s">
        <v>118</v>
      </c>
      <c r="G206" t="str">
        <f>HYPERLINK("https://vk.com/wall-142443111_107786?reply=107792&amp;thread=107788")</f>
        <v>https://vk.com/wall-142443111_107786?reply=107792&amp;thread=107788</v>
      </c>
      <c r="H206" t="s">
        <v>119</v>
      </c>
      <c r="I206" t="s">
        <v>1061</v>
      </c>
      <c r="J206" t="str">
        <f>HYPERLINK("http://vk.com/id411186715")</f>
        <v>http://vk.com/id411186715</v>
      </c>
      <c r="K206">
        <v>86</v>
      </c>
      <c r="L206" t="s">
        <v>121</v>
      </c>
      <c r="M206">
        <v>26</v>
      </c>
      <c r="N206" t="s">
        <v>122</v>
      </c>
      <c r="O206" t="s">
        <v>1062</v>
      </c>
      <c r="P206" t="str">
        <f>HYPERLINK("http://vk.com/club142443111")</f>
        <v>http://vk.com/club142443111</v>
      </c>
      <c r="Q206">
        <v>14836</v>
      </c>
      <c r="R206" t="s">
        <v>124</v>
      </c>
      <c r="AM206" t="s">
        <v>129</v>
      </c>
      <c r="AN206" t="s">
        <v>130</v>
      </c>
      <c r="AP206" t="s">
        <v>41</v>
      </c>
      <c r="AT206" t="s">
        <v>45</v>
      </c>
      <c r="AY206" t="s">
        <v>50</v>
      </c>
      <c r="AZ206" t="s">
        <v>51</v>
      </c>
      <c r="BA206" t="s">
        <v>52</v>
      </c>
    </row>
    <row r="207" spans="1:100" x14ac:dyDescent="0.2">
      <c r="A207" t="s">
        <v>748</v>
      </c>
      <c r="B207" t="s">
        <v>506</v>
      </c>
      <c r="C207" t="s">
        <v>1063</v>
      </c>
      <c r="D207" t="s">
        <v>1064</v>
      </c>
      <c r="E207" t="s">
        <v>1065</v>
      </c>
      <c r="F207" t="s">
        <v>180</v>
      </c>
      <c r="G207" t="str">
        <f>HYPERLINK("https://otzovik.com/review_12239488.html")</f>
        <v>https://otzovik.com/review_12239488.html</v>
      </c>
      <c r="H207" t="s">
        <v>228</v>
      </c>
      <c r="I207" t="s">
        <v>1066</v>
      </c>
      <c r="J207" t="str">
        <f>HYPERLINK("http://otzovik.com/profile/Asyvorotkina")</f>
        <v>http://otzovik.com/profile/Asyvorotkina</v>
      </c>
      <c r="N207" t="s">
        <v>390</v>
      </c>
      <c r="O207" t="s">
        <v>1067</v>
      </c>
      <c r="P207" t="str">
        <f>HYPERLINK("https://otzovik.com/reviews/sputnikovoe_televidenie_trikolor_tv/")</f>
        <v>https://otzovik.com/reviews/sputnikovoe_televidenie_trikolor_tv/</v>
      </c>
      <c r="R207" t="s">
        <v>184</v>
      </c>
      <c r="S207" t="s">
        <v>125</v>
      </c>
      <c r="T207" t="s">
        <v>137</v>
      </c>
      <c r="U207" t="s">
        <v>137</v>
      </c>
      <c r="W207">
        <v>0</v>
      </c>
      <c r="X207">
        <v>0</v>
      </c>
      <c r="AE207">
        <v>0</v>
      </c>
      <c r="AH207">
        <v>1</v>
      </c>
      <c r="AM207" t="s">
        <v>129</v>
      </c>
      <c r="AN207" t="s">
        <v>130</v>
      </c>
      <c r="AP207" t="s">
        <v>41</v>
      </c>
      <c r="AX207" t="s">
        <v>49</v>
      </c>
      <c r="AY207" t="s">
        <v>50</v>
      </c>
      <c r="BA207" t="s">
        <v>52</v>
      </c>
      <c r="BF207" t="s">
        <v>57</v>
      </c>
      <c r="BL207" t="s">
        <v>63</v>
      </c>
      <c r="CL207" t="s">
        <v>89</v>
      </c>
      <c r="CV207" t="s">
        <v>99</v>
      </c>
    </row>
    <row r="208" spans="1:100" x14ac:dyDescent="0.2">
      <c r="A208" t="s">
        <v>748</v>
      </c>
      <c r="B208" t="s">
        <v>1068</v>
      </c>
      <c r="C208" t="s">
        <v>1069</v>
      </c>
      <c r="D208" t="s">
        <v>424</v>
      </c>
      <c r="E208" t="s">
        <v>1070</v>
      </c>
      <c r="F208" t="s">
        <v>118</v>
      </c>
      <c r="G208" t="str">
        <f>HYPERLINK("https://vk.com/topic-124657642_40664927?post=4898")</f>
        <v>https://vk.com/topic-124657642_40664927?post=4898</v>
      </c>
      <c r="H208" t="s">
        <v>119</v>
      </c>
      <c r="I208" t="s">
        <v>1071</v>
      </c>
      <c r="J208" t="str">
        <f>HYPERLINK("http://vk.com/id500804292")</f>
        <v>http://vk.com/id500804292</v>
      </c>
      <c r="K208">
        <v>182</v>
      </c>
      <c r="L208" t="s">
        <v>121</v>
      </c>
      <c r="N208" t="s">
        <v>122</v>
      </c>
      <c r="O208" t="s">
        <v>427</v>
      </c>
      <c r="P208" t="str">
        <f>HYPERLINK("http://vk.com/club124657642")</f>
        <v>http://vk.com/club124657642</v>
      </c>
      <c r="Q208">
        <v>15373</v>
      </c>
      <c r="R208" t="s">
        <v>124</v>
      </c>
      <c r="S208" t="s">
        <v>125</v>
      </c>
      <c r="AM208" t="s">
        <v>129</v>
      </c>
      <c r="AN208" t="s">
        <v>130</v>
      </c>
      <c r="AP208" t="s">
        <v>41</v>
      </c>
      <c r="AX208" t="s">
        <v>49</v>
      </c>
      <c r="AZ208" t="s">
        <v>51</v>
      </c>
      <c r="BA208" t="s">
        <v>52</v>
      </c>
    </row>
    <row r="209" spans="1:69" x14ac:dyDescent="0.2">
      <c r="A209" t="s">
        <v>748</v>
      </c>
      <c r="B209" t="s">
        <v>1072</v>
      </c>
      <c r="C209" t="s">
        <v>1073</v>
      </c>
      <c r="D209" t="s">
        <v>1074</v>
      </c>
      <c r="E209" t="s">
        <v>1075</v>
      </c>
      <c r="F209" t="s">
        <v>118</v>
      </c>
      <c r="G209" t="str">
        <f>HYPERLINK("https://vk.com/wall-80149142_348548?reply=349852&amp;thread=349086")</f>
        <v>https://vk.com/wall-80149142_348548?reply=349852&amp;thread=349086</v>
      </c>
      <c r="H209" t="s">
        <v>119</v>
      </c>
      <c r="I209" t="s">
        <v>1071</v>
      </c>
      <c r="J209" t="str">
        <f>HYPERLINK("http://vk.com/id500804292")</f>
        <v>http://vk.com/id500804292</v>
      </c>
      <c r="K209">
        <v>182</v>
      </c>
      <c r="L209" t="s">
        <v>121</v>
      </c>
      <c r="N209" t="s">
        <v>122</v>
      </c>
      <c r="O209" t="s">
        <v>1076</v>
      </c>
      <c r="P209" t="str">
        <f>HYPERLINK("http://vk.com/club80149142")</f>
        <v>http://vk.com/club80149142</v>
      </c>
      <c r="Q209">
        <v>59466</v>
      </c>
      <c r="R209" t="s">
        <v>124</v>
      </c>
      <c r="S209" t="s">
        <v>125</v>
      </c>
      <c r="AM209" t="s">
        <v>129</v>
      </c>
      <c r="AN209" t="s">
        <v>130</v>
      </c>
      <c r="AP209" t="s">
        <v>41</v>
      </c>
      <c r="AW209" t="s">
        <v>48</v>
      </c>
      <c r="AZ209" t="s">
        <v>51</v>
      </c>
      <c r="BA209" t="s">
        <v>52</v>
      </c>
      <c r="BL209" t="s">
        <v>63</v>
      </c>
    </row>
    <row r="210" spans="1:69" x14ac:dyDescent="0.2">
      <c r="A210" t="s">
        <v>748</v>
      </c>
      <c r="B210" t="s">
        <v>1077</v>
      </c>
      <c r="C210" t="s">
        <v>1078</v>
      </c>
      <c r="D210" t="s">
        <v>885</v>
      </c>
      <c r="E210" t="s">
        <v>1079</v>
      </c>
      <c r="F210" t="s">
        <v>118</v>
      </c>
      <c r="G210" t="str">
        <f>HYPERLINK("https://vk.com/wall-27863223_292520?reply=292550")</f>
        <v>https://vk.com/wall-27863223_292520?reply=292550</v>
      </c>
      <c r="H210" t="s">
        <v>119</v>
      </c>
      <c r="I210" t="s">
        <v>1080</v>
      </c>
      <c r="J210" t="str">
        <f>HYPERLINK("http://vk.com/id35050670")</f>
        <v>http://vk.com/id35050670</v>
      </c>
      <c r="K210">
        <v>1187</v>
      </c>
      <c r="L210" t="s">
        <v>121</v>
      </c>
      <c r="N210" t="s">
        <v>122</v>
      </c>
      <c r="O210" t="s">
        <v>175</v>
      </c>
      <c r="P210" t="str">
        <f>HYPERLINK("http://vk.com/club27863223")</f>
        <v>http://vk.com/club27863223</v>
      </c>
      <c r="Q210">
        <v>134698</v>
      </c>
      <c r="R210" t="s">
        <v>124</v>
      </c>
      <c r="S210" t="s">
        <v>125</v>
      </c>
      <c r="T210" t="s">
        <v>487</v>
      </c>
      <c r="U210" t="s">
        <v>488</v>
      </c>
      <c r="W210">
        <v>0</v>
      </c>
      <c r="X210">
        <v>0</v>
      </c>
      <c r="AM210" t="s">
        <v>129</v>
      </c>
      <c r="AN210" t="s">
        <v>130</v>
      </c>
      <c r="AP210" t="s">
        <v>41</v>
      </c>
      <c r="BD210" t="s">
        <v>55</v>
      </c>
      <c r="BE210" t="s">
        <v>56</v>
      </c>
    </row>
    <row r="211" spans="1:69" x14ac:dyDescent="0.2">
      <c r="A211" t="s">
        <v>748</v>
      </c>
      <c r="B211" t="s">
        <v>526</v>
      </c>
      <c r="C211" t="s">
        <v>1078</v>
      </c>
      <c r="D211" t="s">
        <v>215</v>
      </c>
      <c r="E211" t="s">
        <v>1081</v>
      </c>
      <c r="F211" t="s">
        <v>118</v>
      </c>
      <c r="G211" t="str">
        <f>HYPERLINK("https://vk.com/wall-27863223_292439?reply=292549")</f>
        <v>https://vk.com/wall-27863223_292439?reply=292549</v>
      </c>
      <c r="H211" t="s">
        <v>119</v>
      </c>
      <c r="I211" t="s">
        <v>1082</v>
      </c>
      <c r="J211" t="str">
        <f>HYPERLINK("http://vk.com/id278915621")</f>
        <v>http://vk.com/id278915621</v>
      </c>
      <c r="K211">
        <v>221</v>
      </c>
      <c r="L211" t="s">
        <v>121</v>
      </c>
      <c r="N211" t="s">
        <v>122</v>
      </c>
      <c r="O211" t="s">
        <v>175</v>
      </c>
      <c r="P211" t="str">
        <f>HYPERLINK("http://vk.com/club27863223")</f>
        <v>http://vk.com/club27863223</v>
      </c>
      <c r="Q211">
        <v>134698</v>
      </c>
      <c r="R211" t="s">
        <v>124</v>
      </c>
      <c r="S211" t="s">
        <v>125</v>
      </c>
      <c r="W211">
        <v>0</v>
      </c>
      <c r="X211">
        <v>0</v>
      </c>
      <c r="AM211" t="s">
        <v>129</v>
      </c>
      <c r="AN211" t="s">
        <v>130</v>
      </c>
      <c r="AO211" t="s">
        <v>40</v>
      </c>
      <c r="AP211" t="s">
        <v>41</v>
      </c>
      <c r="AZ211" t="s">
        <v>51</v>
      </c>
      <c r="BA211" t="s">
        <v>52</v>
      </c>
    </row>
    <row r="212" spans="1:69" x14ac:dyDescent="0.2">
      <c r="A212" t="s">
        <v>748</v>
      </c>
      <c r="B212" t="s">
        <v>1083</v>
      </c>
      <c r="C212" t="s">
        <v>1078</v>
      </c>
      <c r="D212" t="s">
        <v>215</v>
      </c>
      <c r="E212" t="s">
        <v>1084</v>
      </c>
      <c r="F212" t="s">
        <v>118</v>
      </c>
      <c r="G212" t="str">
        <f>HYPERLINK("https://vk.com/wall-27863223_292439?reply=292548")</f>
        <v>https://vk.com/wall-27863223_292439?reply=292548</v>
      </c>
      <c r="H212" t="s">
        <v>119</v>
      </c>
      <c r="I212" t="s">
        <v>561</v>
      </c>
      <c r="J212" t="str">
        <f>HYPERLINK("http://vk.com/id218133859")</f>
        <v>http://vk.com/id218133859</v>
      </c>
      <c r="K212">
        <v>269</v>
      </c>
      <c r="L212" t="s">
        <v>121</v>
      </c>
      <c r="N212" t="s">
        <v>122</v>
      </c>
      <c r="O212" t="s">
        <v>175</v>
      </c>
      <c r="P212" t="str">
        <f>HYPERLINK("http://vk.com/club27863223")</f>
        <v>http://vk.com/club27863223</v>
      </c>
      <c r="Q212">
        <v>134698</v>
      </c>
      <c r="R212" t="s">
        <v>124</v>
      </c>
      <c r="S212" t="s">
        <v>125</v>
      </c>
      <c r="T212" t="s">
        <v>212</v>
      </c>
      <c r="U212" t="s">
        <v>213</v>
      </c>
      <c r="W212">
        <v>0</v>
      </c>
      <c r="X212">
        <v>0</v>
      </c>
      <c r="AM212" t="s">
        <v>129</v>
      </c>
      <c r="AN212" t="s">
        <v>130</v>
      </c>
      <c r="AO212" t="s">
        <v>40</v>
      </c>
      <c r="AP212" t="s">
        <v>41</v>
      </c>
      <c r="AZ212" t="s">
        <v>51</v>
      </c>
      <c r="BA212" t="s">
        <v>52</v>
      </c>
    </row>
    <row r="213" spans="1:69" x14ac:dyDescent="0.2">
      <c r="A213" t="s">
        <v>748</v>
      </c>
      <c r="B213" t="s">
        <v>1085</v>
      </c>
      <c r="C213" t="s">
        <v>1086</v>
      </c>
      <c r="D213" t="s">
        <v>1087</v>
      </c>
      <c r="E213" t="s">
        <v>1088</v>
      </c>
      <c r="F213" t="s">
        <v>180</v>
      </c>
      <c r="G213" t="str">
        <f>HYPERLINK("https://www.ozon.ru/context/detail/id/202443506/#63165845")</f>
        <v>https://www.ozon.ru/context/detail/id/202443506/#63165845</v>
      </c>
      <c r="H213" t="s">
        <v>181</v>
      </c>
      <c r="I213" t="s">
        <v>1089</v>
      </c>
      <c r="J213" t="str">
        <f>HYPERLINK("https://www.ozon.ru/context/client_opinion/ClientGuid/99850c04-a8f2-41b8-ac78-286df90cba27/")</f>
        <v>https://www.ozon.ru/context/client_opinion/ClientGuid/99850c04-a8f2-41b8-ac78-286df90cba27/</v>
      </c>
      <c r="L213" t="s">
        <v>121</v>
      </c>
      <c r="N213" t="s">
        <v>183</v>
      </c>
      <c r="O213" t="s">
        <v>1087</v>
      </c>
      <c r="P213" t="str">
        <f>HYPERLINK("https://www.ozon.ru/context/detail/id/202443506/")</f>
        <v>https://www.ozon.ru/context/detail/id/202443506/</v>
      </c>
      <c r="R213" t="s">
        <v>184</v>
      </c>
      <c r="S213" t="s">
        <v>125</v>
      </c>
      <c r="W213">
        <v>0</v>
      </c>
      <c r="X213">
        <v>0</v>
      </c>
      <c r="AH213">
        <v>5</v>
      </c>
      <c r="AM213" t="s">
        <v>129</v>
      </c>
      <c r="AN213" t="s">
        <v>130</v>
      </c>
      <c r="AP213" t="s">
        <v>41</v>
      </c>
      <c r="AT213" t="s">
        <v>45</v>
      </c>
      <c r="AW213" t="s">
        <v>48</v>
      </c>
      <c r="AZ213" t="s">
        <v>51</v>
      </c>
      <c r="BA213" t="s">
        <v>52</v>
      </c>
      <c r="BM213" t="s">
        <v>64</v>
      </c>
    </row>
    <row r="214" spans="1:69" x14ac:dyDescent="0.2">
      <c r="A214" t="s">
        <v>748</v>
      </c>
      <c r="B214" t="s">
        <v>556</v>
      </c>
      <c r="C214" t="s">
        <v>1090</v>
      </c>
      <c r="D214" t="s">
        <v>1091</v>
      </c>
      <c r="E214" t="s">
        <v>1092</v>
      </c>
      <c r="F214" t="s">
        <v>118</v>
      </c>
      <c r="G214" t="str">
        <f>HYPERLINK("https://vk.com/wall-22935147_368634?w=wall-22935147_368634_r368706")</f>
        <v>https://vk.com/wall-22935147_368634?w=wall-22935147_368634_r368706</v>
      </c>
      <c r="H214" t="s">
        <v>119</v>
      </c>
      <c r="I214" t="s">
        <v>1071</v>
      </c>
      <c r="J214" t="str">
        <f>HYPERLINK("http://vk.com/id500804292")</f>
        <v>http://vk.com/id500804292</v>
      </c>
      <c r="K214">
        <v>182</v>
      </c>
      <c r="L214" t="s">
        <v>121</v>
      </c>
      <c r="N214" t="s">
        <v>122</v>
      </c>
      <c r="O214" t="s">
        <v>1093</v>
      </c>
      <c r="P214" t="str">
        <f>HYPERLINK("http://vk.com/club22935147")</f>
        <v>http://vk.com/club22935147</v>
      </c>
      <c r="Q214">
        <v>8943</v>
      </c>
      <c r="R214" t="s">
        <v>124</v>
      </c>
      <c r="S214" t="s">
        <v>125</v>
      </c>
      <c r="W214">
        <v>0</v>
      </c>
      <c r="X214">
        <v>0</v>
      </c>
      <c r="AM214" t="s">
        <v>129</v>
      </c>
      <c r="AN214" t="s">
        <v>130</v>
      </c>
      <c r="AP214" t="s">
        <v>41</v>
      </c>
      <c r="AY214" t="s">
        <v>50</v>
      </c>
      <c r="AZ214" t="s">
        <v>51</v>
      </c>
      <c r="BA214" t="s">
        <v>52</v>
      </c>
    </row>
    <row r="215" spans="1:69" x14ac:dyDescent="0.2">
      <c r="A215" t="s">
        <v>748</v>
      </c>
      <c r="B215" t="s">
        <v>1094</v>
      </c>
      <c r="C215" t="s">
        <v>1095</v>
      </c>
      <c r="D215" t="s">
        <v>204</v>
      </c>
      <c r="E215" t="s">
        <v>1096</v>
      </c>
      <c r="F215" t="s">
        <v>180</v>
      </c>
      <c r="G215" t="str">
        <f>HYPERLINK("https://play.google.com/store/apps/details?id=ru.iflex.android.a3colortv&amp;reviewId=gp:AOqpTOG-QM_1lPL_q3c6-1G51BPD8ig27sIe5Td6LLq0oRUsVnBMwybzfUMiQ75DacE33eTDs7XI0HTR7dg_Yw")</f>
        <v>https://play.google.com/store/apps/details?id=ru.iflex.android.a3colortv&amp;reviewId=gp:AOqpTOG-QM_1lPL_q3c6-1G51BPD8ig27sIe5Td6LLq0oRUsVnBMwybzfUMiQ75DacE33eTDs7XI0HTR7dg_Yw</v>
      </c>
      <c r="H215" t="s">
        <v>181</v>
      </c>
      <c r="I215" t="s">
        <v>1097</v>
      </c>
      <c r="J215" t="str">
        <f>HYPERLINK("https://plus.google.com/117793837187738780214")</f>
        <v>https://plus.google.com/117793837187738780214</v>
      </c>
      <c r="N215" t="s">
        <v>207</v>
      </c>
      <c r="O215" t="s">
        <v>204</v>
      </c>
      <c r="P215" t="str">
        <f>HYPERLINK("https://play.google.com/store/apps/details?id=ru.iflex.android.a3colortv&amp;hl=ru")</f>
        <v>https://play.google.com/store/apps/details?id=ru.iflex.android.a3colortv&amp;hl=ru</v>
      </c>
      <c r="R215" t="s">
        <v>184</v>
      </c>
      <c r="S215" t="s">
        <v>125</v>
      </c>
      <c r="W215">
        <v>0</v>
      </c>
      <c r="X215">
        <v>0</v>
      </c>
      <c r="AH215">
        <v>5</v>
      </c>
      <c r="AM215" t="s">
        <v>129</v>
      </c>
      <c r="AN215" t="s">
        <v>130</v>
      </c>
      <c r="AP215" t="s">
        <v>41</v>
      </c>
      <c r="AZ215" t="s">
        <v>51</v>
      </c>
      <c r="BA215" t="s">
        <v>52</v>
      </c>
      <c r="BQ215" t="s">
        <v>68</v>
      </c>
    </row>
    <row r="216" spans="1:69" x14ac:dyDescent="0.2">
      <c r="A216" t="s">
        <v>748</v>
      </c>
      <c r="B216" t="s">
        <v>1098</v>
      </c>
      <c r="C216" t="s">
        <v>1099</v>
      </c>
      <c r="D216" t="s">
        <v>129</v>
      </c>
      <c r="E216" t="s">
        <v>1100</v>
      </c>
      <c r="F216" t="s">
        <v>180</v>
      </c>
      <c r="G216" t="str">
        <f>HYPERLINK("https://vk.com/wall-23614216_82")</f>
        <v>https://vk.com/wall-23614216_82</v>
      </c>
      <c r="H216" t="s">
        <v>119</v>
      </c>
      <c r="I216" t="s">
        <v>1101</v>
      </c>
      <c r="J216" t="str">
        <f>HYPERLINK("http://vk.com/id17901562")</f>
        <v>http://vk.com/id17901562</v>
      </c>
      <c r="K216">
        <v>1760</v>
      </c>
      <c r="L216" t="s">
        <v>151</v>
      </c>
      <c r="M216">
        <v>38</v>
      </c>
      <c r="N216" t="s">
        <v>122</v>
      </c>
      <c r="O216" t="s">
        <v>1102</v>
      </c>
      <c r="P216" t="str">
        <f>HYPERLINK("http://vk.com/club23614216")</f>
        <v>http://vk.com/club23614216</v>
      </c>
      <c r="Q216">
        <v>127</v>
      </c>
      <c r="R216" t="s">
        <v>124</v>
      </c>
      <c r="S216" t="s">
        <v>125</v>
      </c>
      <c r="T216" t="s">
        <v>1103</v>
      </c>
      <c r="U216" t="s">
        <v>1104</v>
      </c>
      <c r="W216">
        <v>0</v>
      </c>
      <c r="X216">
        <v>0</v>
      </c>
      <c r="AE216">
        <v>0</v>
      </c>
      <c r="AF216">
        <v>0</v>
      </c>
      <c r="AM216" t="s">
        <v>129</v>
      </c>
      <c r="AN216" t="s">
        <v>130</v>
      </c>
      <c r="AP216" t="s">
        <v>41</v>
      </c>
      <c r="AZ216" t="s">
        <v>51</v>
      </c>
      <c r="BB216" t="s">
        <v>53</v>
      </c>
      <c r="BM216" t="s">
        <v>64</v>
      </c>
    </row>
    <row r="217" spans="1:69" x14ac:dyDescent="0.2">
      <c r="A217" t="s">
        <v>748</v>
      </c>
      <c r="B217" t="s">
        <v>1105</v>
      </c>
      <c r="C217" t="s">
        <v>1106</v>
      </c>
      <c r="D217" t="s">
        <v>885</v>
      </c>
      <c r="E217" t="s">
        <v>1107</v>
      </c>
      <c r="F217" t="s">
        <v>118</v>
      </c>
      <c r="G217" t="str">
        <f>HYPERLINK("https://vk.com/wall-27863223_292520?w=wall-27863223_292520_r292546")</f>
        <v>https://vk.com/wall-27863223_292520?w=wall-27863223_292520_r292546</v>
      </c>
      <c r="H217" t="s">
        <v>119</v>
      </c>
      <c r="I217" t="s">
        <v>1108</v>
      </c>
      <c r="J217" t="str">
        <f>HYPERLINK("http://vk.com/id270654753")</f>
        <v>http://vk.com/id270654753</v>
      </c>
      <c r="K217">
        <v>149</v>
      </c>
      <c r="L217" t="s">
        <v>121</v>
      </c>
      <c r="M217">
        <v>45</v>
      </c>
      <c r="N217" t="s">
        <v>122</v>
      </c>
      <c r="O217" t="s">
        <v>175</v>
      </c>
      <c r="P217" t="str">
        <f>HYPERLINK("http://vk.com/club27863223")</f>
        <v>http://vk.com/club27863223</v>
      </c>
      <c r="Q217">
        <v>134698</v>
      </c>
      <c r="R217" t="s">
        <v>124</v>
      </c>
      <c r="S217" t="s">
        <v>125</v>
      </c>
      <c r="W217">
        <v>0</v>
      </c>
      <c r="X217">
        <v>0</v>
      </c>
      <c r="AM217" t="s">
        <v>129</v>
      </c>
      <c r="AN217" t="s">
        <v>130</v>
      </c>
      <c r="AP217" t="s">
        <v>41</v>
      </c>
      <c r="AZ217" t="s">
        <v>51</v>
      </c>
      <c r="BA217" t="s">
        <v>52</v>
      </c>
    </row>
    <row r="218" spans="1:69" x14ac:dyDescent="0.2">
      <c r="A218" t="s">
        <v>748</v>
      </c>
      <c r="B218" t="s">
        <v>1109</v>
      </c>
      <c r="C218" t="s">
        <v>1106</v>
      </c>
      <c r="D218" t="s">
        <v>215</v>
      </c>
      <c r="E218" t="s">
        <v>1084</v>
      </c>
      <c r="F218" t="s">
        <v>118</v>
      </c>
      <c r="G218" t="str">
        <f>HYPERLINK("https://vk.com/wall-27863223_292439?reply=292544")</f>
        <v>https://vk.com/wall-27863223_292439?reply=292544</v>
      </c>
      <c r="H218" t="s">
        <v>119</v>
      </c>
      <c r="I218" t="s">
        <v>814</v>
      </c>
      <c r="J218" t="str">
        <f>HYPERLINK("http://vk.com/id184470460")</f>
        <v>http://vk.com/id184470460</v>
      </c>
      <c r="K218">
        <v>747</v>
      </c>
      <c r="L218" t="s">
        <v>151</v>
      </c>
      <c r="N218" t="s">
        <v>122</v>
      </c>
      <c r="O218" t="s">
        <v>175</v>
      </c>
      <c r="P218" t="str">
        <f>HYPERLINK("http://vk.com/club27863223")</f>
        <v>http://vk.com/club27863223</v>
      </c>
      <c r="Q218">
        <v>134698</v>
      </c>
      <c r="R218" t="s">
        <v>124</v>
      </c>
      <c r="S218" t="s">
        <v>125</v>
      </c>
      <c r="T218" t="s">
        <v>212</v>
      </c>
      <c r="U218" t="s">
        <v>213</v>
      </c>
      <c r="W218">
        <v>0</v>
      </c>
      <c r="X218">
        <v>0</v>
      </c>
      <c r="AM218" t="s">
        <v>129</v>
      </c>
      <c r="AN218" t="s">
        <v>130</v>
      </c>
      <c r="AO218" t="s">
        <v>40</v>
      </c>
      <c r="AP218" t="s">
        <v>41</v>
      </c>
      <c r="AZ218" t="s">
        <v>51</v>
      </c>
      <c r="BA218" t="s">
        <v>52</v>
      </c>
    </row>
    <row r="219" spans="1:69" x14ac:dyDescent="0.2">
      <c r="A219" t="s">
        <v>748</v>
      </c>
      <c r="B219" t="s">
        <v>1109</v>
      </c>
      <c r="C219" t="s">
        <v>1106</v>
      </c>
      <c r="D219" t="s">
        <v>215</v>
      </c>
      <c r="E219" t="s">
        <v>1110</v>
      </c>
      <c r="F219" t="s">
        <v>118</v>
      </c>
      <c r="G219" t="str">
        <f>HYPERLINK("https://vk.com/wall-27863223_292439?reply=292543")</f>
        <v>https://vk.com/wall-27863223_292439?reply=292543</v>
      </c>
      <c r="H219" t="s">
        <v>119</v>
      </c>
      <c r="I219" t="s">
        <v>1111</v>
      </c>
      <c r="J219" t="str">
        <f>HYPERLINK("http://vk.com/id575539922")</f>
        <v>http://vk.com/id575539922</v>
      </c>
      <c r="K219">
        <v>12</v>
      </c>
      <c r="L219" t="s">
        <v>121</v>
      </c>
      <c r="M219">
        <v>54</v>
      </c>
      <c r="N219" t="s">
        <v>122</v>
      </c>
      <c r="O219" t="s">
        <v>175</v>
      </c>
      <c r="P219" t="str">
        <f>HYPERLINK("http://vk.com/club27863223")</f>
        <v>http://vk.com/club27863223</v>
      </c>
      <c r="Q219">
        <v>134698</v>
      </c>
      <c r="R219" t="s">
        <v>124</v>
      </c>
      <c r="S219" t="s">
        <v>125</v>
      </c>
      <c r="T219" t="s">
        <v>627</v>
      </c>
      <c r="U219" t="s">
        <v>1112</v>
      </c>
      <c r="W219">
        <v>0</v>
      </c>
      <c r="X219">
        <v>0</v>
      </c>
      <c r="AM219" t="s">
        <v>129</v>
      </c>
      <c r="AN219" t="s">
        <v>130</v>
      </c>
      <c r="AO219" t="s">
        <v>40</v>
      </c>
      <c r="AP219" t="s">
        <v>41</v>
      </c>
      <c r="AZ219" t="s">
        <v>51</v>
      </c>
      <c r="BA219" t="s">
        <v>52</v>
      </c>
    </row>
    <row r="220" spans="1:69" x14ac:dyDescent="0.2">
      <c r="A220" t="s">
        <v>748</v>
      </c>
      <c r="B220" t="s">
        <v>1113</v>
      </c>
      <c r="C220" t="s">
        <v>1114</v>
      </c>
      <c r="D220" t="s">
        <v>1115</v>
      </c>
      <c r="E220" t="s">
        <v>1116</v>
      </c>
      <c r="F220" t="s">
        <v>118</v>
      </c>
      <c r="G220" t="str">
        <f>HYPERLINK("https://vk.com/wall-1287934_295089?reply=295098")</f>
        <v>https://vk.com/wall-1287934_295089?reply=295098</v>
      </c>
      <c r="H220" t="s">
        <v>119</v>
      </c>
      <c r="I220" t="s">
        <v>1117</v>
      </c>
      <c r="J220" t="str">
        <f>HYPERLINK("http://vk.com/id55392027")</f>
        <v>http://vk.com/id55392027</v>
      </c>
      <c r="K220">
        <v>167</v>
      </c>
      <c r="L220" t="s">
        <v>121</v>
      </c>
      <c r="M220">
        <v>38</v>
      </c>
      <c r="N220" t="s">
        <v>122</v>
      </c>
      <c r="O220" t="s">
        <v>313</v>
      </c>
      <c r="P220" t="str">
        <f>HYPERLINK("http://vk.com/club1287934")</f>
        <v>http://vk.com/club1287934</v>
      </c>
      <c r="Q220">
        <v>21658</v>
      </c>
      <c r="R220" t="s">
        <v>124</v>
      </c>
      <c r="S220" t="s">
        <v>125</v>
      </c>
      <c r="T220" t="s">
        <v>314</v>
      </c>
      <c r="U220" t="s">
        <v>315</v>
      </c>
      <c r="AM220" t="s">
        <v>129</v>
      </c>
      <c r="AN220" t="s">
        <v>130</v>
      </c>
      <c r="AP220" t="s">
        <v>41</v>
      </c>
      <c r="AZ220" t="s">
        <v>51</v>
      </c>
      <c r="BA220" t="s">
        <v>52</v>
      </c>
      <c r="BQ220" t="s">
        <v>68</v>
      </c>
    </row>
    <row r="221" spans="1:69" x14ac:dyDescent="0.2">
      <c r="A221" t="s">
        <v>748</v>
      </c>
      <c r="B221" t="s">
        <v>1118</v>
      </c>
      <c r="C221" t="s">
        <v>1119</v>
      </c>
      <c r="D221" t="s">
        <v>1120</v>
      </c>
      <c r="E221" t="s">
        <v>1121</v>
      </c>
      <c r="F221" t="s">
        <v>180</v>
      </c>
      <c r="G221" t="str">
        <f>HYPERLINK("https://www.cableman.ru/content/trikolor-obnovil-veb-versiyu-lichnogo-kabineta-klienta")</f>
        <v>https://www.cableman.ru/content/trikolor-obnovil-veb-versiyu-lichnogo-kabineta-klienta</v>
      </c>
      <c r="H221" t="s">
        <v>119</v>
      </c>
      <c r="N221" t="s">
        <v>934</v>
      </c>
      <c r="R221" t="s">
        <v>785</v>
      </c>
      <c r="S221" t="s">
        <v>125</v>
      </c>
      <c r="AJ221" t="s">
        <v>588</v>
      </c>
      <c r="AK221" t="s">
        <v>876</v>
      </c>
      <c r="AL221" t="str">
        <f>HYPERLINK("https://www.cableman.ru/sites/all/themes/openpublish_theme/images/logo-1.png")</f>
        <v>https://www.cableman.ru/sites/all/themes/openpublish_theme/images/logo-1.png</v>
      </c>
      <c r="AM221" t="s">
        <v>129</v>
      </c>
      <c r="AN221" t="s">
        <v>130</v>
      </c>
      <c r="AV221" t="s">
        <v>47</v>
      </c>
    </row>
    <row r="222" spans="1:69" x14ac:dyDescent="0.2">
      <c r="A222" t="s">
        <v>748</v>
      </c>
      <c r="B222" t="s">
        <v>1122</v>
      </c>
      <c r="C222" t="s">
        <v>903</v>
      </c>
      <c r="D222" t="s">
        <v>1123</v>
      </c>
      <c r="E222" t="s">
        <v>1124</v>
      </c>
      <c r="F222" t="s">
        <v>180</v>
      </c>
      <c r="G222" t="str">
        <f>HYPERLINK("https://telesputnik.ru/forum/viewtopic.php?f=7&amp;t=47120&amp;start=4020#p2483034")</f>
        <v>https://telesputnik.ru/forum/viewtopic.php?f=7&amp;t=47120&amp;start=4020#p2483034</v>
      </c>
      <c r="H222" t="s">
        <v>181</v>
      </c>
      <c r="I222" t="s">
        <v>1125</v>
      </c>
      <c r="J222" t="str">
        <f>HYPERLINK("https://telesputnik.ru/forum/memberlist.php?mode=viewprofile&amp;u=65793")</f>
        <v>https://telesputnik.ru/forum/memberlist.php?mode=viewprofile&amp;u=65793</v>
      </c>
      <c r="N222" t="s">
        <v>335</v>
      </c>
      <c r="O222" t="s">
        <v>1126</v>
      </c>
      <c r="P222" t="str">
        <f>HYPERLINK("https://telesputnik.ru/forum/viewforum.php?f=7")</f>
        <v>https://telesputnik.ru/forum/viewforum.php?f=7</v>
      </c>
      <c r="R222" t="s">
        <v>295</v>
      </c>
      <c r="S222" t="s">
        <v>125</v>
      </c>
      <c r="T222" t="s">
        <v>314</v>
      </c>
      <c r="U222" t="s">
        <v>315</v>
      </c>
      <c r="AM222" t="s">
        <v>129</v>
      </c>
      <c r="AN222" t="s">
        <v>130</v>
      </c>
      <c r="AP222" t="s">
        <v>41</v>
      </c>
      <c r="AU222" t="s">
        <v>46</v>
      </c>
      <c r="AZ222" t="s">
        <v>51</v>
      </c>
      <c r="BA222" t="s">
        <v>52</v>
      </c>
    </row>
    <row r="223" spans="1:69" x14ac:dyDescent="0.2">
      <c r="A223" t="s">
        <v>748</v>
      </c>
      <c r="B223" t="s">
        <v>1127</v>
      </c>
      <c r="C223" t="s">
        <v>1128</v>
      </c>
      <c r="D223" t="s">
        <v>424</v>
      </c>
      <c r="E223" t="s">
        <v>1129</v>
      </c>
      <c r="F223" t="s">
        <v>118</v>
      </c>
      <c r="G223" t="str">
        <f>HYPERLINK("https://vk.com/topic-124657642_40664927?post=4896")</f>
        <v>https://vk.com/topic-124657642_40664927?post=4896</v>
      </c>
      <c r="H223" t="s">
        <v>119</v>
      </c>
      <c r="I223" t="s">
        <v>427</v>
      </c>
      <c r="J223" t="str">
        <f>HYPERLINK("http://vk.com/club124657642")</f>
        <v>http://vk.com/club124657642</v>
      </c>
      <c r="K223">
        <v>15373</v>
      </c>
      <c r="L223" t="s">
        <v>340</v>
      </c>
      <c r="N223" t="s">
        <v>122</v>
      </c>
      <c r="O223" t="s">
        <v>427</v>
      </c>
      <c r="P223" t="str">
        <f>HYPERLINK("http://vk.com/club124657642")</f>
        <v>http://vk.com/club124657642</v>
      </c>
      <c r="Q223">
        <v>15373</v>
      </c>
      <c r="R223" t="s">
        <v>124</v>
      </c>
      <c r="S223" t="s">
        <v>125</v>
      </c>
      <c r="T223" t="s">
        <v>137</v>
      </c>
      <c r="U223" t="s">
        <v>137</v>
      </c>
      <c r="AM223" t="s">
        <v>129</v>
      </c>
      <c r="AN223" t="s">
        <v>130</v>
      </c>
      <c r="AP223" t="s">
        <v>41</v>
      </c>
      <c r="AZ223" t="s">
        <v>51</v>
      </c>
      <c r="BA223" t="s">
        <v>52</v>
      </c>
      <c r="BQ223" t="s">
        <v>68</v>
      </c>
    </row>
    <row r="224" spans="1:69" x14ac:dyDescent="0.2">
      <c r="A224" t="s">
        <v>748</v>
      </c>
      <c r="B224" t="s">
        <v>1130</v>
      </c>
      <c r="C224" t="s">
        <v>1131</v>
      </c>
      <c r="D224" t="s">
        <v>215</v>
      </c>
      <c r="E224" t="s">
        <v>1132</v>
      </c>
      <c r="F224" t="s">
        <v>118</v>
      </c>
      <c r="G224" t="str">
        <f>HYPERLINK("https://vk.com/wall-27863223_292439?reply=292541")</f>
        <v>https://vk.com/wall-27863223_292439?reply=292541</v>
      </c>
      <c r="H224" t="s">
        <v>119</v>
      </c>
      <c r="I224" t="s">
        <v>269</v>
      </c>
      <c r="J224" t="str">
        <f>HYPERLINK("http://vk.com/id144566191")</f>
        <v>http://vk.com/id144566191</v>
      </c>
      <c r="K224">
        <v>378</v>
      </c>
      <c r="L224" t="s">
        <v>121</v>
      </c>
      <c r="N224" t="s">
        <v>122</v>
      </c>
      <c r="O224" t="s">
        <v>175</v>
      </c>
      <c r="P224" t="str">
        <f>HYPERLINK("http://vk.com/club27863223")</f>
        <v>http://vk.com/club27863223</v>
      </c>
      <c r="Q224">
        <v>134698</v>
      </c>
      <c r="R224" t="s">
        <v>124</v>
      </c>
      <c r="S224" t="s">
        <v>125</v>
      </c>
      <c r="W224">
        <v>0</v>
      </c>
      <c r="X224">
        <v>0</v>
      </c>
      <c r="AM224" t="s">
        <v>129</v>
      </c>
      <c r="AN224" t="s">
        <v>130</v>
      </c>
      <c r="AO224" t="s">
        <v>40</v>
      </c>
      <c r="AP224" t="s">
        <v>41</v>
      </c>
      <c r="AZ224" t="s">
        <v>51</v>
      </c>
      <c r="BA224" t="s">
        <v>52</v>
      </c>
    </row>
    <row r="225" spans="1:69" x14ac:dyDescent="0.2">
      <c r="A225" t="s">
        <v>748</v>
      </c>
      <c r="B225" t="s">
        <v>1133</v>
      </c>
      <c r="C225" t="s">
        <v>1134</v>
      </c>
      <c r="D225" t="s">
        <v>885</v>
      </c>
      <c r="E225" t="s">
        <v>1135</v>
      </c>
      <c r="F225" t="s">
        <v>118</v>
      </c>
      <c r="G225" t="str">
        <f>HYPERLINK("https://vk.com/wall-27863223_292520?w=wall-27863223_292520_r292538")</f>
        <v>https://vk.com/wall-27863223_292520?w=wall-27863223_292520_r292538</v>
      </c>
      <c r="H225" t="s">
        <v>119</v>
      </c>
      <c r="I225" t="s">
        <v>1108</v>
      </c>
      <c r="J225" t="str">
        <f>HYPERLINK("http://vk.com/id270654753")</f>
        <v>http://vk.com/id270654753</v>
      </c>
      <c r="K225">
        <v>149</v>
      </c>
      <c r="L225" t="s">
        <v>121</v>
      </c>
      <c r="M225">
        <v>45</v>
      </c>
      <c r="N225" t="s">
        <v>122</v>
      </c>
      <c r="O225" t="s">
        <v>175</v>
      </c>
      <c r="P225" t="str">
        <f>HYPERLINK("http://vk.com/club27863223")</f>
        <v>http://vk.com/club27863223</v>
      </c>
      <c r="Q225">
        <v>134698</v>
      </c>
      <c r="R225" t="s">
        <v>124</v>
      </c>
      <c r="S225" t="s">
        <v>125</v>
      </c>
      <c r="W225">
        <v>0</v>
      </c>
      <c r="X225">
        <v>0</v>
      </c>
      <c r="AM225" t="s">
        <v>129</v>
      </c>
      <c r="AN225" t="s">
        <v>130</v>
      </c>
      <c r="AP225" t="s">
        <v>41</v>
      </c>
      <c r="AU225" t="s">
        <v>46</v>
      </c>
      <c r="AZ225" t="s">
        <v>51</v>
      </c>
      <c r="BA225" t="s">
        <v>52</v>
      </c>
    </row>
    <row r="226" spans="1:69" x14ac:dyDescent="0.2">
      <c r="A226" t="s">
        <v>748</v>
      </c>
      <c r="B226" t="s">
        <v>1136</v>
      </c>
      <c r="C226" t="s">
        <v>1137</v>
      </c>
      <c r="D226" t="s">
        <v>885</v>
      </c>
      <c r="E226" t="s">
        <v>1138</v>
      </c>
      <c r="F226" t="s">
        <v>118</v>
      </c>
      <c r="G226" t="str">
        <f>HYPERLINK("https://vk.com/wall-27863223_292520?w=wall-27863223_292520_r292536")</f>
        <v>https://vk.com/wall-27863223_292520?w=wall-27863223_292520_r292536</v>
      </c>
      <c r="H226" t="s">
        <v>228</v>
      </c>
      <c r="I226" t="s">
        <v>1108</v>
      </c>
      <c r="J226" t="str">
        <f>HYPERLINK("http://vk.com/id270654753")</f>
        <v>http://vk.com/id270654753</v>
      </c>
      <c r="K226">
        <v>149</v>
      </c>
      <c r="L226" t="s">
        <v>121</v>
      </c>
      <c r="M226">
        <v>45</v>
      </c>
      <c r="N226" t="s">
        <v>122</v>
      </c>
      <c r="O226" t="s">
        <v>175</v>
      </c>
      <c r="P226" t="str">
        <f>HYPERLINK("http://vk.com/club27863223")</f>
        <v>http://vk.com/club27863223</v>
      </c>
      <c r="Q226">
        <v>134698</v>
      </c>
      <c r="R226" t="s">
        <v>124</v>
      </c>
      <c r="S226" t="s">
        <v>125</v>
      </c>
      <c r="W226">
        <v>0</v>
      </c>
      <c r="X226">
        <v>0</v>
      </c>
      <c r="AM226" t="s">
        <v>129</v>
      </c>
      <c r="AN226" t="s">
        <v>130</v>
      </c>
      <c r="AP226" t="s">
        <v>41</v>
      </c>
      <c r="AU226" t="s">
        <v>46</v>
      </c>
      <c r="AZ226" t="s">
        <v>51</v>
      </c>
      <c r="BA226" t="s">
        <v>52</v>
      </c>
    </row>
    <row r="227" spans="1:69" x14ac:dyDescent="0.2">
      <c r="A227" t="s">
        <v>748</v>
      </c>
      <c r="B227" t="s">
        <v>1139</v>
      </c>
      <c r="C227" t="s">
        <v>1140</v>
      </c>
      <c r="D227" t="s">
        <v>1141</v>
      </c>
      <c r="E227" t="s">
        <v>1142</v>
      </c>
      <c r="F227" t="s">
        <v>180</v>
      </c>
      <c r="G227" t="str">
        <f>HYPERLINK("https://www.ozon.ru/context/detail/id/240888980/#63118445")</f>
        <v>https://www.ozon.ru/context/detail/id/240888980/#63118445</v>
      </c>
      <c r="H227" t="s">
        <v>181</v>
      </c>
      <c r="I227" t="s">
        <v>1143</v>
      </c>
      <c r="J227" t="str">
        <f>HYPERLINK("https://www.ozon.ru/context/client_opinion/ClientGuid/12e48fd6-3d3f-4286-bf30-c1b801210b83/")</f>
        <v>https://www.ozon.ru/context/client_opinion/ClientGuid/12e48fd6-3d3f-4286-bf30-c1b801210b83/</v>
      </c>
      <c r="L227" t="s">
        <v>151</v>
      </c>
      <c r="N227" t="s">
        <v>183</v>
      </c>
      <c r="O227" t="s">
        <v>1141</v>
      </c>
      <c r="P227" t="str">
        <f>HYPERLINK("https://www.ozon.ru/context/detail/id/240888980/")</f>
        <v>https://www.ozon.ru/context/detail/id/240888980/</v>
      </c>
      <c r="R227" t="s">
        <v>184</v>
      </c>
      <c r="S227" t="s">
        <v>125</v>
      </c>
      <c r="W227">
        <v>0</v>
      </c>
      <c r="X227">
        <v>0</v>
      </c>
      <c r="AH227">
        <v>5</v>
      </c>
      <c r="AJ227" t="s">
        <v>1144</v>
      </c>
      <c r="AK227" t="s">
        <v>129</v>
      </c>
      <c r="AL227" t="str">
        <f>HYPERLINK("https://cdn1.ozone.ru/s3/rp-photo-3/b9b83b6f-62a8-4e18-b4d4-fd0f223d96e0.jpeg")</f>
        <v>https://cdn1.ozone.ru/s3/rp-photo-3/b9b83b6f-62a8-4e18-b4d4-fd0f223d96e0.jpeg</v>
      </c>
      <c r="AM227" t="s">
        <v>129</v>
      </c>
      <c r="AN227" t="s">
        <v>130</v>
      </c>
      <c r="AP227" t="s">
        <v>41</v>
      </c>
      <c r="AZ227" t="s">
        <v>51</v>
      </c>
      <c r="BA227" t="s">
        <v>52</v>
      </c>
      <c r="BK227" t="s">
        <v>62</v>
      </c>
      <c r="BL227" t="s">
        <v>63</v>
      </c>
    </row>
    <row r="228" spans="1:69" x14ac:dyDescent="0.2">
      <c r="A228" t="s">
        <v>748</v>
      </c>
      <c r="B228" t="s">
        <v>1145</v>
      </c>
      <c r="C228" t="s">
        <v>1137</v>
      </c>
      <c r="D228" t="s">
        <v>885</v>
      </c>
      <c r="E228" t="s">
        <v>1146</v>
      </c>
      <c r="F228" t="s">
        <v>118</v>
      </c>
      <c r="G228" t="str">
        <f>HYPERLINK("https://vk.com/wall-27863223_292520?w=wall-27863223_292520_r292534")</f>
        <v>https://vk.com/wall-27863223_292520?w=wall-27863223_292520_r292534</v>
      </c>
      <c r="H228" t="s">
        <v>228</v>
      </c>
      <c r="I228" t="s">
        <v>1108</v>
      </c>
      <c r="J228" t="str">
        <f>HYPERLINK("http://vk.com/id270654753")</f>
        <v>http://vk.com/id270654753</v>
      </c>
      <c r="K228">
        <v>149</v>
      </c>
      <c r="L228" t="s">
        <v>121</v>
      </c>
      <c r="M228">
        <v>45</v>
      </c>
      <c r="N228" t="s">
        <v>122</v>
      </c>
      <c r="O228" t="s">
        <v>175</v>
      </c>
      <c r="P228" t="str">
        <f>HYPERLINK("http://vk.com/club27863223")</f>
        <v>http://vk.com/club27863223</v>
      </c>
      <c r="Q228">
        <v>134698</v>
      </c>
      <c r="R228" t="s">
        <v>124</v>
      </c>
      <c r="S228" t="s">
        <v>125</v>
      </c>
      <c r="W228">
        <v>0</v>
      </c>
      <c r="X228">
        <v>0</v>
      </c>
      <c r="AM228" t="s">
        <v>129</v>
      </c>
      <c r="AN228" t="s">
        <v>130</v>
      </c>
      <c r="AP228" t="s">
        <v>41</v>
      </c>
      <c r="AU228" t="s">
        <v>46</v>
      </c>
      <c r="AZ228" t="s">
        <v>51</v>
      </c>
      <c r="BA228" t="s">
        <v>52</v>
      </c>
    </row>
    <row r="229" spans="1:69" x14ac:dyDescent="0.2">
      <c r="A229" t="s">
        <v>748</v>
      </c>
      <c r="B229" t="s">
        <v>1147</v>
      </c>
      <c r="C229" t="s">
        <v>1148</v>
      </c>
      <c r="D229" t="s">
        <v>215</v>
      </c>
      <c r="E229" t="s">
        <v>1149</v>
      </c>
      <c r="F229" t="s">
        <v>118</v>
      </c>
      <c r="G229" t="str">
        <f>HYPERLINK("https://vk.com/wall-27863223_292439?reply=292533")</f>
        <v>https://vk.com/wall-27863223_292439?reply=292533</v>
      </c>
      <c r="H229" t="s">
        <v>119</v>
      </c>
      <c r="I229" t="s">
        <v>1150</v>
      </c>
      <c r="J229" t="str">
        <f>HYPERLINK("http://vk.com/id59648")</f>
        <v>http://vk.com/id59648</v>
      </c>
      <c r="K229">
        <v>835</v>
      </c>
      <c r="L229" t="s">
        <v>151</v>
      </c>
      <c r="M229">
        <v>36</v>
      </c>
      <c r="N229" t="s">
        <v>122</v>
      </c>
      <c r="O229" t="s">
        <v>175</v>
      </c>
      <c r="P229" t="str">
        <f>HYPERLINK("http://vk.com/club27863223")</f>
        <v>http://vk.com/club27863223</v>
      </c>
      <c r="Q229">
        <v>134698</v>
      </c>
      <c r="R229" t="s">
        <v>124</v>
      </c>
      <c r="S229" t="s">
        <v>125</v>
      </c>
      <c r="T229" t="s">
        <v>137</v>
      </c>
      <c r="U229" t="s">
        <v>137</v>
      </c>
      <c r="W229">
        <v>0</v>
      </c>
      <c r="X229">
        <v>0</v>
      </c>
      <c r="AM229" t="s">
        <v>129</v>
      </c>
      <c r="AN229" t="s">
        <v>130</v>
      </c>
      <c r="AO229" t="s">
        <v>40</v>
      </c>
      <c r="AP229" t="s">
        <v>41</v>
      </c>
      <c r="AZ229" t="s">
        <v>51</v>
      </c>
      <c r="BA229" t="s">
        <v>52</v>
      </c>
    </row>
    <row r="230" spans="1:69" x14ac:dyDescent="0.2">
      <c r="A230" t="s">
        <v>748</v>
      </c>
      <c r="B230" t="s">
        <v>1151</v>
      </c>
      <c r="C230" t="s">
        <v>1152</v>
      </c>
      <c r="D230" t="s">
        <v>215</v>
      </c>
      <c r="E230" t="s">
        <v>1084</v>
      </c>
      <c r="F230" t="s">
        <v>118</v>
      </c>
      <c r="G230" t="str">
        <f>HYPERLINK("https://vk.com/wall-27863223_292439?reply=292532")</f>
        <v>https://vk.com/wall-27863223_292439?reply=292532</v>
      </c>
      <c r="H230" t="s">
        <v>119</v>
      </c>
      <c r="I230" t="s">
        <v>211</v>
      </c>
      <c r="J230" t="str">
        <f>HYPERLINK("http://vk.com/id69897514")</f>
        <v>http://vk.com/id69897514</v>
      </c>
      <c r="K230">
        <v>1088</v>
      </c>
      <c r="L230" t="s">
        <v>151</v>
      </c>
      <c r="N230" t="s">
        <v>122</v>
      </c>
      <c r="O230" t="s">
        <v>175</v>
      </c>
      <c r="P230" t="str">
        <f>HYPERLINK("http://vk.com/club27863223")</f>
        <v>http://vk.com/club27863223</v>
      </c>
      <c r="Q230">
        <v>134698</v>
      </c>
      <c r="R230" t="s">
        <v>124</v>
      </c>
      <c r="S230" t="s">
        <v>125</v>
      </c>
      <c r="T230" t="s">
        <v>212</v>
      </c>
      <c r="U230" t="s">
        <v>213</v>
      </c>
      <c r="W230">
        <v>0</v>
      </c>
      <c r="X230">
        <v>0</v>
      </c>
      <c r="AM230" t="s">
        <v>129</v>
      </c>
      <c r="AN230" t="s">
        <v>130</v>
      </c>
      <c r="AO230" t="s">
        <v>40</v>
      </c>
      <c r="AP230" t="s">
        <v>41</v>
      </c>
      <c r="AZ230" t="s">
        <v>51</v>
      </c>
      <c r="BA230" t="s">
        <v>52</v>
      </c>
    </row>
    <row r="231" spans="1:69" x14ac:dyDescent="0.2">
      <c r="A231" t="s">
        <v>748</v>
      </c>
      <c r="B231" t="s">
        <v>1153</v>
      </c>
      <c r="C231" t="s">
        <v>1154</v>
      </c>
      <c r="D231" t="s">
        <v>1155</v>
      </c>
      <c r="E231" t="s">
        <v>1156</v>
      </c>
      <c r="F231" t="s">
        <v>118</v>
      </c>
      <c r="G231" t="str">
        <f>HYPERLINK("https://www.youtube.com/watch?v=rmX0piks0kI&amp;lc=UgwlDEQnf6ObeC-HHrJ4AaABAg.9QPXSQ_hd489QP_3IITgMq")</f>
        <v>https://www.youtube.com/watch?v=rmX0piks0kI&amp;lc=UgwlDEQnf6ObeC-HHrJ4AaABAg.9QPXSQ_hd489QP_3IITgMq</v>
      </c>
      <c r="H231" t="s">
        <v>119</v>
      </c>
      <c r="I231" t="s">
        <v>1157</v>
      </c>
      <c r="J231" t="str">
        <f>HYPERLINK("https://www.youtube.com/channel/UCQ7Ed-0C9ThTnhEK-DAre8w")</f>
        <v>https://www.youtube.com/channel/UCQ7Ed-0C9ThTnhEK-DAre8w</v>
      </c>
      <c r="K231">
        <v>73</v>
      </c>
      <c r="N231" t="s">
        <v>248</v>
      </c>
      <c r="O231" t="s">
        <v>1157</v>
      </c>
      <c r="P231" t="str">
        <f>HYPERLINK("https://www.youtube.com/channel/UCQ7Ed-0C9ThTnhEK-DAre8w")</f>
        <v>https://www.youtube.com/channel/UCQ7Ed-0C9ThTnhEK-DAre8w</v>
      </c>
      <c r="Q231">
        <v>73</v>
      </c>
      <c r="R231" t="s">
        <v>124</v>
      </c>
      <c r="S231" t="s">
        <v>125</v>
      </c>
      <c r="W231">
        <v>0</v>
      </c>
      <c r="X231">
        <v>0</v>
      </c>
      <c r="AM231" t="s">
        <v>129</v>
      </c>
      <c r="AN231" t="s">
        <v>130</v>
      </c>
      <c r="AP231" t="s">
        <v>41</v>
      </c>
      <c r="AW231" t="s">
        <v>48</v>
      </c>
      <c r="AZ231" t="s">
        <v>51</v>
      </c>
      <c r="BA231" t="s">
        <v>52</v>
      </c>
    </row>
    <row r="232" spans="1:69" x14ac:dyDescent="0.2">
      <c r="A232" t="s">
        <v>748</v>
      </c>
      <c r="B232" t="s">
        <v>1153</v>
      </c>
      <c r="C232" t="s">
        <v>1158</v>
      </c>
      <c r="D232" t="s">
        <v>332</v>
      </c>
      <c r="E232" t="s">
        <v>1159</v>
      </c>
      <c r="F232" t="s">
        <v>180</v>
      </c>
      <c r="G232" t="str">
        <f>HYPERLINK("https://telesputnik.ru/forum/viewtopic.php?f=36&amp;t=42382&amp;start=37840#p2482956")</f>
        <v>https://telesputnik.ru/forum/viewtopic.php?f=36&amp;t=42382&amp;start=37840#p2482956</v>
      </c>
      <c r="H232" t="s">
        <v>119</v>
      </c>
      <c r="I232" t="s">
        <v>1160</v>
      </c>
      <c r="J232" t="str">
        <f>HYPERLINK("https://telesputnik.ru/forum/memberlist.php?mode=viewprofile&amp;u=304630")</f>
        <v>https://telesputnik.ru/forum/memberlist.php?mode=viewprofile&amp;u=304630</v>
      </c>
      <c r="L232" t="s">
        <v>121</v>
      </c>
      <c r="N232" t="s">
        <v>335</v>
      </c>
      <c r="O232" t="s">
        <v>336</v>
      </c>
      <c r="P232" t="str">
        <f>HYPERLINK("https://telesputnik.ru/forum/viewforum.php?f=11")</f>
        <v>https://telesputnik.ru/forum/viewforum.php?f=11</v>
      </c>
      <c r="R232" t="s">
        <v>295</v>
      </c>
      <c r="S232" t="s">
        <v>125</v>
      </c>
      <c r="T232" t="s">
        <v>667</v>
      </c>
      <c r="U232" t="s">
        <v>668</v>
      </c>
      <c r="AM232" t="s">
        <v>129</v>
      </c>
      <c r="AN232" t="s">
        <v>130</v>
      </c>
      <c r="AP232" t="s">
        <v>41</v>
      </c>
      <c r="AU232" t="s">
        <v>46</v>
      </c>
      <c r="AY232" t="s">
        <v>50</v>
      </c>
      <c r="AZ232" t="s">
        <v>51</v>
      </c>
      <c r="BA232" t="s">
        <v>52</v>
      </c>
    </row>
    <row r="233" spans="1:69" x14ac:dyDescent="0.2">
      <c r="A233" t="s">
        <v>748</v>
      </c>
      <c r="B233" t="s">
        <v>1161</v>
      </c>
      <c r="C233" t="s">
        <v>1162</v>
      </c>
      <c r="D233" t="s">
        <v>1163</v>
      </c>
      <c r="E233" t="s">
        <v>1164</v>
      </c>
      <c r="F233" t="s">
        <v>118</v>
      </c>
      <c r="G233" t="str">
        <f>HYPERLINK("https://vk.com/wall-62076420_735363?reply=735459")</f>
        <v>https://vk.com/wall-62076420_735363?reply=735459</v>
      </c>
      <c r="H233" t="s">
        <v>119</v>
      </c>
      <c r="I233" t="s">
        <v>1165</v>
      </c>
      <c r="J233" t="str">
        <f>HYPERLINK("http://vk.com/id127696091")</f>
        <v>http://vk.com/id127696091</v>
      </c>
      <c r="K233">
        <v>132</v>
      </c>
      <c r="L233" t="s">
        <v>151</v>
      </c>
      <c r="N233" t="s">
        <v>122</v>
      </c>
      <c r="O233" t="s">
        <v>1166</v>
      </c>
      <c r="P233" t="str">
        <f>HYPERLINK("http://vk.com/club62076420")</f>
        <v>http://vk.com/club62076420</v>
      </c>
      <c r="Q233">
        <v>26393</v>
      </c>
      <c r="R233" t="s">
        <v>124</v>
      </c>
      <c r="S233" t="s">
        <v>125</v>
      </c>
      <c r="AM233" t="s">
        <v>129</v>
      </c>
      <c r="AN233" t="s">
        <v>130</v>
      </c>
      <c r="AP233" t="s">
        <v>41</v>
      </c>
      <c r="AZ233" t="s">
        <v>51</v>
      </c>
      <c r="BB233" t="s">
        <v>53</v>
      </c>
    </row>
    <row r="234" spans="1:69" x14ac:dyDescent="0.2">
      <c r="A234" t="s">
        <v>748</v>
      </c>
      <c r="B234" t="s">
        <v>1161</v>
      </c>
      <c r="C234" t="s">
        <v>1167</v>
      </c>
      <c r="D234" t="s">
        <v>1168</v>
      </c>
      <c r="E234" t="s">
        <v>1169</v>
      </c>
      <c r="F234" t="s">
        <v>180</v>
      </c>
      <c r="G234" t="str">
        <f>HYPERLINK("https://www.sostav.ru/publication/platnoe-tv-49663.html")</f>
        <v>https://www.sostav.ru/publication/platnoe-tv-49663.html</v>
      </c>
      <c r="H234" t="s">
        <v>119</v>
      </c>
      <c r="N234" t="s">
        <v>1170</v>
      </c>
      <c r="R234" t="s">
        <v>785</v>
      </c>
      <c r="S234" t="s">
        <v>125</v>
      </c>
      <c r="AJ234" t="s">
        <v>1171</v>
      </c>
      <c r="AK234" t="s">
        <v>1053</v>
      </c>
      <c r="AL234" t="str">
        <f>HYPERLINK("https://www.sostav.ru/images/news/2021/07/30/preview/49663_social.jpg?rnd=746751")</f>
        <v>https://www.sostav.ru/images/news/2021/07/30/preview/49663_social.jpg?rnd=746751</v>
      </c>
      <c r="AM234" t="s">
        <v>129</v>
      </c>
      <c r="AN234" t="s">
        <v>130</v>
      </c>
      <c r="AV234" t="s">
        <v>47</v>
      </c>
    </row>
    <row r="235" spans="1:69" x14ac:dyDescent="0.2">
      <c r="A235" t="s">
        <v>748</v>
      </c>
      <c r="B235" t="s">
        <v>1172</v>
      </c>
      <c r="C235" t="s">
        <v>1154</v>
      </c>
      <c r="D235" t="s">
        <v>1155</v>
      </c>
      <c r="E235" t="s">
        <v>1173</v>
      </c>
      <c r="F235" t="s">
        <v>118</v>
      </c>
      <c r="G235" t="str">
        <f>HYPERLINK("https://www.youtube.com/watch?v=rmX0piks0kI&amp;lc=UgwsRlB-LsKeb1xQWg14AaABAg.9QPFI2LaMAm9QPTIJA_ZnK")</f>
        <v>https://www.youtube.com/watch?v=rmX0piks0kI&amp;lc=UgwsRlB-LsKeb1xQWg14AaABAg.9QPFI2LaMAm9QPTIJA_ZnK</v>
      </c>
      <c r="H235" t="s">
        <v>119</v>
      </c>
      <c r="I235" t="s">
        <v>1157</v>
      </c>
      <c r="J235" t="str">
        <f>HYPERLINK("https://www.youtube.com/channel/UCQ7Ed-0C9ThTnhEK-DAre8w")</f>
        <v>https://www.youtube.com/channel/UCQ7Ed-0C9ThTnhEK-DAre8w</v>
      </c>
      <c r="K235">
        <v>73</v>
      </c>
      <c r="N235" t="s">
        <v>248</v>
      </c>
      <c r="O235" t="s">
        <v>1157</v>
      </c>
      <c r="P235" t="str">
        <f>HYPERLINK("https://www.youtube.com/channel/UCQ7Ed-0C9ThTnhEK-DAre8w")</f>
        <v>https://www.youtube.com/channel/UCQ7Ed-0C9ThTnhEK-DAre8w</v>
      </c>
      <c r="Q235">
        <v>73</v>
      </c>
      <c r="R235" t="s">
        <v>124</v>
      </c>
      <c r="S235" t="s">
        <v>125</v>
      </c>
      <c r="W235">
        <v>0</v>
      </c>
      <c r="X235">
        <v>0</v>
      </c>
      <c r="AM235" t="s">
        <v>129</v>
      </c>
      <c r="AN235" t="s">
        <v>130</v>
      </c>
      <c r="AP235" t="s">
        <v>41</v>
      </c>
      <c r="AW235" t="s">
        <v>48</v>
      </c>
      <c r="AY235" t="s">
        <v>50</v>
      </c>
      <c r="AZ235" t="s">
        <v>51</v>
      </c>
      <c r="BB235" t="s">
        <v>53</v>
      </c>
    </row>
    <row r="236" spans="1:69" x14ac:dyDescent="0.2">
      <c r="A236" t="s">
        <v>748</v>
      </c>
      <c r="B236" t="s">
        <v>1174</v>
      </c>
      <c r="C236" t="s">
        <v>1175</v>
      </c>
      <c r="D236" t="s">
        <v>1176</v>
      </c>
      <c r="E236" t="s">
        <v>1177</v>
      </c>
      <c r="F236" t="s">
        <v>180</v>
      </c>
      <c r="G236" t="str">
        <f>HYPERLINK("https://www.bankodrom.ru/novosti/328703/")</f>
        <v>https://www.bankodrom.ru/novosti/328703/</v>
      </c>
      <c r="H236" t="s">
        <v>119</v>
      </c>
      <c r="N236" t="s">
        <v>1178</v>
      </c>
      <c r="R236" t="s">
        <v>785</v>
      </c>
      <c r="S236" t="s">
        <v>125</v>
      </c>
      <c r="T236" t="s">
        <v>153</v>
      </c>
      <c r="AM236" t="s">
        <v>129</v>
      </c>
      <c r="AN236" t="s">
        <v>130</v>
      </c>
      <c r="AV236" t="s">
        <v>47</v>
      </c>
    </row>
    <row r="237" spans="1:69" x14ac:dyDescent="0.2">
      <c r="A237" t="s">
        <v>748</v>
      </c>
      <c r="B237" t="s">
        <v>1174</v>
      </c>
      <c r="C237" t="s">
        <v>1179</v>
      </c>
      <c r="D237" t="s">
        <v>1180</v>
      </c>
      <c r="E237" t="s">
        <v>1181</v>
      </c>
      <c r="F237" t="s">
        <v>180</v>
      </c>
      <c r="G237" t="str">
        <f>HYPERLINK("https://www.interfax.ru/business/781604")</f>
        <v>https://www.interfax.ru/business/781604</v>
      </c>
      <c r="H237" t="s">
        <v>119</v>
      </c>
      <c r="N237" t="s">
        <v>1182</v>
      </c>
      <c r="R237" t="s">
        <v>785</v>
      </c>
      <c r="S237" t="s">
        <v>125</v>
      </c>
      <c r="T237" t="s">
        <v>169</v>
      </c>
      <c r="U237" t="s">
        <v>169</v>
      </c>
      <c r="AJ237" t="s">
        <v>1183</v>
      </c>
      <c r="AK237" t="s">
        <v>453</v>
      </c>
      <c r="AL237" t="str">
        <f>HYPERLINK("https://www.interfax.ru/aspimg/781604.png")</f>
        <v>https://www.interfax.ru/aspimg/781604.png</v>
      </c>
      <c r="AM237" t="s">
        <v>129</v>
      </c>
      <c r="AN237" t="s">
        <v>130</v>
      </c>
      <c r="AV237" t="s">
        <v>47</v>
      </c>
    </row>
    <row r="238" spans="1:69" x14ac:dyDescent="0.2">
      <c r="A238" t="s">
        <v>748</v>
      </c>
      <c r="B238" t="s">
        <v>1184</v>
      </c>
      <c r="C238" t="s">
        <v>1185</v>
      </c>
      <c r="D238" t="s">
        <v>1186</v>
      </c>
      <c r="E238" t="s">
        <v>1187</v>
      </c>
      <c r="F238" t="s">
        <v>180</v>
      </c>
      <c r="G238" t="str">
        <f>HYPERLINK("https://4pda.to/forum/index.php?showtopic=916407&amp;st=3100#entry108306385")</f>
        <v>https://4pda.to/forum/index.php?showtopic=916407&amp;st=3100#entry108306385</v>
      </c>
      <c r="H238" t="s">
        <v>119</v>
      </c>
      <c r="I238" t="s">
        <v>1188</v>
      </c>
      <c r="J238" t="str">
        <f>HYPERLINK("https://4pda.to/forum/index.php?showuser=4283264")</f>
        <v>https://4pda.to/forum/index.php?showuser=4283264</v>
      </c>
      <c r="N238" t="s">
        <v>293</v>
      </c>
      <c r="O238" t="s">
        <v>1189</v>
      </c>
      <c r="P238" t="str">
        <f>HYPERLINK("https://4pda.to/forum/index.php?showforum=319")</f>
        <v>https://4pda.to/forum/index.php?showforum=319</v>
      </c>
      <c r="R238" t="s">
        <v>295</v>
      </c>
      <c r="S238" t="s">
        <v>125</v>
      </c>
      <c r="AM238" t="s">
        <v>129</v>
      </c>
      <c r="AN238" t="s">
        <v>130</v>
      </c>
      <c r="AP238" t="s">
        <v>41</v>
      </c>
      <c r="AZ238" t="s">
        <v>51</v>
      </c>
      <c r="BA238" t="s">
        <v>52</v>
      </c>
      <c r="BQ238" t="s">
        <v>68</v>
      </c>
    </row>
    <row r="239" spans="1:69" x14ac:dyDescent="0.2">
      <c r="A239" t="s">
        <v>748</v>
      </c>
      <c r="B239" t="s">
        <v>1190</v>
      </c>
      <c r="C239" t="s">
        <v>1185</v>
      </c>
      <c r="D239" t="s">
        <v>1186</v>
      </c>
      <c r="E239" t="s">
        <v>1191</v>
      </c>
      <c r="F239" t="s">
        <v>180</v>
      </c>
      <c r="G239" t="str">
        <f>HYPERLINK("https://4pda.to/forum/index.php?showtopic=916407&amp;st=3100#entry108306220")</f>
        <v>https://4pda.to/forum/index.php?showtopic=916407&amp;st=3100#entry108306220</v>
      </c>
      <c r="H239" t="s">
        <v>119</v>
      </c>
      <c r="I239" t="s">
        <v>1188</v>
      </c>
      <c r="J239" t="str">
        <f>HYPERLINK("https://4pda.to/forum/index.php?showuser=4283264")</f>
        <v>https://4pda.to/forum/index.php?showuser=4283264</v>
      </c>
      <c r="N239" t="s">
        <v>293</v>
      </c>
      <c r="O239" t="s">
        <v>1189</v>
      </c>
      <c r="P239" t="str">
        <f>HYPERLINK("https://4pda.to/forum/index.php?showforum=319")</f>
        <v>https://4pda.to/forum/index.php?showforum=319</v>
      </c>
      <c r="R239" t="s">
        <v>295</v>
      </c>
      <c r="S239" t="s">
        <v>125</v>
      </c>
      <c r="AM239" t="s">
        <v>129</v>
      </c>
      <c r="AN239" t="s">
        <v>130</v>
      </c>
      <c r="AP239" t="s">
        <v>41</v>
      </c>
      <c r="AZ239" t="s">
        <v>51</v>
      </c>
      <c r="BA239" t="s">
        <v>52</v>
      </c>
      <c r="BQ239" t="s">
        <v>68</v>
      </c>
    </row>
    <row r="240" spans="1:69" x14ac:dyDescent="0.2">
      <c r="A240" t="s">
        <v>748</v>
      </c>
      <c r="B240" t="s">
        <v>1192</v>
      </c>
      <c r="C240" t="s">
        <v>1193</v>
      </c>
      <c r="D240" t="s">
        <v>215</v>
      </c>
      <c r="E240" t="s">
        <v>1084</v>
      </c>
      <c r="F240" t="s">
        <v>118</v>
      </c>
      <c r="G240" t="str">
        <f>HYPERLINK("https://vk.com/wall-27863223_292439?reply=292531")</f>
        <v>https://vk.com/wall-27863223_292439?reply=292531</v>
      </c>
      <c r="H240" t="s">
        <v>119</v>
      </c>
      <c r="I240" t="s">
        <v>641</v>
      </c>
      <c r="J240" t="str">
        <f>HYPERLINK("http://vk.com/id625372429")</f>
        <v>http://vk.com/id625372429</v>
      </c>
      <c r="K240">
        <v>1</v>
      </c>
      <c r="L240" t="s">
        <v>151</v>
      </c>
      <c r="M240">
        <v>30</v>
      </c>
      <c r="N240" t="s">
        <v>122</v>
      </c>
      <c r="O240" t="s">
        <v>175</v>
      </c>
      <c r="P240" t="str">
        <f>HYPERLINK("http://vk.com/club27863223")</f>
        <v>http://vk.com/club27863223</v>
      </c>
      <c r="Q240">
        <v>134698</v>
      </c>
      <c r="R240" t="s">
        <v>124</v>
      </c>
      <c r="W240">
        <v>0</v>
      </c>
      <c r="X240">
        <v>0</v>
      </c>
      <c r="AM240" t="s">
        <v>129</v>
      </c>
      <c r="AN240" t="s">
        <v>130</v>
      </c>
      <c r="AO240" t="s">
        <v>40</v>
      </c>
      <c r="AP240" t="s">
        <v>41</v>
      </c>
      <c r="AZ240" t="s">
        <v>51</v>
      </c>
      <c r="BA240" t="s">
        <v>52</v>
      </c>
    </row>
    <row r="241" spans="1:113" x14ac:dyDescent="0.2">
      <c r="A241" t="s">
        <v>748</v>
      </c>
      <c r="B241" t="s">
        <v>1194</v>
      </c>
      <c r="C241" t="s">
        <v>1154</v>
      </c>
      <c r="D241" t="s">
        <v>1155</v>
      </c>
      <c r="E241" t="s">
        <v>1195</v>
      </c>
      <c r="F241" t="s">
        <v>118</v>
      </c>
      <c r="G241" t="str">
        <f>HYPERLINK("https://www.youtube.com/watch?v=rmX0piks0kI&amp;lc=UgwsRlB-LsKeb1xQWg14AaABAg")</f>
        <v>https://www.youtube.com/watch?v=rmX0piks0kI&amp;lc=UgwsRlB-LsKeb1xQWg14AaABAg</v>
      </c>
      <c r="H241" t="s">
        <v>119</v>
      </c>
      <c r="I241" t="s">
        <v>804</v>
      </c>
      <c r="J241" t="str">
        <f>HYPERLINK("https://www.youtube.com/channel/UCxUS8j5fGcHtxp4ak-8JuSQ")</f>
        <v>https://www.youtube.com/channel/UCxUS8j5fGcHtxp4ak-8JuSQ</v>
      </c>
      <c r="K241">
        <v>0</v>
      </c>
      <c r="N241" t="s">
        <v>248</v>
      </c>
      <c r="O241" t="s">
        <v>1157</v>
      </c>
      <c r="P241" t="str">
        <f>HYPERLINK("https://www.youtube.com/channel/UCQ7Ed-0C9ThTnhEK-DAre8w")</f>
        <v>https://www.youtube.com/channel/UCQ7Ed-0C9ThTnhEK-DAre8w</v>
      </c>
      <c r="Q241">
        <v>73</v>
      </c>
      <c r="R241" t="s">
        <v>124</v>
      </c>
      <c r="S241" t="s">
        <v>125</v>
      </c>
      <c r="W241">
        <v>0</v>
      </c>
      <c r="X241">
        <v>0</v>
      </c>
      <c r="AE241">
        <v>1</v>
      </c>
      <c r="AM241" t="s">
        <v>129</v>
      </c>
      <c r="AN241" t="s">
        <v>130</v>
      </c>
      <c r="AP241" t="s">
        <v>41</v>
      </c>
      <c r="AZ241" t="s">
        <v>51</v>
      </c>
      <c r="BB241" t="s">
        <v>53</v>
      </c>
    </row>
    <row r="242" spans="1:113" x14ac:dyDescent="0.2">
      <c r="A242" t="s">
        <v>748</v>
      </c>
      <c r="B242" t="s">
        <v>1196</v>
      </c>
      <c r="C242" t="s">
        <v>1154</v>
      </c>
      <c r="D242" t="s">
        <v>1155</v>
      </c>
      <c r="E242" t="s">
        <v>1197</v>
      </c>
      <c r="F242" t="s">
        <v>118</v>
      </c>
      <c r="G242" t="str">
        <f>HYPERLINK("https://www.youtube.com/watch?v=rmX0piks0kI&amp;lc=UgyBf6kYxyJASG5reBp4AaABAg.9QP7H5A33PV9QPAM4dmHLF")</f>
        <v>https://www.youtube.com/watch?v=rmX0piks0kI&amp;lc=UgyBf6kYxyJASG5reBp4AaABAg.9QP7H5A33PV9QPAM4dmHLF</v>
      </c>
      <c r="H242" t="s">
        <v>119</v>
      </c>
      <c r="I242" t="s">
        <v>1157</v>
      </c>
      <c r="J242" t="str">
        <f>HYPERLINK("https://www.youtube.com/channel/UCQ7Ed-0C9ThTnhEK-DAre8w")</f>
        <v>https://www.youtube.com/channel/UCQ7Ed-0C9ThTnhEK-DAre8w</v>
      </c>
      <c r="K242">
        <v>73</v>
      </c>
      <c r="N242" t="s">
        <v>248</v>
      </c>
      <c r="O242" t="s">
        <v>1157</v>
      </c>
      <c r="P242" t="str">
        <f>HYPERLINK("https://www.youtube.com/channel/UCQ7Ed-0C9ThTnhEK-DAre8w")</f>
        <v>https://www.youtube.com/channel/UCQ7Ed-0C9ThTnhEK-DAre8w</v>
      </c>
      <c r="Q242">
        <v>73</v>
      </c>
      <c r="R242" t="s">
        <v>124</v>
      </c>
      <c r="S242" t="s">
        <v>125</v>
      </c>
      <c r="W242">
        <v>0</v>
      </c>
      <c r="X242">
        <v>0</v>
      </c>
      <c r="AM242" t="s">
        <v>129</v>
      </c>
      <c r="AN242" t="s">
        <v>130</v>
      </c>
      <c r="AP242" t="s">
        <v>41</v>
      </c>
      <c r="AZ242" t="s">
        <v>51</v>
      </c>
      <c r="BB242" t="s">
        <v>53</v>
      </c>
    </row>
    <row r="243" spans="1:113" x14ac:dyDescent="0.2">
      <c r="A243" t="s">
        <v>748</v>
      </c>
      <c r="B243" t="s">
        <v>1198</v>
      </c>
      <c r="C243" t="s">
        <v>1199</v>
      </c>
      <c r="D243" t="s">
        <v>1200</v>
      </c>
      <c r="E243" t="s">
        <v>1201</v>
      </c>
      <c r="F243" t="s">
        <v>118</v>
      </c>
      <c r="G243" t="str">
        <f>HYPERLINK("https://www.youtube.com/watch?v=NmyqSBOX3vg&amp;lc=UgxxXqvvZ6m3eZOKVLZ4AaABAg")</f>
        <v>https://www.youtube.com/watch?v=NmyqSBOX3vg&amp;lc=UgxxXqvvZ6m3eZOKVLZ4AaABAg</v>
      </c>
      <c r="H243" t="s">
        <v>119</v>
      </c>
      <c r="I243" t="s">
        <v>1202</v>
      </c>
      <c r="J243" t="str">
        <f>HYPERLINK("https://www.youtube.com/channel/UCEn_kpTZedLZSjdezMIRRpw")</f>
        <v>https://www.youtube.com/channel/UCEn_kpTZedLZSjdezMIRRpw</v>
      </c>
      <c r="K243">
        <v>2</v>
      </c>
      <c r="L243" t="s">
        <v>121</v>
      </c>
      <c r="N243" t="s">
        <v>248</v>
      </c>
      <c r="O243" t="s">
        <v>1203</v>
      </c>
      <c r="P243" t="str">
        <f>HYPERLINK("https://www.youtube.com/channel/UCzcVFkVFiG5syIuK7EQACcg")</f>
        <v>https://www.youtube.com/channel/UCzcVFkVFiG5syIuK7EQACcg</v>
      </c>
      <c r="Q243">
        <v>47500</v>
      </c>
      <c r="R243" t="s">
        <v>124</v>
      </c>
      <c r="S243" t="s">
        <v>125</v>
      </c>
      <c r="W243">
        <v>2</v>
      </c>
      <c r="X243">
        <v>2</v>
      </c>
      <c r="AE243">
        <v>0</v>
      </c>
      <c r="AM243" t="s">
        <v>129</v>
      </c>
      <c r="AN243" t="s">
        <v>130</v>
      </c>
      <c r="AP243" t="s">
        <v>41</v>
      </c>
      <c r="AT243" t="s">
        <v>45</v>
      </c>
      <c r="AW243" t="s">
        <v>48</v>
      </c>
      <c r="AZ243" t="s">
        <v>51</v>
      </c>
      <c r="BA243" t="s">
        <v>52</v>
      </c>
      <c r="BY243" t="s">
        <v>76</v>
      </c>
    </row>
    <row r="244" spans="1:113" x14ac:dyDescent="0.2">
      <c r="A244" t="s">
        <v>748</v>
      </c>
      <c r="B244" t="s">
        <v>1204</v>
      </c>
      <c r="C244" t="s">
        <v>1205</v>
      </c>
      <c r="D244" t="s">
        <v>1206</v>
      </c>
      <c r="E244" t="s">
        <v>1207</v>
      </c>
      <c r="F244" t="s">
        <v>180</v>
      </c>
      <c r="G244" t="str">
        <f>HYPERLINK("https://market.yandex.ru/product/490080071/reviews?id=135474324")</f>
        <v>https://market.yandex.ru/product/490080071/reviews?id=135474324</v>
      </c>
      <c r="H244" t="s">
        <v>181</v>
      </c>
      <c r="I244" t="s">
        <v>1208</v>
      </c>
      <c r="J244" t="str">
        <f>HYPERLINK("https://market.yandex.ru/user/emk5kem13p8crfdwvce8p8xhrm/reviews")</f>
        <v>https://market.yandex.ru/user/emk5kem13p8crfdwvce8p8xhrm/reviews</v>
      </c>
      <c r="L244" t="s">
        <v>121</v>
      </c>
      <c r="N244" t="s">
        <v>611</v>
      </c>
      <c r="O244" t="s">
        <v>1206</v>
      </c>
      <c r="P244" t="str">
        <f>HYPERLINK("https://market.yandex.ru/product/490080071")</f>
        <v>https://market.yandex.ru/product/490080071</v>
      </c>
      <c r="R244" t="s">
        <v>184</v>
      </c>
      <c r="S244" t="s">
        <v>125</v>
      </c>
      <c r="T244" t="s">
        <v>169</v>
      </c>
      <c r="U244" t="s">
        <v>169</v>
      </c>
      <c r="W244">
        <v>0</v>
      </c>
      <c r="X244">
        <v>0</v>
      </c>
      <c r="AH244">
        <v>5</v>
      </c>
      <c r="AM244" t="s">
        <v>129</v>
      </c>
      <c r="AN244" t="s">
        <v>130</v>
      </c>
      <c r="AP244" t="s">
        <v>41</v>
      </c>
      <c r="AT244" t="s">
        <v>45</v>
      </c>
      <c r="AZ244" t="s">
        <v>51</v>
      </c>
      <c r="BA244" t="s">
        <v>52</v>
      </c>
      <c r="BL244" t="s">
        <v>63</v>
      </c>
      <c r="BM244" t="s">
        <v>64</v>
      </c>
    </row>
    <row r="245" spans="1:113" x14ac:dyDescent="0.2">
      <c r="A245" t="s">
        <v>748</v>
      </c>
      <c r="B245" t="s">
        <v>1209</v>
      </c>
      <c r="C245" t="s">
        <v>1210</v>
      </c>
      <c r="D245" t="s">
        <v>1211</v>
      </c>
      <c r="E245" t="s">
        <v>1212</v>
      </c>
      <c r="F245" t="s">
        <v>180</v>
      </c>
      <c r="G245" t="str">
        <f>HYPERLINK("https://www.ozon.ru/context/detail/id/254490633/#63072791")</f>
        <v>https://www.ozon.ru/context/detail/id/254490633/#63072791</v>
      </c>
      <c r="H245" t="s">
        <v>181</v>
      </c>
      <c r="I245" t="s">
        <v>1213</v>
      </c>
      <c r="J245" t="str">
        <f>HYPERLINK("https://www.ozon.ru/context/client_opinion/ClientGuid/fad5d948-0270-410d-a919-84e712f4952c/")</f>
        <v>https://www.ozon.ru/context/client_opinion/ClientGuid/fad5d948-0270-410d-a919-84e712f4952c/</v>
      </c>
      <c r="L245" t="s">
        <v>151</v>
      </c>
      <c r="N245" t="s">
        <v>183</v>
      </c>
      <c r="O245" t="s">
        <v>1211</v>
      </c>
      <c r="P245" t="str">
        <f>HYPERLINK("https://www.ozon.ru/context/detail/id/254490633/")</f>
        <v>https://www.ozon.ru/context/detail/id/254490633/</v>
      </c>
      <c r="R245" t="s">
        <v>184</v>
      </c>
      <c r="S245" t="s">
        <v>125</v>
      </c>
      <c r="W245">
        <v>0</v>
      </c>
      <c r="X245">
        <v>0</v>
      </c>
      <c r="AH245">
        <v>5</v>
      </c>
      <c r="AM245" t="s">
        <v>129</v>
      </c>
      <c r="AN245" t="s">
        <v>130</v>
      </c>
      <c r="AP245" t="s">
        <v>41</v>
      </c>
      <c r="AT245" t="s">
        <v>45</v>
      </c>
      <c r="AZ245" t="s">
        <v>51</v>
      </c>
      <c r="BA245" t="s">
        <v>52</v>
      </c>
      <c r="BL245" t="s">
        <v>63</v>
      </c>
    </row>
    <row r="246" spans="1:113" x14ac:dyDescent="0.2">
      <c r="A246" t="s">
        <v>748</v>
      </c>
      <c r="B246" t="s">
        <v>742</v>
      </c>
      <c r="C246" t="s">
        <v>1214</v>
      </c>
      <c r="D246" t="s">
        <v>1215</v>
      </c>
      <c r="E246" t="s">
        <v>1216</v>
      </c>
      <c r="F246" t="s">
        <v>180</v>
      </c>
      <c r="G246" t="str">
        <f>HYPERLINK("https://tass.ru/ekonomika/12020727")</f>
        <v>https://tass.ru/ekonomika/12020727</v>
      </c>
      <c r="H246" t="s">
        <v>119</v>
      </c>
      <c r="N246" t="s">
        <v>1217</v>
      </c>
      <c r="R246" t="s">
        <v>785</v>
      </c>
      <c r="S246" t="s">
        <v>125</v>
      </c>
      <c r="AJ246" t="s">
        <v>1218</v>
      </c>
      <c r="AK246" t="s">
        <v>876</v>
      </c>
      <c r="AL246" t="str">
        <f>HYPERLINK("https://tass.ru/img/blocks/common/tass_logo_share_ru.png")</f>
        <v>https://tass.ru/img/blocks/common/tass_logo_share_ru.png</v>
      </c>
      <c r="AM246" t="s">
        <v>129</v>
      </c>
      <c r="AN246" t="s">
        <v>130</v>
      </c>
      <c r="AV246" t="s">
        <v>47</v>
      </c>
    </row>
    <row r="247" spans="1:113" x14ac:dyDescent="0.2">
      <c r="A247" t="s">
        <v>748</v>
      </c>
      <c r="B247" t="s">
        <v>1219</v>
      </c>
      <c r="C247" t="s">
        <v>1220</v>
      </c>
      <c r="D247" t="s">
        <v>204</v>
      </c>
      <c r="E247" t="s">
        <v>1221</v>
      </c>
      <c r="F247" t="s">
        <v>180</v>
      </c>
      <c r="G247" t="str">
        <f>HYPERLINK("https://play.google.com/store/apps/details?id=ru.iflex.android.a3colortv&amp;reviewId=gp:AOqpTOHw4vd5brzIFsi177Xr5pMM29plLUH6_SZeY8nQdS4n9F7rDvV7jsutnGo_QlkVAWdpAGOxZgRNJEIN_g")</f>
        <v>https://play.google.com/store/apps/details?id=ru.iflex.android.a3colortv&amp;reviewId=gp:AOqpTOHw4vd5brzIFsi177Xr5pMM29plLUH6_SZeY8nQdS4n9F7rDvV7jsutnGo_QlkVAWdpAGOxZgRNJEIN_g</v>
      </c>
      <c r="H247" t="s">
        <v>181</v>
      </c>
      <c r="I247" t="s">
        <v>1222</v>
      </c>
      <c r="J247" t="str">
        <f>HYPERLINK("https://plus.google.com/101154154653609447176")</f>
        <v>https://plus.google.com/101154154653609447176</v>
      </c>
      <c r="L247" t="s">
        <v>121</v>
      </c>
      <c r="N247" t="s">
        <v>207</v>
      </c>
      <c r="O247" t="s">
        <v>204</v>
      </c>
      <c r="P247" t="str">
        <f>HYPERLINK("https://play.google.com/store/apps/details?id=ru.iflex.android.a3colortv&amp;hl=ru")</f>
        <v>https://play.google.com/store/apps/details?id=ru.iflex.android.a3colortv&amp;hl=ru</v>
      </c>
      <c r="R247" t="s">
        <v>184</v>
      </c>
      <c r="S247" t="s">
        <v>125</v>
      </c>
      <c r="W247">
        <v>0</v>
      </c>
      <c r="X247">
        <v>0</v>
      </c>
      <c r="AH247">
        <v>5</v>
      </c>
      <c r="AM247" t="s">
        <v>129</v>
      </c>
      <c r="AN247" t="s">
        <v>130</v>
      </c>
      <c r="AP247" t="s">
        <v>41</v>
      </c>
      <c r="AZ247" t="s">
        <v>51</v>
      </c>
      <c r="BA247" t="s">
        <v>52</v>
      </c>
      <c r="BQ247" t="s">
        <v>68</v>
      </c>
    </row>
    <row r="248" spans="1:113" x14ac:dyDescent="0.2">
      <c r="A248" t="s">
        <v>748</v>
      </c>
      <c r="B248" t="s">
        <v>1223</v>
      </c>
      <c r="C248" t="s">
        <v>1224</v>
      </c>
      <c r="D248" t="s">
        <v>1225</v>
      </c>
      <c r="E248" t="s">
        <v>1226</v>
      </c>
      <c r="F248" t="s">
        <v>118</v>
      </c>
      <c r="G248" t="str">
        <f>HYPERLINK("https://vk.com/wall-59990444_510756?reply=510790")</f>
        <v>https://vk.com/wall-59990444_510756?reply=510790</v>
      </c>
      <c r="H248" t="s">
        <v>119</v>
      </c>
      <c r="I248" t="s">
        <v>1227</v>
      </c>
      <c r="J248" t="str">
        <f>HYPERLINK("http://vk.com/id367751978")</f>
        <v>http://vk.com/id367751978</v>
      </c>
      <c r="K248">
        <v>116</v>
      </c>
      <c r="L248" t="s">
        <v>121</v>
      </c>
      <c r="M248">
        <v>63</v>
      </c>
      <c r="N248" t="s">
        <v>122</v>
      </c>
      <c r="O248" t="s">
        <v>1228</v>
      </c>
      <c r="P248" t="str">
        <f>HYPERLINK("http://vk.com/club59990444")</f>
        <v>http://vk.com/club59990444</v>
      </c>
      <c r="Q248">
        <v>48418</v>
      </c>
      <c r="R248" t="s">
        <v>124</v>
      </c>
      <c r="S248" t="s">
        <v>125</v>
      </c>
      <c r="T248" t="s">
        <v>1229</v>
      </c>
      <c r="U248" t="s">
        <v>1230</v>
      </c>
      <c r="AM248" t="s">
        <v>129</v>
      </c>
      <c r="AN248" t="s">
        <v>130</v>
      </c>
      <c r="AP248" t="s">
        <v>41</v>
      </c>
      <c r="AY248" t="s">
        <v>50</v>
      </c>
      <c r="AZ248" t="s">
        <v>51</v>
      </c>
      <c r="BA248" t="s">
        <v>52</v>
      </c>
    </row>
    <row r="249" spans="1:113" x14ac:dyDescent="0.2">
      <c r="A249" t="s">
        <v>748</v>
      </c>
      <c r="B249" t="s">
        <v>1231</v>
      </c>
      <c r="C249" t="s">
        <v>1232</v>
      </c>
      <c r="D249" t="s">
        <v>1233</v>
      </c>
      <c r="E249" t="s">
        <v>1234</v>
      </c>
      <c r="F249" t="s">
        <v>180</v>
      </c>
      <c r="G249" t="str">
        <f>HYPERLINK("https://www.iksmedia.ru/news/5845624-Rynok-platnogo-TV-v-Rossii-po-rezul.html")</f>
        <v>https://www.iksmedia.ru/news/5845624-Rynok-platnogo-TV-v-Rossii-po-rezul.html</v>
      </c>
      <c r="H249" t="s">
        <v>119</v>
      </c>
      <c r="N249" t="s">
        <v>1235</v>
      </c>
      <c r="R249" t="s">
        <v>785</v>
      </c>
      <c r="S249" t="s">
        <v>125</v>
      </c>
      <c r="AJ249" t="s">
        <v>1236</v>
      </c>
      <c r="AK249" t="s">
        <v>129</v>
      </c>
      <c r="AL249" t="str">
        <f>HYPERLINK("https://www.iksmedia.ru/data/2021/07/30/1238315172/%D1%82%D0%B41.jpg")</f>
        <v>https://www.iksmedia.ru/data/2021/07/30/1238315172/%D1%82%D0%B41.jpg</v>
      </c>
      <c r="AM249" t="s">
        <v>129</v>
      </c>
      <c r="AN249" t="s">
        <v>130</v>
      </c>
      <c r="AV249" t="s">
        <v>47</v>
      </c>
    </row>
    <row r="250" spans="1:113" x14ac:dyDescent="0.2">
      <c r="A250" t="s">
        <v>1237</v>
      </c>
      <c r="B250" t="s">
        <v>1238</v>
      </c>
      <c r="C250" t="s">
        <v>1239</v>
      </c>
      <c r="D250" t="s">
        <v>424</v>
      </c>
      <c r="E250" t="s">
        <v>1240</v>
      </c>
      <c r="F250" t="s">
        <v>118</v>
      </c>
      <c r="G250" t="str">
        <f>HYPERLINK("https://vk.com/topic-124657642_40664927?post=4895")</f>
        <v>https://vk.com/topic-124657642_40664927?post=4895</v>
      </c>
      <c r="H250" t="s">
        <v>119</v>
      </c>
      <c r="I250" t="s">
        <v>1005</v>
      </c>
      <c r="J250" t="str">
        <f>HYPERLINK("http://vk.com/id353449363")</f>
        <v>http://vk.com/id353449363</v>
      </c>
      <c r="K250">
        <v>24</v>
      </c>
      <c r="L250" t="s">
        <v>121</v>
      </c>
      <c r="M250">
        <v>31</v>
      </c>
      <c r="N250" t="s">
        <v>122</v>
      </c>
      <c r="O250" t="s">
        <v>427</v>
      </c>
      <c r="P250" t="str">
        <f t="shared" ref="P250:P256" si="2">HYPERLINK("http://vk.com/club124657642")</f>
        <v>http://vk.com/club124657642</v>
      </c>
      <c r="Q250">
        <v>15373</v>
      </c>
      <c r="R250" t="s">
        <v>124</v>
      </c>
      <c r="S250" t="s">
        <v>125</v>
      </c>
      <c r="T250" t="s">
        <v>137</v>
      </c>
      <c r="U250" t="s">
        <v>137</v>
      </c>
      <c r="AM250" t="s">
        <v>129</v>
      </c>
      <c r="AN250" t="s">
        <v>130</v>
      </c>
      <c r="AP250" t="s">
        <v>41</v>
      </c>
      <c r="AZ250" t="s">
        <v>51</v>
      </c>
      <c r="BA250" t="s">
        <v>52</v>
      </c>
      <c r="BQ250" t="s">
        <v>68</v>
      </c>
    </row>
    <row r="251" spans="1:113" x14ac:dyDescent="0.2">
      <c r="A251" t="s">
        <v>1237</v>
      </c>
      <c r="B251" t="s">
        <v>1241</v>
      </c>
      <c r="C251" t="s">
        <v>1242</v>
      </c>
      <c r="D251" t="s">
        <v>424</v>
      </c>
      <c r="E251" t="s">
        <v>1243</v>
      </c>
      <c r="F251" t="s">
        <v>118</v>
      </c>
      <c r="G251" t="str">
        <f>HYPERLINK("https://vk.com/topic-124657642_40664927?post=4894")</f>
        <v>https://vk.com/topic-124657642_40664927?post=4894</v>
      </c>
      <c r="H251" t="s">
        <v>119</v>
      </c>
      <c r="I251" t="s">
        <v>426</v>
      </c>
      <c r="J251" t="str">
        <f>HYPERLINK("http://vk.com/id146095413")</f>
        <v>http://vk.com/id146095413</v>
      </c>
      <c r="K251">
        <v>76</v>
      </c>
      <c r="L251" t="s">
        <v>151</v>
      </c>
      <c r="M251">
        <v>49</v>
      </c>
      <c r="N251" t="s">
        <v>122</v>
      </c>
      <c r="O251" t="s">
        <v>427</v>
      </c>
      <c r="P251" t="str">
        <f t="shared" si="2"/>
        <v>http://vk.com/club124657642</v>
      </c>
      <c r="Q251">
        <v>15373</v>
      </c>
      <c r="R251" t="s">
        <v>124</v>
      </c>
      <c r="S251" t="s">
        <v>125</v>
      </c>
      <c r="T251" t="s">
        <v>428</v>
      </c>
      <c r="U251" t="s">
        <v>429</v>
      </c>
      <c r="AM251" t="s">
        <v>129</v>
      </c>
      <c r="AN251" t="s">
        <v>130</v>
      </c>
      <c r="AP251" t="s">
        <v>41</v>
      </c>
      <c r="AU251" t="s">
        <v>46</v>
      </c>
      <c r="AX251" t="s">
        <v>49</v>
      </c>
      <c r="AZ251" t="s">
        <v>51</v>
      </c>
      <c r="BA251" t="s">
        <v>52</v>
      </c>
      <c r="BS251" t="s">
        <v>70</v>
      </c>
      <c r="DI251" t="s">
        <v>112</v>
      </c>
    </row>
    <row r="252" spans="1:113" x14ac:dyDescent="0.2">
      <c r="A252" t="s">
        <v>1237</v>
      </c>
      <c r="B252" t="s">
        <v>1244</v>
      </c>
      <c r="C252" t="s">
        <v>1245</v>
      </c>
      <c r="D252" t="s">
        <v>424</v>
      </c>
      <c r="E252" t="s">
        <v>1246</v>
      </c>
      <c r="F252" t="s">
        <v>118</v>
      </c>
      <c r="G252" t="str">
        <f>HYPERLINK("https://vk.com/topic-124657642_40664927?post=4893")</f>
        <v>https://vk.com/topic-124657642_40664927?post=4893</v>
      </c>
      <c r="H252" t="s">
        <v>119</v>
      </c>
      <c r="I252" t="s">
        <v>1005</v>
      </c>
      <c r="J252" t="str">
        <f>HYPERLINK("http://vk.com/id353449363")</f>
        <v>http://vk.com/id353449363</v>
      </c>
      <c r="K252">
        <v>24</v>
      </c>
      <c r="L252" t="s">
        <v>121</v>
      </c>
      <c r="M252">
        <v>31</v>
      </c>
      <c r="N252" t="s">
        <v>122</v>
      </c>
      <c r="O252" t="s">
        <v>427</v>
      </c>
      <c r="P252" t="str">
        <f t="shared" si="2"/>
        <v>http://vk.com/club124657642</v>
      </c>
      <c r="Q252">
        <v>15373</v>
      </c>
      <c r="R252" t="s">
        <v>124</v>
      </c>
      <c r="S252" t="s">
        <v>125</v>
      </c>
      <c r="AM252" t="s">
        <v>129</v>
      </c>
      <c r="AN252" t="s">
        <v>130</v>
      </c>
      <c r="AP252" t="s">
        <v>41</v>
      </c>
      <c r="AZ252" t="s">
        <v>51</v>
      </c>
      <c r="BB252" t="s">
        <v>53</v>
      </c>
      <c r="BQ252" t="s">
        <v>68</v>
      </c>
    </row>
    <row r="253" spans="1:113" x14ac:dyDescent="0.2">
      <c r="A253" t="s">
        <v>1237</v>
      </c>
      <c r="B253" t="s">
        <v>1247</v>
      </c>
      <c r="C253" t="s">
        <v>1245</v>
      </c>
      <c r="D253" t="s">
        <v>424</v>
      </c>
      <c r="E253" t="s">
        <v>1248</v>
      </c>
      <c r="F253" t="s">
        <v>118</v>
      </c>
      <c r="G253" t="str">
        <f>HYPERLINK("https://vk.com/topic-124657642_40664927?post=4890")</f>
        <v>https://vk.com/topic-124657642_40664927?post=4890</v>
      </c>
      <c r="H253" t="s">
        <v>119</v>
      </c>
      <c r="I253" t="s">
        <v>1005</v>
      </c>
      <c r="J253" t="str">
        <f>HYPERLINK("http://vk.com/id353449363")</f>
        <v>http://vk.com/id353449363</v>
      </c>
      <c r="K253">
        <v>24</v>
      </c>
      <c r="L253" t="s">
        <v>121</v>
      </c>
      <c r="M253">
        <v>31</v>
      </c>
      <c r="N253" t="s">
        <v>122</v>
      </c>
      <c r="O253" t="s">
        <v>427</v>
      </c>
      <c r="P253" t="str">
        <f t="shared" si="2"/>
        <v>http://vk.com/club124657642</v>
      </c>
      <c r="Q253">
        <v>15373</v>
      </c>
      <c r="R253" t="s">
        <v>124</v>
      </c>
      <c r="S253" t="s">
        <v>125</v>
      </c>
      <c r="T253" t="s">
        <v>137</v>
      </c>
      <c r="U253" t="s">
        <v>137</v>
      </c>
      <c r="AM253" t="s">
        <v>129</v>
      </c>
      <c r="AN253" t="s">
        <v>130</v>
      </c>
      <c r="AP253" t="s">
        <v>41</v>
      </c>
      <c r="AZ253" t="s">
        <v>51</v>
      </c>
      <c r="BA253" t="s">
        <v>52</v>
      </c>
      <c r="BQ253" t="s">
        <v>68</v>
      </c>
    </row>
    <row r="254" spans="1:113" x14ac:dyDescent="0.2">
      <c r="A254" t="s">
        <v>1237</v>
      </c>
      <c r="B254" t="s">
        <v>1249</v>
      </c>
      <c r="C254" t="s">
        <v>1245</v>
      </c>
      <c r="D254" t="s">
        <v>424</v>
      </c>
      <c r="E254" t="s">
        <v>1250</v>
      </c>
      <c r="F254" t="s">
        <v>118</v>
      </c>
      <c r="G254" t="str">
        <f>HYPERLINK("https://vk.com/topic-124657642_40664927?post=4889")</f>
        <v>https://vk.com/topic-124657642_40664927?post=4889</v>
      </c>
      <c r="H254" t="s">
        <v>228</v>
      </c>
      <c r="I254" t="s">
        <v>426</v>
      </c>
      <c r="J254" t="str">
        <f>HYPERLINK("http://vk.com/id146095413")</f>
        <v>http://vk.com/id146095413</v>
      </c>
      <c r="K254">
        <v>76</v>
      </c>
      <c r="L254" t="s">
        <v>151</v>
      </c>
      <c r="M254">
        <v>49</v>
      </c>
      <c r="N254" t="s">
        <v>122</v>
      </c>
      <c r="O254" t="s">
        <v>427</v>
      </c>
      <c r="P254" t="str">
        <f t="shared" si="2"/>
        <v>http://vk.com/club124657642</v>
      </c>
      <c r="Q254">
        <v>15373</v>
      </c>
      <c r="R254" t="s">
        <v>124</v>
      </c>
      <c r="S254" t="s">
        <v>125</v>
      </c>
      <c r="T254" t="s">
        <v>428</v>
      </c>
      <c r="U254" t="s">
        <v>429</v>
      </c>
      <c r="AM254" t="s">
        <v>129</v>
      </c>
      <c r="AN254" t="s">
        <v>130</v>
      </c>
      <c r="AP254" t="s">
        <v>41</v>
      </c>
      <c r="AU254" t="s">
        <v>46</v>
      </c>
      <c r="AX254" t="s">
        <v>49</v>
      </c>
      <c r="AY254" t="s">
        <v>50</v>
      </c>
      <c r="AZ254" t="s">
        <v>51</v>
      </c>
      <c r="BA254" t="s">
        <v>52</v>
      </c>
      <c r="CL254" t="s">
        <v>89</v>
      </c>
    </row>
    <row r="255" spans="1:113" x14ac:dyDescent="0.2">
      <c r="A255" t="s">
        <v>1237</v>
      </c>
      <c r="B255" t="s">
        <v>1251</v>
      </c>
      <c r="C255" t="s">
        <v>1252</v>
      </c>
      <c r="D255" t="s">
        <v>424</v>
      </c>
      <c r="E255" t="s">
        <v>1253</v>
      </c>
      <c r="F255" t="s">
        <v>118</v>
      </c>
      <c r="G255" t="str">
        <f>HYPERLINK("https://vk.com/topic-124657642_40664927?post=4888")</f>
        <v>https://vk.com/topic-124657642_40664927?post=4888</v>
      </c>
      <c r="H255" t="s">
        <v>119</v>
      </c>
      <c r="I255" t="s">
        <v>1005</v>
      </c>
      <c r="J255" t="str">
        <f>HYPERLINK("http://vk.com/id353449363")</f>
        <v>http://vk.com/id353449363</v>
      </c>
      <c r="K255">
        <v>24</v>
      </c>
      <c r="L255" t="s">
        <v>121</v>
      </c>
      <c r="M255">
        <v>31</v>
      </c>
      <c r="N255" t="s">
        <v>122</v>
      </c>
      <c r="O255" t="s">
        <v>427</v>
      </c>
      <c r="P255" t="str">
        <f t="shared" si="2"/>
        <v>http://vk.com/club124657642</v>
      </c>
      <c r="Q255">
        <v>15373</v>
      </c>
      <c r="R255" t="s">
        <v>124</v>
      </c>
      <c r="S255" t="s">
        <v>125</v>
      </c>
      <c r="T255" t="s">
        <v>137</v>
      </c>
      <c r="U255" t="s">
        <v>137</v>
      </c>
      <c r="AM255" t="s">
        <v>129</v>
      </c>
      <c r="AN255" t="s">
        <v>130</v>
      </c>
      <c r="AP255" t="s">
        <v>41</v>
      </c>
      <c r="AU255" t="s">
        <v>46</v>
      </c>
      <c r="AZ255" t="s">
        <v>51</v>
      </c>
      <c r="BA255" t="s">
        <v>52</v>
      </c>
    </row>
    <row r="256" spans="1:113" x14ac:dyDescent="0.2">
      <c r="A256" t="s">
        <v>1237</v>
      </c>
      <c r="B256" t="s">
        <v>1251</v>
      </c>
      <c r="C256" t="s">
        <v>1252</v>
      </c>
      <c r="D256" t="s">
        <v>424</v>
      </c>
      <c r="E256" t="s">
        <v>1254</v>
      </c>
      <c r="F256" t="s">
        <v>118</v>
      </c>
      <c r="G256" t="str">
        <f>HYPERLINK("https://vk.com/topic-124657642_40664927?post=4887")</f>
        <v>https://vk.com/topic-124657642_40664927?post=4887</v>
      </c>
      <c r="H256" t="s">
        <v>119</v>
      </c>
      <c r="I256" t="s">
        <v>1005</v>
      </c>
      <c r="J256" t="str">
        <f>HYPERLINK("http://vk.com/id353449363")</f>
        <v>http://vk.com/id353449363</v>
      </c>
      <c r="K256">
        <v>24</v>
      </c>
      <c r="L256" t="s">
        <v>121</v>
      </c>
      <c r="M256">
        <v>31</v>
      </c>
      <c r="N256" t="s">
        <v>122</v>
      </c>
      <c r="O256" t="s">
        <v>427</v>
      </c>
      <c r="P256" t="str">
        <f t="shared" si="2"/>
        <v>http://vk.com/club124657642</v>
      </c>
      <c r="Q256">
        <v>15373</v>
      </c>
      <c r="R256" t="s">
        <v>124</v>
      </c>
      <c r="S256" t="s">
        <v>125</v>
      </c>
      <c r="T256" t="s">
        <v>137</v>
      </c>
      <c r="U256" t="s">
        <v>137</v>
      </c>
      <c r="AM256" t="s">
        <v>129</v>
      </c>
      <c r="AN256" t="s">
        <v>130</v>
      </c>
      <c r="AP256" t="s">
        <v>41</v>
      </c>
      <c r="AW256" t="s">
        <v>48</v>
      </c>
      <c r="AZ256" t="s">
        <v>51</v>
      </c>
      <c r="BA256" t="s">
        <v>52</v>
      </c>
      <c r="BQ256" t="s">
        <v>68</v>
      </c>
      <c r="BS256" t="s">
        <v>70</v>
      </c>
    </row>
    <row r="257" spans="1:69" x14ac:dyDescent="0.2">
      <c r="A257" t="s">
        <v>1237</v>
      </c>
      <c r="B257" t="s">
        <v>1255</v>
      </c>
      <c r="C257" t="s">
        <v>1256</v>
      </c>
      <c r="D257" t="s">
        <v>1257</v>
      </c>
      <c r="E257" t="s">
        <v>1258</v>
      </c>
      <c r="F257" t="s">
        <v>118</v>
      </c>
      <c r="G257" t="str">
        <f>HYPERLINK("https://vk.com/wall-182296656_24124?reply=24135")</f>
        <v>https://vk.com/wall-182296656_24124?reply=24135</v>
      </c>
      <c r="H257" t="s">
        <v>119</v>
      </c>
      <c r="I257" t="s">
        <v>1259</v>
      </c>
      <c r="J257" t="str">
        <f>HYPERLINK("http://vk.com/id19370911")</f>
        <v>http://vk.com/id19370911</v>
      </c>
      <c r="K257">
        <v>781</v>
      </c>
      <c r="L257" t="s">
        <v>151</v>
      </c>
      <c r="N257" t="s">
        <v>122</v>
      </c>
      <c r="O257" t="s">
        <v>1260</v>
      </c>
      <c r="P257" t="str">
        <f>HYPERLINK("http://vk.com/club182296656")</f>
        <v>http://vk.com/club182296656</v>
      </c>
      <c r="Q257">
        <v>3882</v>
      </c>
      <c r="R257" t="s">
        <v>124</v>
      </c>
      <c r="S257" t="s">
        <v>125</v>
      </c>
      <c r="AM257" t="s">
        <v>129</v>
      </c>
      <c r="AN257" t="s">
        <v>130</v>
      </c>
      <c r="AP257" t="s">
        <v>41</v>
      </c>
      <c r="AU257" t="s">
        <v>46</v>
      </c>
      <c r="AW257" t="s">
        <v>48</v>
      </c>
      <c r="AZ257" t="s">
        <v>51</v>
      </c>
      <c r="BA257" t="s">
        <v>52</v>
      </c>
    </row>
    <row r="258" spans="1:69" x14ac:dyDescent="0.2">
      <c r="A258" t="s">
        <v>1237</v>
      </c>
      <c r="B258" t="s">
        <v>1261</v>
      </c>
      <c r="C258" t="s">
        <v>1252</v>
      </c>
      <c r="D258" t="s">
        <v>215</v>
      </c>
      <c r="E258" t="s">
        <v>1084</v>
      </c>
      <c r="F258" t="s">
        <v>118</v>
      </c>
      <c r="G258" t="str">
        <f>HYPERLINK("https://vk.com/wall-27863223_292439?reply=292530")</f>
        <v>https://vk.com/wall-27863223_292439?reply=292530</v>
      </c>
      <c r="H258" t="s">
        <v>119</v>
      </c>
      <c r="I258" t="s">
        <v>554</v>
      </c>
      <c r="J258" t="str">
        <f>HYPERLINK("http://vk.com/id141852871")</f>
        <v>http://vk.com/id141852871</v>
      </c>
      <c r="K258">
        <v>210</v>
      </c>
      <c r="L258" t="s">
        <v>151</v>
      </c>
      <c r="M258">
        <v>36</v>
      </c>
      <c r="N258" t="s">
        <v>122</v>
      </c>
      <c r="O258" t="s">
        <v>175</v>
      </c>
      <c r="P258" t="str">
        <f>HYPERLINK("http://vk.com/club27863223")</f>
        <v>http://vk.com/club27863223</v>
      </c>
      <c r="Q258">
        <v>134698</v>
      </c>
      <c r="R258" t="s">
        <v>124</v>
      </c>
      <c r="S258" t="s">
        <v>125</v>
      </c>
      <c r="T258" t="s">
        <v>153</v>
      </c>
      <c r="U258" t="s">
        <v>555</v>
      </c>
      <c r="W258">
        <v>0</v>
      </c>
      <c r="X258">
        <v>0</v>
      </c>
      <c r="AM258" t="s">
        <v>129</v>
      </c>
      <c r="AN258" t="s">
        <v>130</v>
      </c>
      <c r="AO258" t="s">
        <v>40</v>
      </c>
      <c r="AP258" t="s">
        <v>41</v>
      </c>
      <c r="AZ258" t="s">
        <v>51</v>
      </c>
      <c r="BA258" t="s">
        <v>52</v>
      </c>
    </row>
    <row r="259" spans="1:69" x14ac:dyDescent="0.2">
      <c r="A259" t="s">
        <v>1237</v>
      </c>
      <c r="B259" t="s">
        <v>146</v>
      </c>
      <c r="C259" t="s">
        <v>1262</v>
      </c>
      <c r="D259" t="s">
        <v>129</v>
      </c>
      <c r="E259" t="s">
        <v>1263</v>
      </c>
      <c r="F259" t="s">
        <v>180</v>
      </c>
      <c r="G259" t="str">
        <f>HYPERLINK("https://vk.com/wall-42402221_236246")</f>
        <v>https://vk.com/wall-42402221_236246</v>
      </c>
      <c r="H259" t="s">
        <v>119</v>
      </c>
      <c r="I259" t="s">
        <v>1264</v>
      </c>
      <c r="J259" t="str">
        <f>HYPERLINK("http://vk.com/club42402221")</f>
        <v>http://vk.com/club42402221</v>
      </c>
      <c r="K259">
        <v>546</v>
      </c>
      <c r="L259" t="s">
        <v>340</v>
      </c>
      <c r="N259" t="s">
        <v>122</v>
      </c>
      <c r="O259" t="s">
        <v>1264</v>
      </c>
      <c r="P259" t="str">
        <f>HYPERLINK("http://vk.com/club42402221")</f>
        <v>http://vk.com/club42402221</v>
      </c>
      <c r="Q259">
        <v>546</v>
      </c>
      <c r="R259" t="s">
        <v>124</v>
      </c>
      <c r="W259">
        <v>0</v>
      </c>
      <c r="X259">
        <v>0</v>
      </c>
      <c r="AE259">
        <v>0</v>
      </c>
      <c r="AF259">
        <v>0</v>
      </c>
      <c r="AG259">
        <v>2</v>
      </c>
      <c r="AM259" t="s">
        <v>129</v>
      </c>
      <c r="AN259" t="s">
        <v>130</v>
      </c>
      <c r="AP259" t="s">
        <v>41</v>
      </c>
      <c r="AZ259" t="s">
        <v>51</v>
      </c>
      <c r="BA259" t="s">
        <v>52</v>
      </c>
    </row>
    <row r="260" spans="1:69" x14ac:dyDescent="0.2">
      <c r="A260" t="s">
        <v>1237</v>
      </c>
      <c r="B260" t="s">
        <v>775</v>
      </c>
      <c r="C260" t="s">
        <v>1265</v>
      </c>
      <c r="D260" t="s">
        <v>1266</v>
      </c>
      <c r="E260" t="s">
        <v>1267</v>
      </c>
      <c r="F260" t="s">
        <v>118</v>
      </c>
      <c r="G260" t="str">
        <f>HYPERLINK("https://www.facebook.com/groups/352093315622646/permalink/988624428636195/?comment_id=988900061941965")</f>
        <v>https://www.facebook.com/groups/352093315622646/permalink/988624428636195/?comment_id=988900061941965</v>
      </c>
      <c r="H260" t="s">
        <v>181</v>
      </c>
      <c r="I260" t="s">
        <v>1268</v>
      </c>
      <c r="J260" t="str">
        <f>HYPERLINK("https://www.facebook.com/100005367156993")</f>
        <v>https://www.facebook.com/100005367156993</v>
      </c>
      <c r="K260">
        <v>252</v>
      </c>
      <c r="L260" t="s">
        <v>121</v>
      </c>
      <c r="N260" t="s">
        <v>305</v>
      </c>
      <c r="O260" t="s">
        <v>1269</v>
      </c>
      <c r="P260" t="str">
        <f>HYPERLINK("https://www.facebook.com/352093315622646")</f>
        <v>https://www.facebook.com/352093315622646</v>
      </c>
      <c r="Q260">
        <v>2854</v>
      </c>
      <c r="R260" t="s">
        <v>124</v>
      </c>
      <c r="S260" t="s">
        <v>125</v>
      </c>
      <c r="T260" t="s">
        <v>169</v>
      </c>
      <c r="U260" t="s">
        <v>169</v>
      </c>
      <c r="W260">
        <v>0</v>
      </c>
      <c r="X260">
        <v>0</v>
      </c>
      <c r="AE260">
        <v>0</v>
      </c>
      <c r="AM260" t="s">
        <v>129</v>
      </c>
      <c r="AN260" t="s">
        <v>130</v>
      </c>
      <c r="AP260" t="s">
        <v>41</v>
      </c>
      <c r="AU260" t="s">
        <v>46</v>
      </c>
      <c r="AY260" t="s">
        <v>50</v>
      </c>
      <c r="AZ260" t="s">
        <v>51</v>
      </c>
      <c r="BA260" t="s">
        <v>52</v>
      </c>
    </row>
    <row r="261" spans="1:69" x14ac:dyDescent="0.2">
      <c r="A261" t="s">
        <v>1237</v>
      </c>
      <c r="B261" t="s">
        <v>776</v>
      </c>
      <c r="C261" t="s">
        <v>1270</v>
      </c>
      <c r="D261" t="s">
        <v>1271</v>
      </c>
      <c r="E261" t="s">
        <v>1272</v>
      </c>
      <c r="F261" t="s">
        <v>118</v>
      </c>
      <c r="G261" t="str">
        <f>HYPERLINK("https://vk.com/wall-98780954_721035?reply=721044")</f>
        <v>https://vk.com/wall-98780954_721035?reply=721044</v>
      </c>
      <c r="H261" t="s">
        <v>119</v>
      </c>
      <c r="I261" t="s">
        <v>1273</v>
      </c>
      <c r="J261" t="str">
        <f>HYPERLINK("http://vk.com/id1775205")</f>
        <v>http://vk.com/id1775205</v>
      </c>
      <c r="K261">
        <v>123</v>
      </c>
      <c r="L261" t="s">
        <v>121</v>
      </c>
      <c r="N261" t="s">
        <v>122</v>
      </c>
      <c r="O261" t="s">
        <v>1274</v>
      </c>
      <c r="P261" t="str">
        <f>HYPERLINK("http://vk.com/club98780954")</f>
        <v>http://vk.com/club98780954</v>
      </c>
      <c r="Q261">
        <v>104772</v>
      </c>
      <c r="R261" t="s">
        <v>124</v>
      </c>
      <c r="S261" t="s">
        <v>125</v>
      </c>
      <c r="T261" t="s">
        <v>1275</v>
      </c>
      <c r="U261" t="s">
        <v>1276</v>
      </c>
      <c r="AM261" t="s">
        <v>129</v>
      </c>
      <c r="AN261" t="s">
        <v>130</v>
      </c>
      <c r="AP261" t="s">
        <v>41</v>
      </c>
      <c r="AU261" t="s">
        <v>46</v>
      </c>
      <c r="AY261" t="s">
        <v>50</v>
      </c>
      <c r="AZ261" t="s">
        <v>51</v>
      </c>
      <c r="BA261" t="s">
        <v>52</v>
      </c>
      <c r="BM261" t="s">
        <v>64</v>
      </c>
    </row>
    <row r="262" spans="1:69" x14ac:dyDescent="0.2">
      <c r="A262" t="s">
        <v>1237</v>
      </c>
      <c r="B262" t="s">
        <v>1277</v>
      </c>
      <c r="C262" t="s">
        <v>1278</v>
      </c>
      <c r="D262" t="s">
        <v>1279</v>
      </c>
      <c r="E262" t="s">
        <v>1280</v>
      </c>
      <c r="F262" t="s">
        <v>118</v>
      </c>
      <c r="G262" t="str">
        <f>HYPERLINK("https://vk.com/wall-3264654_1373371?reply=1373575&amp;thread=1373527")</f>
        <v>https://vk.com/wall-3264654_1373371?reply=1373575&amp;thread=1373527</v>
      </c>
      <c r="H262" t="s">
        <v>181</v>
      </c>
      <c r="I262" t="s">
        <v>1281</v>
      </c>
      <c r="J262" t="str">
        <f>HYPERLINK("http://vk.com/id272074872")</f>
        <v>http://vk.com/id272074872</v>
      </c>
      <c r="K262">
        <v>73</v>
      </c>
      <c r="L262" t="s">
        <v>121</v>
      </c>
      <c r="M262">
        <v>70</v>
      </c>
      <c r="N262" t="s">
        <v>122</v>
      </c>
      <c r="O262" t="s">
        <v>1282</v>
      </c>
      <c r="P262" t="str">
        <f>HYPERLINK("http://vk.com/club3264654")</f>
        <v>http://vk.com/club3264654</v>
      </c>
      <c r="Q262">
        <v>36206</v>
      </c>
      <c r="R262" t="s">
        <v>124</v>
      </c>
      <c r="S262" t="s">
        <v>125</v>
      </c>
      <c r="T262" t="s">
        <v>1283</v>
      </c>
      <c r="U262" t="s">
        <v>1284</v>
      </c>
      <c r="AM262" t="s">
        <v>129</v>
      </c>
      <c r="AN262" t="s">
        <v>130</v>
      </c>
      <c r="AP262" t="s">
        <v>41</v>
      </c>
      <c r="AZ262" t="s">
        <v>51</v>
      </c>
      <c r="BA262" t="s">
        <v>52</v>
      </c>
    </row>
    <row r="263" spans="1:69" x14ac:dyDescent="0.2">
      <c r="A263" t="s">
        <v>1237</v>
      </c>
      <c r="B263" t="s">
        <v>1285</v>
      </c>
      <c r="C263" t="s">
        <v>1286</v>
      </c>
      <c r="D263" t="s">
        <v>215</v>
      </c>
      <c r="E263" t="s">
        <v>1287</v>
      </c>
      <c r="F263" t="s">
        <v>118</v>
      </c>
      <c r="G263" t="str">
        <f>HYPERLINK("https://vk.com/wall-27863223_292439?reply=292529")</f>
        <v>https://vk.com/wall-27863223_292439?reply=292529</v>
      </c>
      <c r="H263" t="s">
        <v>119</v>
      </c>
      <c r="I263" t="s">
        <v>1288</v>
      </c>
      <c r="J263" t="str">
        <f>HYPERLINK("http://vk.com/id621986037")</f>
        <v>http://vk.com/id621986037</v>
      </c>
      <c r="K263">
        <v>76</v>
      </c>
      <c r="L263" t="s">
        <v>121</v>
      </c>
      <c r="N263" t="s">
        <v>122</v>
      </c>
      <c r="O263" t="s">
        <v>175</v>
      </c>
      <c r="P263" t="str">
        <f>HYPERLINK("http://vk.com/club27863223")</f>
        <v>http://vk.com/club27863223</v>
      </c>
      <c r="Q263">
        <v>134698</v>
      </c>
      <c r="R263" t="s">
        <v>124</v>
      </c>
      <c r="S263" t="s">
        <v>125</v>
      </c>
      <c r="T263" t="s">
        <v>126</v>
      </c>
      <c r="U263" t="s">
        <v>127</v>
      </c>
      <c r="W263">
        <v>0</v>
      </c>
      <c r="X263">
        <v>0</v>
      </c>
      <c r="AM263" t="s">
        <v>129</v>
      </c>
      <c r="AN263" t="s">
        <v>130</v>
      </c>
      <c r="AO263" t="s">
        <v>40</v>
      </c>
      <c r="AP263" t="s">
        <v>41</v>
      </c>
      <c r="AZ263" t="s">
        <v>51</v>
      </c>
      <c r="BA263" t="s">
        <v>52</v>
      </c>
    </row>
    <row r="264" spans="1:69" x14ac:dyDescent="0.2">
      <c r="A264" t="s">
        <v>1237</v>
      </c>
      <c r="B264" t="s">
        <v>1289</v>
      </c>
      <c r="C264" t="s">
        <v>1290</v>
      </c>
      <c r="D264" t="s">
        <v>1291</v>
      </c>
      <c r="E264" t="s">
        <v>1292</v>
      </c>
      <c r="F264" t="s">
        <v>118</v>
      </c>
      <c r="G264" t="str">
        <f>HYPERLINK("https://vk.com/wall-62491898_3426285?reply=3426856&amp;thread=3426345")</f>
        <v>https://vk.com/wall-62491898_3426285?reply=3426856&amp;thread=3426345</v>
      </c>
      <c r="H264" t="s">
        <v>119</v>
      </c>
      <c r="I264" t="s">
        <v>1293</v>
      </c>
      <c r="J264" t="str">
        <f>HYPERLINK("http://vk.com/id521406300")</f>
        <v>http://vk.com/id521406300</v>
      </c>
      <c r="K264">
        <v>37</v>
      </c>
      <c r="L264" t="s">
        <v>151</v>
      </c>
      <c r="N264" t="s">
        <v>122</v>
      </c>
      <c r="O264" t="s">
        <v>1294</v>
      </c>
      <c r="P264" t="str">
        <f>HYPERLINK("http://vk.com/club62491898")</f>
        <v>http://vk.com/club62491898</v>
      </c>
      <c r="Q264">
        <v>92425</v>
      </c>
      <c r="R264" t="s">
        <v>124</v>
      </c>
      <c r="S264" t="s">
        <v>125</v>
      </c>
      <c r="T264" t="s">
        <v>1295</v>
      </c>
      <c r="U264" t="s">
        <v>1296</v>
      </c>
      <c r="AM264" t="s">
        <v>129</v>
      </c>
      <c r="AN264" t="s">
        <v>130</v>
      </c>
      <c r="AP264" t="s">
        <v>41</v>
      </c>
      <c r="AZ264" t="s">
        <v>51</v>
      </c>
      <c r="BA264" t="s">
        <v>52</v>
      </c>
      <c r="BM264" t="s">
        <v>64</v>
      </c>
    </row>
    <row r="265" spans="1:69" x14ac:dyDescent="0.2">
      <c r="A265" t="s">
        <v>1237</v>
      </c>
      <c r="B265" t="s">
        <v>1297</v>
      </c>
      <c r="C265" t="s">
        <v>1298</v>
      </c>
      <c r="D265" t="s">
        <v>215</v>
      </c>
      <c r="E265" t="s">
        <v>1299</v>
      </c>
      <c r="F265" t="s">
        <v>118</v>
      </c>
      <c r="G265" t="str">
        <f>HYPERLINK("https://vk.com/wall-27863223_292439?reply=292528")</f>
        <v>https://vk.com/wall-27863223_292439?reply=292528</v>
      </c>
      <c r="H265" t="s">
        <v>119</v>
      </c>
      <c r="I265" t="s">
        <v>1300</v>
      </c>
      <c r="J265" t="str">
        <f>HYPERLINK("http://vk.com/id396679922")</f>
        <v>http://vk.com/id396679922</v>
      </c>
      <c r="K265">
        <v>47</v>
      </c>
      <c r="L265" t="s">
        <v>121</v>
      </c>
      <c r="M265">
        <v>18</v>
      </c>
      <c r="N265" t="s">
        <v>122</v>
      </c>
      <c r="O265" t="s">
        <v>175</v>
      </c>
      <c r="P265" t="str">
        <f>HYPERLINK("http://vk.com/club27863223")</f>
        <v>http://vk.com/club27863223</v>
      </c>
      <c r="Q265">
        <v>134698</v>
      </c>
      <c r="R265" t="s">
        <v>124</v>
      </c>
      <c r="W265">
        <v>0</v>
      </c>
      <c r="X265">
        <v>0</v>
      </c>
      <c r="AM265" t="s">
        <v>129</v>
      </c>
      <c r="AN265" t="s">
        <v>130</v>
      </c>
      <c r="AO265" t="s">
        <v>40</v>
      </c>
      <c r="AP265" t="s">
        <v>41</v>
      </c>
      <c r="AZ265" t="s">
        <v>51</v>
      </c>
      <c r="BA265" t="s">
        <v>52</v>
      </c>
    </row>
    <row r="266" spans="1:69" x14ac:dyDescent="0.2">
      <c r="A266" t="s">
        <v>1237</v>
      </c>
      <c r="B266" t="s">
        <v>1301</v>
      </c>
      <c r="C266" t="s">
        <v>1302</v>
      </c>
      <c r="D266" t="s">
        <v>1303</v>
      </c>
      <c r="E266" t="s">
        <v>1304</v>
      </c>
      <c r="F266" t="s">
        <v>118</v>
      </c>
      <c r="G266" t="str">
        <f>HYPERLINK("https://www.youtube.com/watch?v=nef25A7_-O0&amp;lc=UgyYQiXkGA9GlJB_PS94AaABAg.9QOWALWZmZ89QOWaNUuNC-")</f>
        <v>https://www.youtube.com/watch?v=nef25A7_-O0&amp;lc=UgyYQiXkGA9GlJB_PS94AaABAg.9QOWALWZmZ89QOWaNUuNC-</v>
      </c>
      <c r="H266" t="s">
        <v>119</v>
      </c>
      <c r="I266" t="s">
        <v>1305</v>
      </c>
      <c r="J266" t="str">
        <f>HYPERLINK("https://www.youtube.com/channel/UCxCvsWLWTHZDAE-X-rgXJpQ")</f>
        <v>https://www.youtube.com/channel/UCxCvsWLWTHZDAE-X-rgXJpQ</v>
      </c>
      <c r="K266">
        <v>5750</v>
      </c>
      <c r="L266" t="s">
        <v>151</v>
      </c>
      <c r="N266" t="s">
        <v>248</v>
      </c>
      <c r="O266" t="s">
        <v>1305</v>
      </c>
      <c r="P266" t="str">
        <f>HYPERLINK("https://www.youtube.com/channel/UCxCvsWLWTHZDAE-X-rgXJpQ")</f>
        <v>https://www.youtube.com/channel/UCxCvsWLWTHZDAE-X-rgXJpQ</v>
      </c>
      <c r="Q266">
        <v>5750</v>
      </c>
      <c r="R266" t="s">
        <v>124</v>
      </c>
      <c r="S266" t="s">
        <v>125</v>
      </c>
      <c r="W266">
        <v>0</v>
      </c>
      <c r="X266">
        <v>0</v>
      </c>
      <c r="AM266" t="s">
        <v>129</v>
      </c>
      <c r="AN266" t="s">
        <v>130</v>
      </c>
      <c r="AP266" t="s">
        <v>41</v>
      </c>
      <c r="AU266" t="s">
        <v>46</v>
      </c>
      <c r="AZ266" t="s">
        <v>51</v>
      </c>
      <c r="BA266" t="s">
        <v>52</v>
      </c>
    </row>
    <row r="267" spans="1:69" x14ac:dyDescent="0.2">
      <c r="A267" t="s">
        <v>1237</v>
      </c>
      <c r="B267" t="s">
        <v>1306</v>
      </c>
      <c r="C267" t="s">
        <v>1307</v>
      </c>
      <c r="D267" t="s">
        <v>1308</v>
      </c>
      <c r="E267" t="s">
        <v>1309</v>
      </c>
      <c r="F267" t="s">
        <v>118</v>
      </c>
      <c r="G267" t="str">
        <f>HYPERLINK("https://www.youtube.com/watch?v=Bx8pU6XqSJM&amp;lc=UgwNgIUpBKBMdYutxAV4AaABAg")</f>
        <v>https://www.youtube.com/watch?v=Bx8pU6XqSJM&amp;lc=UgwNgIUpBKBMdYutxAV4AaABAg</v>
      </c>
      <c r="H267" t="s">
        <v>119</v>
      </c>
      <c r="I267" t="s">
        <v>1310</v>
      </c>
      <c r="J267" t="str">
        <f>HYPERLINK("https://www.youtube.com/channel/UCyAfnDZqRM3t3s0xUWm0FCw")</f>
        <v>https://www.youtube.com/channel/UCyAfnDZqRM3t3s0xUWm0FCw</v>
      </c>
      <c r="K267">
        <v>4</v>
      </c>
      <c r="L267" t="s">
        <v>121</v>
      </c>
      <c r="N267" t="s">
        <v>248</v>
      </c>
      <c r="O267" t="s">
        <v>1311</v>
      </c>
      <c r="P267" t="str">
        <f>HYPERLINK("https://www.youtube.com/channel/UCsGcSsUYBhxR7UWGp9rpPVg")</f>
        <v>https://www.youtube.com/channel/UCsGcSsUYBhxR7UWGp9rpPVg</v>
      </c>
      <c r="Q267">
        <v>62800</v>
      </c>
      <c r="R267" t="s">
        <v>124</v>
      </c>
      <c r="W267">
        <v>0</v>
      </c>
      <c r="X267">
        <v>0</v>
      </c>
      <c r="AE267">
        <v>0</v>
      </c>
      <c r="AM267" t="s">
        <v>129</v>
      </c>
      <c r="AN267" t="s">
        <v>130</v>
      </c>
      <c r="AP267" t="s">
        <v>41</v>
      </c>
      <c r="AZ267" t="s">
        <v>51</v>
      </c>
      <c r="BA267" t="s">
        <v>52</v>
      </c>
      <c r="BQ267" t="s">
        <v>68</v>
      </c>
    </row>
    <row r="268" spans="1:69" x14ac:dyDescent="0.2">
      <c r="A268" t="s">
        <v>1237</v>
      </c>
      <c r="B268" t="s">
        <v>176</v>
      </c>
      <c r="C268" t="s">
        <v>1302</v>
      </c>
      <c r="D268" t="s">
        <v>1303</v>
      </c>
      <c r="E268" t="s">
        <v>1312</v>
      </c>
      <c r="F268" t="s">
        <v>118</v>
      </c>
      <c r="G268" t="str">
        <f>HYPERLINK("https://www.youtube.com/watch?v=nef25A7_-O0&amp;lc=UgyYQiXkGA9GlJB_PS94AaABAg")</f>
        <v>https://www.youtube.com/watch?v=nef25A7_-O0&amp;lc=UgyYQiXkGA9GlJB_PS94AaABAg</v>
      </c>
      <c r="H268" t="s">
        <v>119</v>
      </c>
      <c r="I268" t="s">
        <v>1310</v>
      </c>
      <c r="J268" t="str">
        <f>HYPERLINK("https://www.youtube.com/channel/UCyAfnDZqRM3t3s0xUWm0FCw")</f>
        <v>https://www.youtube.com/channel/UCyAfnDZqRM3t3s0xUWm0FCw</v>
      </c>
      <c r="K268">
        <v>4</v>
      </c>
      <c r="L268" t="s">
        <v>121</v>
      </c>
      <c r="N268" t="s">
        <v>248</v>
      </c>
      <c r="O268" t="s">
        <v>1305</v>
      </c>
      <c r="P268" t="str">
        <f>HYPERLINK("https://www.youtube.com/channel/UCxCvsWLWTHZDAE-X-rgXJpQ")</f>
        <v>https://www.youtube.com/channel/UCxCvsWLWTHZDAE-X-rgXJpQ</v>
      </c>
      <c r="Q268">
        <v>5750</v>
      </c>
      <c r="R268" t="s">
        <v>124</v>
      </c>
      <c r="S268" t="s">
        <v>125</v>
      </c>
      <c r="W268">
        <v>0</v>
      </c>
      <c r="X268">
        <v>0</v>
      </c>
      <c r="AE268">
        <v>5</v>
      </c>
      <c r="AM268" t="s">
        <v>129</v>
      </c>
      <c r="AN268" t="s">
        <v>130</v>
      </c>
      <c r="AP268" t="s">
        <v>41</v>
      </c>
      <c r="AZ268" t="s">
        <v>51</v>
      </c>
      <c r="BA268" t="s">
        <v>52</v>
      </c>
      <c r="BQ268" t="s">
        <v>68</v>
      </c>
    </row>
    <row r="269" spans="1:69" x14ac:dyDescent="0.2">
      <c r="A269" t="s">
        <v>1237</v>
      </c>
      <c r="B269" t="s">
        <v>1313</v>
      </c>
      <c r="C269" t="s">
        <v>1314</v>
      </c>
      <c r="D269" t="s">
        <v>1315</v>
      </c>
      <c r="E269" t="s">
        <v>1316</v>
      </c>
      <c r="F269" t="s">
        <v>118</v>
      </c>
      <c r="G269" t="str">
        <f>HYPERLINK("https://www.youtube.com/watch?v=nelqjeym_lU&amp;lc=Ugx42ugzY2mmDqSicax4AaABAg")</f>
        <v>https://www.youtube.com/watch?v=nelqjeym_lU&amp;lc=Ugx42ugzY2mmDqSicax4AaABAg</v>
      </c>
      <c r="H269" t="s">
        <v>119</v>
      </c>
      <c r="I269" t="s">
        <v>1310</v>
      </c>
      <c r="J269" t="str">
        <f>HYPERLINK("https://www.youtube.com/channel/UCyAfnDZqRM3t3s0xUWm0FCw")</f>
        <v>https://www.youtube.com/channel/UCyAfnDZqRM3t3s0xUWm0FCw</v>
      </c>
      <c r="K269">
        <v>4</v>
      </c>
      <c r="L269" t="s">
        <v>121</v>
      </c>
      <c r="N269" t="s">
        <v>248</v>
      </c>
      <c r="O269" t="s">
        <v>1311</v>
      </c>
      <c r="P269" t="str">
        <f>HYPERLINK("https://www.youtube.com/channel/UCsGcSsUYBhxR7UWGp9rpPVg")</f>
        <v>https://www.youtube.com/channel/UCsGcSsUYBhxR7UWGp9rpPVg</v>
      </c>
      <c r="Q269">
        <v>62800</v>
      </c>
      <c r="R269" t="s">
        <v>124</v>
      </c>
      <c r="W269">
        <v>0</v>
      </c>
      <c r="X269">
        <v>0</v>
      </c>
      <c r="AE269">
        <v>0</v>
      </c>
      <c r="AM269" t="s">
        <v>129</v>
      </c>
      <c r="AN269" t="s">
        <v>130</v>
      </c>
      <c r="AP269" t="s">
        <v>41</v>
      </c>
      <c r="AZ269" t="s">
        <v>51</v>
      </c>
      <c r="BA269" t="s">
        <v>52</v>
      </c>
      <c r="BQ269" t="s">
        <v>68</v>
      </c>
    </row>
    <row r="270" spans="1:69" x14ac:dyDescent="0.2">
      <c r="A270" t="s">
        <v>1237</v>
      </c>
      <c r="B270" t="s">
        <v>1317</v>
      </c>
      <c r="C270" t="s">
        <v>1318</v>
      </c>
      <c r="D270" t="s">
        <v>1074</v>
      </c>
      <c r="E270" t="s">
        <v>1319</v>
      </c>
      <c r="F270" t="s">
        <v>118</v>
      </c>
      <c r="G270" t="str">
        <f>HYPERLINK("https://vk.com/wall-80149142_348548?reply=349660&amp;thread=349086")</f>
        <v>https://vk.com/wall-80149142_348548?reply=349660&amp;thread=349086</v>
      </c>
      <c r="H270" t="s">
        <v>228</v>
      </c>
      <c r="I270" t="s">
        <v>1320</v>
      </c>
      <c r="J270" t="str">
        <f>HYPERLINK("http://vk.com/id596953700")</f>
        <v>http://vk.com/id596953700</v>
      </c>
      <c r="L270" t="s">
        <v>151</v>
      </c>
      <c r="N270" t="s">
        <v>122</v>
      </c>
      <c r="O270" t="s">
        <v>1076</v>
      </c>
      <c r="P270" t="str">
        <f>HYPERLINK("http://vk.com/club80149142")</f>
        <v>http://vk.com/club80149142</v>
      </c>
      <c r="Q270">
        <v>59466</v>
      </c>
      <c r="R270" t="s">
        <v>124</v>
      </c>
      <c r="S270" t="s">
        <v>125</v>
      </c>
      <c r="T270" t="s">
        <v>667</v>
      </c>
      <c r="U270" t="s">
        <v>668</v>
      </c>
      <c r="AM270" t="s">
        <v>129</v>
      </c>
      <c r="AN270" t="s">
        <v>130</v>
      </c>
      <c r="AP270" t="s">
        <v>41</v>
      </c>
      <c r="AW270" t="s">
        <v>48</v>
      </c>
      <c r="AZ270" t="s">
        <v>51</v>
      </c>
      <c r="BA270" t="s">
        <v>52</v>
      </c>
      <c r="BL270" t="s">
        <v>63</v>
      </c>
    </row>
    <row r="271" spans="1:69" x14ac:dyDescent="0.2">
      <c r="A271" t="s">
        <v>1237</v>
      </c>
      <c r="B271" t="s">
        <v>202</v>
      </c>
      <c r="C271" t="s">
        <v>1321</v>
      </c>
      <c r="D271" t="s">
        <v>1279</v>
      </c>
      <c r="E271" t="s">
        <v>1322</v>
      </c>
      <c r="F271" t="s">
        <v>118</v>
      </c>
      <c r="G271" t="str">
        <f>HYPERLINK("https://vk.com/wall-3264654_1373371?reply=1373527")</f>
        <v>https://vk.com/wall-3264654_1373371?reply=1373527</v>
      </c>
      <c r="H271" t="s">
        <v>119</v>
      </c>
      <c r="I271" t="s">
        <v>1323</v>
      </c>
      <c r="J271" t="str">
        <f>HYPERLINK("http://vk.com/id356504232")</f>
        <v>http://vk.com/id356504232</v>
      </c>
      <c r="K271">
        <v>241</v>
      </c>
      <c r="L271" t="s">
        <v>151</v>
      </c>
      <c r="M271">
        <v>54</v>
      </c>
      <c r="N271" t="s">
        <v>122</v>
      </c>
      <c r="O271" t="s">
        <v>1282</v>
      </c>
      <c r="P271" t="str">
        <f>HYPERLINK("http://vk.com/club3264654")</f>
        <v>http://vk.com/club3264654</v>
      </c>
      <c r="Q271">
        <v>36206</v>
      </c>
      <c r="R271" t="s">
        <v>124</v>
      </c>
      <c r="S271" t="s">
        <v>125</v>
      </c>
      <c r="T271" t="s">
        <v>1283</v>
      </c>
      <c r="U271" t="s">
        <v>1284</v>
      </c>
      <c r="AM271" t="s">
        <v>129</v>
      </c>
      <c r="AN271" t="s">
        <v>130</v>
      </c>
      <c r="AP271" t="s">
        <v>41</v>
      </c>
      <c r="AT271" t="s">
        <v>45</v>
      </c>
      <c r="AW271" t="s">
        <v>48</v>
      </c>
      <c r="AZ271" t="s">
        <v>51</v>
      </c>
      <c r="BA271" t="s">
        <v>52</v>
      </c>
    </row>
    <row r="272" spans="1:69" x14ac:dyDescent="0.2">
      <c r="A272" t="s">
        <v>1237</v>
      </c>
      <c r="B272" t="s">
        <v>1324</v>
      </c>
      <c r="C272" t="s">
        <v>1325</v>
      </c>
      <c r="D272" t="s">
        <v>1326</v>
      </c>
      <c r="E272" t="s">
        <v>1327</v>
      </c>
      <c r="F272" t="s">
        <v>118</v>
      </c>
      <c r="G272" t="str">
        <f>HYPERLINK("https://vk.com/topic-124657642_39299589?post=4885")</f>
        <v>https://vk.com/topic-124657642_39299589?post=4885</v>
      </c>
      <c r="H272" t="s">
        <v>119</v>
      </c>
      <c r="I272" t="s">
        <v>1005</v>
      </c>
      <c r="J272" t="str">
        <f>HYPERLINK("http://vk.com/id353449363")</f>
        <v>http://vk.com/id353449363</v>
      </c>
      <c r="K272">
        <v>24</v>
      </c>
      <c r="L272" t="s">
        <v>121</v>
      </c>
      <c r="M272">
        <v>31</v>
      </c>
      <c r="N272" t="s">
        <v>122</v>
      </c>
      <c r="O272" t="s">
        <v>427</v>
      </c>
      <c r="P272" t="str">
        <f>HYPERLINK("http://vk.com/club124657642")</f>
        <v>http://vk.com/club124657642</v>
      </c>
      <c r="Q272">
        <v>15373</v>
      </c>
      <c r="R272" t="s">
        <v>124</v>
      </c>
      <c r="S272" t="s">
        <v>125</v>
      </c>
      <c r="T272" t="s">
        <v>137</v>
      </c>
      <c r="U272" t="s">
        <v>137</v>
      </c>
      <c r="AM272" t="s">
        <v>129</v>
      </c>
      <c r="AN272" t="s">
        <v>130</v>
      </c>
      <c r="AP272" t="s">
        <v>41</v>
      </c>
      <c r="AU272" t="s">
        <v>46</v>
      </c>
      <c r="AZ272" t="s">
        <v>51</v>
      </c>
      <c r="BA272" t="s">
        <v>52</v>
      </c>
    </row>
    <row r="273" spans="1:100" x14ac:dyDescent="0.2">
      <c r="A273" t="s">
        <v>1237</v>
      </c>
      <c r="B273" t="s">
        <v>208</v>
      </c>
      <c r="C273" t="s">
        <v>944</v>
      </c>
      <c r="D273" t="s">
        <v>1328</v>
      </c>
      <c r="E273" t="s">
        <v>1329</v>
      </c>
      <c r="F273" t="s">
        <v>180</v>
      </c>
      <c r="G273" t="str">
        <f>HYPERLINK("https://www.ozon.ru/context/detail/id/223365373/#63040907")</f>
        <v>https://www.ozon.ru/context/detail/id/223365373/#63040907</v>
      </c>
      <c r="H273" t="s">
        <v>181</v>
      </c>
      <c r="I273" t="s">
        <v>1330</v>
      </c>
      <c r="J273" t="str">
        <f>HYPERLINK("https://www.ozon.ru/context/client_opinion/ClientGuid/2de9ee1d-e121-4695-bf7e-abb041c48ab2/")</f>
        <v>https://www.ozon.ru/context/client_opinion/ClientGuid/2de9ee1d-e121-4695-bf7e-abb041c48ab2/</v>
      </c>
      <c r="L273" t="s">
        <v>121</v>
      </c>
      <c r="N273" t="s">
        <v>183</v>
      </c>
      <c r="O273" t="s">
        <v>1328</v>
      </c>
      <c r="P273" t="str">
        <f>HYPERLINK("https://www.ozon.ru/context/detail/id/223365373/")</f>
        <v>https://www.ozon.ru/context/detail/id/223365373/</v>
      </c>
      <c r="R273" t="s">
        <v>184</v>
      </c>
      <c r="S273" t="s">
        <v>125</v>
      </c>
      <c r="W273">
        <v>1</v>
      </c>
      <c r="X273">
        <v>1</v>
      </c>
      <c r="AH273">
        <v>5</v>
      </c>
      <c r="AM273" t="s">
        <v>129</v>
      </c>
      <c r="AN273" t="s">
        <v>130</v>
      </c>
      <c r="AP273" t="s">
        <v>41</v>
      </c>
      <c r="AT273" t="s">
        <v>45</v>
      </c>
      <c r="AZ273" t="s">
        <v>51</v>
      </c>
      <c r="BA273" t="s">
        <v>52</v>
      </c>
    </row>
    <row r="274" spans="1:100" x14ac:dyDescent="0.2">
      <c r="A274" t="s">
        <v>1237</v>
      </c>
      <c r="B274" t="s">
        <v>1331</v>
      </c>
      <c r="C274" t="s">
        <v>1332</v>
      </c>
      <c r="D274" t="s">
        <v>1326</v>
      </c>
      <c r="E274" t="s">
        <v>1333</v>
      </c>
      <c r="F274" t="s">
        <v>118</v>
      </c>
      <c r="G274" t="str">
        <f>HYPERLINK("https://vk.com/topic-124657642_39299589?post=4884")</f>
        <v>https://vk.com/topic-124657642_39299589?post=4884</v>
      </c>
      <c r="H274" t="s">
        <v>119</v>
      </c>
      <c r="I274" t="s">
        <v>1005</v>
      </c>
      <c r="J274" t="str">
        <f>HYPERLINK("http://vk.com/id353449363")</f>
        <v>http://vk.com/id353449363</v>
      </c>
      <c r="K274">
        <v>24</v>
      </c>
      <c r="L274" t="s">
        <v>121</v>
      </c>
      <c r="M274">
        <v>31</v>
      </c>
      <c r="N274" t="s">
        <v>122</v>
      </c>
      <c r="O274" t="s">
        <v>427</v>
      </c>
      <c r="P274" t="str">
        <f>HYPERLINK("http://vk.com/club124657642")</f>
        <v>http://vk.com/club124657642</v>
      </c>
      <c r="Q274">
        <v>15373</v>
      </c>
      <c r="R274" t="s">
        <v>124</v>
      </c>
      <c r="S274" t="s">
        <v>125</v>
      </c>
      <c r="T274" t="s">
        <v>137</v>
      </c>
      <c r="U274" t="s">
        <v>137</v>
      </c>
      <c r="AM274" t="s">
        <v>129</v>
      </c>
      <c r="AN274" t="s">
        <v>130</v>
      </c>
      <c r="AP274" t="s">
        <v>41</v>
      </c>
      <c r="AT274" t="s">
        <v>45</v>
      </c>
      <c r="AZ274" t="s">
        <v>51</v>
      </c>
      <c r="BA274" t="s">
        <v>52</v>
      </c>
      <c r="BS274" t="s">
        <v>70</v>
      </c>
    </row>
    <row r="275" spans="1:100" x14ac:dyDescent="0.2">
      <c r="A275" t="s">
        <v>1237</v>
      </c>
      <c r="B275" t="s">
        <v>1334</v>
      </c>
      <c r="C275" t="s">
        <v>1335</v>
      </c>
      <c r="D275" t="s">
        <v>1336</v>
      </c>
      <c r="E275" t="s">
        <v>1337</v>
      </c>
      <c r="F275" t="s">
        <v>118</v>
      </c>
      <c r="G275" t="str">
        <f>HYPERLINK("https://www.youtube.com/watch?v=XSvUHFcHCNU&amp;lc=Ugxiusab0nXoWogoX3h4AaABAg.9QO16bvCywU9QOOfbeJFOz")</f>
        <v>https://www.youtube.com/watch?v=XSvUHFcHCNU&amp;lc=Ugxiusab0nXoWogoX3h4AaABAg.9QO16bvCywU9QOOfbeJFOz</v>
      </c>
      <c r="H275" t="s">
        <v>119</v>
      </c>
      <c r="I275" t="s">
        <v>1338</v>
      </c>
      <c r="J275" t="str">
        <f>HYPERLINK("https://www.youtube.com/channel/UCbGvxMcJgZWpeT0ymfG7-RQ")</f>
        <v>https://www.youtube.com/channel/UCbGvxMcJgZWpeT0ymfG7-RQ</v>
      </c>
      <c r="K275">
        <v>818</v>
      </c>
      <c r="N275" t="s">
        <v>248</v>
      </c>
      <c r="O275" t="s">
        <v>1338</v>
      </c>
      <c r="P275" t="str">
        <f>HYPERLINK("https://www.youtube.com/channel/UCbGvxMcJgZWpeT0ymfG7-RQ")</f>
        <v>https://www.youtube.com/channel/UCbGvxMcJgZWpeT0ymfG7-RQ</v>
      </c>
      <c r="Q275">
        <v>818</v>
      </c>
      <c r="R275" t="s">
        <v>124</v>
      </c>
      <c r="W275">
        <v>0</v>
      </c>
      <c r="X275">
        <v>0</v>
      </c>
      <c r="AM275" t="s">
        <v>129</v>
      </c>
      <c r="AN275" t="s">
        <v>130</v>
      </c>
      <c r="AP275" t="s">
        <v>41</v>
      </c>
      <c r="AZ275" t="s">
        <v>51</v>
      </c>
      <c r="BA275" t="s">
        <v>52</v>
      </c>
      <c r="BL275" t="s">
        <v>63</v>
      </c>
    </row>
    <row r="276" spans="1:100" x14ac:dyDescent="0.2">
      <c r="A276" t="s">
        <v>1237</v>
      </c>
      <c r="B276" t="s">
        <v>1339</v>
      </c>
      <c r="C276" t="s">
        <v>1340</v>
      </c>
      <c r="D276" t="s">
        <v>215</v>
      </c>
      <c r="E276" t="s">
        <v>1341</v>
      </c>
      <c r="F276" t="s">
        <v>118</v>
      </c>
      <c r="G276" t="str">
        <f>HYPERLINK("https://vk.com/wall-27863223_292439?reply=292527")</f>
        <v>https://vk.com/wall-27863223_292439?reply=292527</v>
      </c>
      <c r="H276" t="s">
        <v>119</v>
      </c>
      <c r="I276" t="s">
        <v>1342</v>
      </c>
      <c r="J276" t="str">
        <f>HYPERLINK("http://vk.com/id334886350")</f>
        <v>http://vk.com/id334886350</v>
      </c>
      <c r="K276">
        <v>298</v>
      </c>
      <c r="L276" t="s">
        <v>151</v>
      </c>
      <c r="N276" t="s">
        <v>122</v>
      </c>
      <c r="O276" t="s">
        <v>175</v>
      </c>
      <c r="P276" t="str">
        <f>HYPERLINK("http://vk.com/club27863223")</f>
        <v>http://vk.com/club27863223</v>
      </c>
      <c r="Q276">
        <v>134698</v>
      </c>
      <c r="R276" t="s">
        <v>124</v>
      </c>
      <c r="S276" t="s">
        <v>125</v>
      </c>
      <c r="T276" t="s">
        <v>1343</v>
      </c>
      <c r="U276" t="s">
        <v>1344</v>
      </c>
      <c r="W276">
        <v>0</v>
      </c>
      <c r="X276">
        <v>0</v>
      </c>
      <c r="AM276" t="s">
        <v>129</v>
      </c>
      <c r="AN276" t="s">
        <v>130</v>
      </c>
      <c r="AO276" t="s">
        <v>40</v>
      </c>
      <c r="AP276" t="s">
        <v>41</v>
      </c>
      <c r="AZ276" t="s">
        <v>51</v>
      </c>
      <c r="BA276" t="s">
        <v>52</v>
      </c>
    </row>
    <row r="277" spans="1:100" x14ac:dyDescent="0.2">
      <c r="A277" t="s">
        <v>1237</v>
      </c>
      <c r="B277" t="s">
        <v>1345</v>
      </c>
      <c r="C277" t="s">
        <v>1199</v>
      </c>
      <c r="D277" t="s">
        <v>531</v>
      </c>
      <c r="E277" t="s">
        <v>1346</v>
      </c>
      <c r="F277" t="s">
        <v>180</v>
      </c>
      <c r="G277" t="str">
        <f>HYPERLINK("https://www.wildberries.ru/catalog/13884511/detail.aspx?targetUrl=ES#Comments")</f>
        <v>https://www.wildberries.ru/catalog/13884511/detail.aspx?targetUrl=ES#Comments</v>
      </c>
      <c r="H277" t="s">
        <v>181</v>
      </c>
      <c r="I277" t="s">
        <v>1347</v>
      </c>
      <c r="J277" t="str">
        <f>HYPERLINK("https://www.wildberries.ru/profile/w7TDssOkw7PCu8KzwrPCucK3wrPCucKxwrM=")</f>
        <v>https://www.wildberries.ru/profile/w7TDssOkw7PCu8KzwrPCucK3wrPCucKxwrM=</v>
      </c>
      <c r="L277" t="s">
        <v>121</v>
      </c>
      <c r="N277" t="s">
        <v>534</v>
      </c>
      <c r="O277" t="s">
        <v>531</v>
      </c>
      <c r="P277" t="str">
        <f>HYPERLINK("https://www.wildberries.ru/catalog/10388939/detail.aspx")</f>
        <v>https://www.wildberries.ru/catalog/10388939/detail.aspx</v>
      </c>
      <c r="R277" t="s">
        <v>184</v>
      </c>
      <c r="S277" t="s">
        <v>125</v>
      </c>
      <c r="W277">
        <v>0</v>
      </c>
      <c r="X277">
        <v>0</v>
      </c>
      <c r="AH277">
        <v>5</v>
      </c>
      <c r="AM277" t="s">
        <v>129</v>
      </c>
      <c r="AN277" t="s">
        <v>130</v>
      </c>
      <c r="AP277" t="s">
        <v>41</v>
      </c>
      <c r="AZ277" t="s">
        <v>51</v>
      </c>
      <c r="BA277" t="s">
        <v>52</v>
      </c>
      <c r="BK277" t="s">
        <v>62</v>
      </c>
    </row>
    <row r="278" spans="1:100" x14ac:dyDescent="0.2">
      <c r="A278" t="s">
        <v>1237</v>
      </c>
      <c r="B278" t="s">
        <v>1348</v>
      </c>
      <c r="C278" t="s">
        <v>1349</v>
      </c>
      <c r="D278" t="s">
        <v>1350</v>
      </c>
      <c r="E278" t="s">
        <v>1351</v>
      </c>
      <c r="F278" t="s">
        <v>180</v>
      </c>
      <c r="G278" t="str">
        <f>HYPERLINK("https://www.ozon.ru/context/detail/id/254490142/#63033643")</f>
        <v>https://www.ozon.ru/context/detail/id/254490142/#63033643</v>
      </c>
      <c r="H278" t="s">
        <v>181</v>
      </c>
      <c r="I278" t="s">
        <v>1352</v>
      </c>
      <c r="J278" t="str">
        <f>HYPERLINK("https://www.ozon.ru/context/client_opinion/ClientGuid/d587d2f0-6b80-4326-87d2-8597af84f384/")</f>
        <v>https://www.ozon.ru/context/client_opinion/ClientGuid/d587d2f0-6b80-4326-87d2-8597af84f384/</v>
      </c>
      <c r="L278" t="s">
        <v>121</v>
      </c>
      <c r="N278" t="s">
        <v>183</v>
      </c>
      <c r="O278" t="s">
        <v>1350</v>
      </c>
      <c r="P278" t="str">
        <f>HYPERLINK("https://www.ozon.ru/context/detail/id/254490142/")</f>
        <v>https://www.ozon.ru/context/detail/id/254490142/</v>
      </c>
      <c r="R278" t="s">
        <v>184</v>
      </c>
      <c r="S278" t="s">
        <v>125</v>
      </c>
      <c r="W278">
        <v>0</v>
      </c>
      <c r="X278">
        <v>0</v>
      </c>
      <c r="AH278">
        <v>5</v>
      </c>
      <c r="AM278" t="s">
        <v>129</v>
      </c>
      <c r="AN278" t="s">
        <v>130</v>
      </c>
      <c r="AP278" t="s">
        <v>41</v>
      </c>
      <c r="AZ278" t="s">
        <v>51</v>
      </c>
      <c r="BA278" t="s">
        <v>52</v>
      </c>
      <c r="BK278" t="s">
        <v>62</v>
      </c>
      <c r="BL278" t="s">
        <v>63</v>
      </c>
    </row>
    <row r="279" spans="1:100" x14ac:dyDescent="0.2">
      <c r="A279" t="s">
        <v>1237</v>
      </c>
      <c r="B279" t="s">
        <v>1353</v>
      </c>
      <c r="C279" t="s">
        <v>1354</v>
      </c>
      <c r="D279" t="s">
        <v>1355</v>
      </c>
      <c r="E279" t="s">
        <v>1356</v>
      </c>
      <c r="F279" t="s">
        <v>118</v>
      </c>
      <c r="G279" t="str">
        <f>HYPERLINK("https://vk.com/wall-199841915_214?reply=229&amp;thread=219")</f>
        <v>https://vk.com/wall-199841915_214?reply=229&amp;thread=219</v>
      </c>
      <c r="H279" t="s">
        <v>181</v>
      </c>
      <c r="I279" t="s">
        <v>1357</v>
      </c>
      <c r="J279" t="str">
        <f>HYPERLINK("http://vk.com/id611298946")</f>
        <v>http://vk.com/id611298946</v>
      </c>
      <c r="K279">
        <v>0</v>
      </c>
      <c r="L279" t="s">
        <v>121</v>
      </c>
      <c r="M279">
        <v>19</v>
      </c>
      <c r="N279" t="s">
        <v>122</v>
      </c>
      <c r="O279" t="s">
        <v>1358</v>
      </c>
      <c r="P279" t="str">
        <f>HYPERLINK("http://vk.com/club199841915")</f>
        <v>http://vk.com/club199841915</v>
      </c>
      <c r="Q279">
        <v>28</v>
      </c>
      <c r="R279" t="s">
        <v>124</v>
      </c>
      <c r="S279" t="s">
        <v>125</v>
      </c>
      <c r="T279" t="s">
        <v>169</v>
      </c>
      <c r="U279" t="s">
        <v>169</v>
      </c>
      <c r="AM279" t="s">
        <v>129</v>
      </c>
      <c r="AN279" t="s">
        <v>130</v>
      </c>
      <c r="AP279" t="s">
        <v>41</v>
      </c>
      <c r="AZ279" t="s">
        <v>51</v>
      </c>
      <c r="BA279" t="s">
        <v>52</v>
      </c>
      <c r="BM279" t="s">
        <v>64</v>
      </c>
    </row>
    <row r="280" spans="1:100" x14ac:dyDescent="0.2">
      <c r="A280" t="s">
        <v>1237</v>
      </c>
      <c r="B280" t="s">
        <v>1359</v>
      </c>
      <c r="C280" t="s">
        <v>1360</v>
      </c>
      <c r="D280" t="s">
        <v>1361</v>
      </c>
      <c r="E280" t="s">
        <v>1362</v>
      </c>
      <c r="F280" t="s">
        <v>118</v>
      </c>
      <c r="G280" t="str">
        <f>HYPERLINK("https://vk.com/wall-149047382_1659727?reply=1659846")</f>
        <v>https://vk.com/wall-149047382_1659727?reply=1659846</v>
      </c>
      <c r="H280" t="s">
        <v>181</v>
      </c>
      <c r="I280" t="s">
        <v>1363</v>
      </c>
      <c r="J280" t="str">
        <f>HYPERLINK("http://vk.com/id15597542")</f>
        <v>http://vk.com/id15597542</v>
      </c>
      <c r="K280">
        <v>17</v>
      </c>
      <c r="L280" t="s">
        <v>151</v>
      </c>
      <c r="N280" t="s">
        <v>122</v>
      </c>
      <c r="O280" t="s">
        <v>1364</v>
      </c>
      <c r="P280" t="str">
        <f>HYPERLINK("http://vk.com/club149047382")</f>
        <v>http://vk.com/club149047382</v>
      </c>
      <c r="Q280">
        <v>71752</v>
      </c>
      <c r="R280" t="s">
        <v>124</v>
      </c>
      <c r="S280" t="s">
        <v>125</v>
      </c>
      <c r="T280" t="s">
        <v>1365</v>
      </c>
      <c r="U280" t="s">
        <v>1366</v>
      </c>
      <c r="AM280" t="s">
        <v>129</v>
      </c>
      <c r="AN280" t="s">
        <v>130</v>
      </c>
      <c r="AP280" t="s">
        <v>41</v>
      </c>
      <c r="AZ280" t="s">
        <v>51</v>
      </c>
      <c r="BA280" t="s">
        <v>52</v>
      </c>
    </row>
    <row r="281" spans="1:100" x14ac:dyDescent="0.2">
      <c r="A281" t="s">
        <v>1237</v>
      </c>
      <c r="B281" t="s">
        <v>1367</v>
      </c>
      <c r="C281" t="s">
        <v>1368</v>
      </c>
      <c r="D281" t="s">
        <v>1291</v>
      </c>
      <c r="E281" t="s">
        <v>1369</v>
      </c>
      <c r="F281" t="s">
        <v>118</v>
      </c>
      <c r="G281" t="str">
        <f>HYPERLINK("https://vk.com/wall-62491898_3426285?reply=3426592&amp;thread=3426345")</f>
        <v>https://vk.com/wall-62491898_3426285?reply=3426592&amp;thread=3426345</v>
      </c>
      <c r="H281" t="s">
        <v>119</v>
      </c>
      <c r="I281" t="s">
        <v>1370</v>
      </c>
      <c r="J281" t="str">
        <f>HYPERLINK("http://vk.com/id663785462")</f>
        <v>http://vk.com/id663785462</v>
      </c>
      <c r="K281">
        <v>0</v>
      </c>
      <c r="L281" t="s">
        <v>151</v>
      </c>
      <c r="M281">
        <v>88</v>
      </c>
      <c r="N281" t="s">
        <v>122</v>
      </c>
      <c r="O281" t="s">
        <v>1294</v>
      </c>
      <c r="P281" t="str">
        <f>HYPERLINK("http://vk.com/club62491898")</f>
        <v>http://vk.com/club62491898</v>
      </c>
      <c r="Q281">
        <v>92425</v>
      </c>
      <c r="R281" t="s">
        <v>124</v>
      </c>
      <c r="S281" t="s">
        <v>125</v>
      </c>
      <c r="T281" t="s">
        <v>1295</v>
      </c>
      <c r="U281" t="s">
        <v>1296</v>
      </c>
      <c r="AM281" t="s">
        <v>129</v>
      </c>
      <c r="AN281" t="s">
        <v>130</v>
      </c>
      <c r="AP281" t="s">
        <v>41</v>
      </c>
      <c r="AZ281" t="s">
        <v>51</v>
      </c>
      <c r="BA281" t="s">
        <v>52</v>
      </c>
      <c r="BM281" t="s">
        <v>64</v>
      </c>
    </row>
    <row r="282" spans="1:100" x14ac:dyDescent="0.2">
      <c r="A282" t="s">
        <v>1237</v>
      </c>
      <c r="B282" t="s">
        <v>1371</v>
      </c>
      <c r="C282" t="s">
        <v>1372</v>
      </c>
      <c r="D282" t="s">
        <v>1373</v>
      </c>
      <c r="E282" t="s">
        <v>1374</v>
      </c>
      <c r="F282" t="s">
        <v>118</v>
      </c>
      <c r="G282" t="str">
        <f>HYPERLINK("https://vk.com/wall-61101621_254780?w=wall-61101621_254780_r254882")</f>
        <v>https://vk.com/wall-61101621_254780?w=wall-61101621_254780_r254882</v>
      </c>
      <c r="H282" t="s">
        <v>119</v>
      </c>
      <c r="I282" t="s">
        <v>1375</v>
      </c>
      <c r="J282" t="str">
        <f>HYPERLINK("http://vk.com/club46412285")</f>
        <v>http://vk.com/club46412285</v>
      </c>
      <c r="K282">
        <v>1373</v>
      </c>
      <c r="L282" t="s">
        <v>340</v>
      </c>
      <c r="N282" t="s">
        <v>122</v>
      </c>
      <c r="O282" t="s">
        <v>160</v>
      </c>
      <c r="P282" t="str">
        <f>HYPERLINK("http://vk.com/club61101621")</f>
        <v>http://vk.com/club61101621</v>
      </c>
      <c r="Q282">
        <v>21119</v>
      </c>
      <c r="R282" t="s">
        <v>124</v>
      </c>
      <c r="S282" t="s">
        <v>125</v>
      </c>
      <c r="W282">
        <v>0</v>
      </c>
      <c r="X282">
        <v>0</v>
      </c>
      <c r="AM282" t="s">
        <v>129</v>
      </c>
      <c r="AN282" t="s">
        <v>130</v>
      </c>
      <c r="AP282" t="s">
        <v>41</v>
      </c>
      <c r="AZ282" t="s">
        <v>51</v>
      </c>
      <c r="BA282" t="s">
        <v>52</v>
      </c>
      <c r="BO282" t="s">
        <v>66</v>
      </c>
    </row>
    <row r="283" spans="1:100" x14ac:dyDescent="0.2">
      <c r="A283" t="s">
        <v>1237</v>
      </c>
      <c r="B283" t="s">
        <v>1376</v>
      </c>
      <c r="C283" t="s">
        <v>1372</v>
      </c>
      <c r="D283" t="s">
        <v>1377</v>
      </c>
      <c r="E283" t="s">
        <v>1378</v>
      </c>
      <c r="F283" t="s">
        <v>118</v>
      </c>
      <c r="G283" t="str">
        <f>HYPERLINK("https://vk.com/wall-22935147_368668?w=wall-22935147_368668_r368702")</f>
        <v>https://vk.com/wall-22935147_368668?w=wall-22935147_368668_r368702</v>
      </c>
      <c r="H283" t="s">
        <v>119</v>
      </c>
      <c r="I283" t="s">
        <v>1375</v>
      </c>
      <c r="J283" t="str">
        <f>HYPERLINK("http://vk.com/club46412285")</f>
        <v>http://vk.com/club46412285</v>
      </c>
      <c r="K283">
        <v>1373</v>
      </c>
      <c r="L283" t="s">
        <v>340</v>
      </c>
      <c r="N283" t="s">
        <v>122</v>
      </c>
      <c r="O283" t="s">
        <v>1093</v>
      </c>
      <c r="P283" t="str">
        <f>HYPERLINK("http://vk.com/club22935147")</f>
        <v>http://vk.com/club22935147</v>
      </c>
      <c r="Q283">
        <v>8943</v>
      </c>
      <c r="R283" t="s">
        <v>124</v>
      </c>
      <c r="S283" t="s">
        <v>125</v>
      </c>
      <c r="W283">
        <v>0</v>
      </c>
      <c r="X283">
        <v>0</v>
      </c>
      <c r="AM283" t="s">
        <v>129</v>
      </c>
      <c r="AN283" t="s">
        <v>130</v>
      </c>
      <c r="AP283" t="s">
        <v>41</v>
      </c>
      <c r="AY283" t="s">
        <v>50</v>
      </c>
      <c r="AZ283" t="s">
        <v>51</v>
      </c>
      <c r="BA283" t="s">
        <v>52</v>
      </c>
      <c r="BO283" t="s">
        <v>66</v>
      </c>
    </row>
    <row r="284" spans="1:100" x14ac:dyDescent="0.2">
      <c r="A284" t="s">
        <v>1237</v>
      </c>
      <c r="B284" t="s">
        <v>1379</v>
      </c>
      <c r="C284" t="s">
        <v>1372</v>
      </c>
      <c r="D284" t="s">
        <v>1377</v>
      </c>
      <c r="E284" t="s">
        <v>1380</v>
      </c>
      <c r="F284" t="s">
        <v>118</v>
      </c>
      <c r="G284" t="str">
        <f>HYPERLINK("https://vk.com/wall-22935147_368668?w=wall-22935147_368668_r368701")</f>
        <v>https://vk.com/wall-22935147_368668?w=wall-22935147_368668_r368701</v>
      </c>
      <c r="H284" t="s">
        <v>119</v>
      </c>
      <c r="I284" t="s">
        <v>1375</v>
      </c>
      <c r="J284" t="str">
        <f>HYPERLINK("http://vk.com/club46412285")</f>
        <v>http://vk.com/club46412285</v>
      </c>
      <c r="K284">
        <v>1373</v>
      </c>
      <c r="L284" t="s">
        <v>340</v>
      </c>
      <c r="N284" t="s">
        <v>122</v>
      </c>
      <c r="O284" t="s">
        <v>1093</v>
      </c>
      <c r="P284" t="str">
        <f>HYPERLINK("http://vk.com/club22935147")</f>
        <v>http://vk.com/club22935147</v>
      </c>
      <c r="Q284">
        <v>8943</v>
      </c>
      <c r="R284" t="s">
        <v>124</v>
      </c>
      <c r="S284" t="s">
        <v>125</v>
      </c>
      <c r="W284">
        <v>0</v>
      </c>
      <c r="X284">
        <v>0</v>
      </c>
      <c r="AM284" t="s">
        <v>129</v>
      </c>
      <c r="AN284" t="s">
        <v>130</v>
      </c>
      <c r="AP284" t="s">
        <v>41</v>
      </c>
      <c r="AZ284" t="s">
        <v>51</v>
      </c>
      <c r="BA284" t="s">
        <v>52</v>
      </c>
      <c r="BL284" t="s">
        <v>63</v>
      </c>
    </row>
    <row r="285" spans="1:100" x14ac:dyDescent="0.2">
      <c r="A285" t="s">
        <v>1237</v>
      </c>
      <c r="B285" t="s">
        <v>1381</v>
      </c>
      <c r="C285" t="s">
        <v>1382</v>
      </c>
      <c r="D285" t="s">
        <v>204</v>
      </c>
      <c r="E285" t="s">
        <v>1383</v>
      </c>
      <c r="F285" t="s">
        <v>180</v>
      </c>
      <c r="G285" t="str">
        <f>HYPERLINK("https://play.google.com/store/apps/details?id=ru.iflex.android.a3colortv&amp;reviewId=gp:AOqpTOHeWmjwL8ud8pzElauAnhoY5uuYMygj5qXGYdjDtgbVCVryazBZ4HeS9gDiuJ3ET0DMxs5_lBF6HuTItg")</f>
        <v>https://play.google.com/store/apps/details?id=ru.iflex.android.a3colortv&amp;reviewId=gp:AOqpTOHeWmjwL8ud8pzElauAnhoY5uuYMygj5qXGYdjDtgbVCVryazBZ4HeS9gDiuJ3ET0DMxs5_lBF6HuTItg</v>
      </c>
      <c r="H285" t="s">
        <v>119</v>
      </c>
      <c r="I285" t="s">
        <v>1384</v>
      </c>
      <c r="J285" t="str">
        <f>HYPERLINK("https://plus.google.com/108658181269953666255")</f>
        <v>https://plus.google.com/108658181269953666255</v>
      </c>
      <c r="L285" t="s">
        <v>151</v>
      </c>
      <c r="N285" t="s">
        <v>207</v>
      </c>
      <c r="O285" t="s">
        <v>204</v>
      </c>
      <c r="P285" t="str">
        <f>HYPERLINK("https://play.google.com/store/apps/details?id=ru.iflex.android.a3colortv&amp;hl=ru")</f>
        <v>https://play.google.com/store/apps/details?id=ru.iflex.android.a3colortv&amp;hl=ru</v>
      </c>
      <c r="R285" t="s">
        <v>184</v>
      </c>
      <c r="S285" t="s">
        <v>125</v>
      </c>
      <c r="W285">
        <v>0</v>
      </c>
      <c r="X285">
        <v>0</v>
      </c>
      <c r="AH285">
        <v>4</v>
      </c>
      <c r="AM285" t="s">
        <v>129</v>
      </c>
      <c r="AN285" t="s">
        <v>130</v>
      </c>
      <c r="AP285" t="s">
        <v>41</v>
      </c>
      <c r="AY285" t="s">
        <v>50</v>
      </c>
      <c r="AZ285" t="s">
        <v>51</v>
      </c>
      <c r="BA285" t="s">
        <v>52</v>
      </c>
      <c r="BQ285" t="s">
        <v>68</v>
      </c>
    </row>
    <row r="286" spans="1:100" x14ac:dyDescent="0.2">
      <c r="A286" t="s">
        <v>1237</v>
      </c>
      <c r="B286" t="s">
        <v>1385</v>
      </c>
      <c r="C286" t="s">
        <v>1386</v>
      </c>
      <c r="D286" t="s">
        <v>129</v>
      </c>
      <c r="E286" t="s">
        <v>1387</v>
      </c>
      <c r="F286" t="s">
        <v>180</v>
      </c>
      <c r="G286" t="str">
        <f>HYPERLINK("https://www.instagram.com/p/CR6xgB6JEHa/")</f>
        <v>https://www.instagram.com/p/CR6xgB6JEHa/</v>
      </c>
      <c r="H286" t="s">
        <v>228</v>
      </c>
      <c r="I286" t="s">
        <v>1388</v>
      </c>
      <c r="J286" t="str">
        <f>HYPERLINK("http://instagram.com/cherkashinsn")</f>
        <v>http://instagram.com/cherkashinsn</v>
      </c>
      <c r="K286">
        <v>7218</v>
      </c>
      <c r="L286" t="s">
        <v>121</v>
      </c>
      <c r="N286" t="s">
        <v>1389</v>
      </c>
      <c r="O286" t="s">
        <v>1388</v>
      </c>
      <c r="P286" t="str">
        <f>HYPERLINK("http://instagram.com/cherkashinsn")</f>
        <v>http://instagram.com/cherkashinsn</v>
      </c>
      <c r="Q286">
        <v>7218</v>
      </c>
      <c r="R286" t="s">
        <v>124</v>
      </c>
      <c r="W286">
        <v>32</v>
      </c>
      <c r="X286">
        <v>32</v>
      </c>
      <c r="AE286">
        <v>5</v>
      </c>
      <c r="AJ286" t="s">
        <v>1390</v>
      </c>
      <c r="AK286" t="s">
        <v>129</v>
      </c>
      <c r="AL286" t="s">
        <v>1391</v>
      </c>
      <c r="AM286" t="s">
        <v>129</v>
      </c>
      <c r="AN286" t="s">
        <v>130</v>
      </c>
      <c r="AP286" t="s">
        <v>41</v>
      </c>
      <c r="AT286" t="s">
        <v>45</v>
      </c>
      <c r="AZ286" t="s">
        <v>51</v>
      </c>
      <c r="BA286" t="s">
        <v>52</v>
      </c>
      <c r="CV286" t="s">
        <v>99</v>
      </c>
    </row>
    <row r="287" spans="1:100" x14ac:dyDescent="0.2">
      <c r="A287" t="s">
        <v>1237</v>
      </c>
      <c r="B287" t="s">
        <v>1385</v>
      </c>
      <c r="C287" t="s">
        <v>1392</v>
      </c>
      <c r="D287" t="s">
        <v>1393</v>
      </c>
      <c r="E287" t="s">
        <v>1394</v>
      </c>
      <c r="F287" t="s">
        <v>180</v>
      </c>
      <c r="G287" t="str">
        <f>HYPERLINK("https://www.wildberries.ru/catalog/25679481/detail.aspx?targetUrl=ES#Comments")</f>
        <v>https://www.wildberries.ru/catalog/25679481/detail.aspx?targetUrl=ES#Comments</v>
      </c>
      <c r="H287" t="s">
        <v>181</v>
      </c>
      <c r="I287" t="s">
        <v>1395</v>
      </c>
      <c r="J287" t="str">
        <f>HYPERLINK("https://www.wildberries.ru/profile/w7TDssOkw7PCu8KywrbCssK5wrXCtsK0wrk=")</f>
        <v>https://www.wildberries.ru/profile/w7TDssOkw7PCu8KywrbCssK5wrXCtsK0wrk=</v>
      </c>
      <c r="L287" t="s">
        <v>121</v>
      </c>
      <c r="N287" t="s">
        <v>534</v>
      </c>
      <c r="O287" t="s">
        <v>1393</v>
      </c>
      <c r="P287" t="str">
        <f>HYPERLINK("https://www.wildberries.ru/catalog/18941848/detail.aspx")</f>
        <v>https://www.wildberries.ru/catalog/18941848/detail.aspx</v>
      </c>
      <c r="R287" t="s">
        <v>184</v>
      </c>
      <c r="S287" t="s">
        <v>125</v>
      </c>
      <c r="W287">
        <v>0</v>
      </c>
      <c r="X287">
        <v>0</v>
      </c>
      <c r="AH287">
        <v>5</v>
      </c>
      <c r="AM287" t="s">
        <v>129</v>
      </c>
      <c r="AN287" t="s">
        <v>130</v>
      </c>
      <c r="AP287" t="s">
        <v>41</v>
      </c>
      <c r="AZ287" t="s">
        <v>51</v>
      </c>
      <c r="BA287" t="s">
        <v>52</v>
      </c>
      <c r="BK287" t="s">
        <v>62</v>
      </c>
      <c r="BL287" t="s">
        <v>63</v>
      </c>
    </row>
    <row r="288" spans="1:100" x14ac:dyDescent="0.2">
      <c r="A288" t="s">
        <v>1237</v>
      </c>
      <c r="B288" t="s">
        <v>1396</v>
      </c>
      <c r="C288" t="s">
        <v>1397</v>
      </c>
      <c r="D288" t="s">
        <v>1398</v>
      </c>
      <c r="E288" t="s">
        <v>1399</v>
      </c>
      <c r="F288" t="s">
        <v>180</v>
      </c>
      <c r="G288" t="str">
        <f>HYPERLINK("https://market.yandex.ru/product/663093307/reviews?id=135457320")</f>
        <v>https://market.yandex.ru/product/663093307/reviews?id=135457320</v>
      </c>
      <c r="H288" t="s">
        <v>181</v>
      </c>
      <c r="I288" t="s">
        <v>1400</v>
      </c>
      <c r="J288" t="str">
        <f>HYPERLINK("https://market.yandex.ru/user/hdxfuyv5ydvdw7vqmzzpujd2cr/reviews")</f>
        <v>https://market.yandex.ru/user/hdxfuyv5ydvdw7vqmzzpujd2cr/reviews</v>
      </c>
      <c r="L288" t="s">
        <v>121</v>
      </c>
      <c r="N288" t="s">
        <v>611</v>
      </c>
      <c r="O288" t="s">
        <v>1398</v>
      </c>
      <c r="P288" t="str">
        <f>HYPERLINK("https://market.yandex.ru/product/663093307")</f>
        <v>https://market.yandex.ru/product/663093307</v>
      </c>
      <c r="R288" t="s">
        <v>184</v>
      </c>
      <c r="S288" t="s">
        <v>125</v>
      </c>
      <c r="T288" t="s">
        <v>1401</v>
      </c>
      <c r="U288" t="s">
        <v>1402</v>
      </c>
      <c r="W288">
        <v>0</v>
      </c>
      <c r="X288">
        <v>0</v>
      </c>
      <c r="AH288">
        <v>5</v>
      </c>
      <c r="AM288" t="s">
        <v>129</v>
      </c>
      <c r="AN288" t="s">
        <v>130</v>
      </c>
      <c r="AP288" t="s">
        <v>41</v>
      </c>
      <c r="AZ288" t="s">
        <v>51</v>
      </c>
      <c r="BA288" t="s">
        <v>52</v>
      </c>
      <c r="BL288" t="s">
        <v>63</v>
      </c>
    </row>
    <row r="289" spans="1:69" x14ac:dyDescent="0.2">
      <c r="A289" t="s">
        <v>1237</v>
      </c>
      <c r="B289" t="s">
        <v>1403</v>
      </c>
      <c r="C289" t="s">
        <v>1404</v>
      </c>
      <c r="D289" t="s">
        <v>885</v>
      </c>
      <c r="E289" t="s">
        <v>1405</v>
      </c>
      <c r="F289" t="s">
        <v>118</v>
      </c>
      <c r="G289" t="str">
        <f>HYPERLINK("https://vk.com/wall-27863223_292520?w=wall-27863223_292520_r292524")</f>
        <v>https://vk.com/wall-27863223_292520?w=wall-27863223_292520_r292524</v>
      </c>
      <c r="H289" t="s">
        <v>119</v>
      </c>
      <c r="I289" t="s">
        <v>1111</v>
      </c>
      <c r="J289" t="str">
        <f>HYPERLINK("http://vk.com/id575539922")</f>
        <v>http://vk.com/id575539922</v>
      </c>
      <c r="K289">
        <v>12</v>
      </c>
      <c r="L289" t="s">
        <v>121</v>
      </c>
      <c r="M289">
        <v>54</v>
      </c>
      <c r="N289" t="s">
        <v>122</v>
      </c>
      <c r="O289" t="s">
        <v>175</v>
      </c>
      <c r="P289" t="str">
        <f>HYPERLINK("http://vk.com/club27863223")</f>
        <v>http://vk.com/club27863223</v>
      </c>
      <c r="Q289">
        <v>134698</v>
      </c>
      <c r="R289" t="s">
        <v>124</v>
      </c>
      <c r="S289" t="s">
        <v>125</v>
      </c>
      <c r="T289" t="s">
        <v>627</v>
      </c>
      <c r="U289" t="s">
        <v>1112</v>
      </c>
      <c r="W289">
        <v>0</v>
      </c>
      <c r="X289">
        <v>0</v>
      </c>
      <c r="AM289" t="s">
        <v>129</v>
      </c>
      <c r="AN289" t="s">
        <v>130</v>
      </c>
      <c r="AP289" t="s">
        <v>41</v>
      </c>
      <c r="AU289" t="s">
        <v>46</v>
      </c>
      <c r="AZ289" t="s">
        <v>51</v>
      </c>
      <c r="BA289" t="s">
        <v>52</v>
      </c>
    </row>
    <row r="290" spans="1:69" x14ac:dyDescent="0.2">
      <c r="A290" t="s">
        <v>1237</v>
      </c>
      <c r="B290" t="s">
        <v>1406</v>
      </c>
      <c r="C290" t="s">
        <v>1407</v>
      </c>
      <c r="D290" t="s">
        <v>1408</v>
      </c>
      <c r="E290" t="s">
        <v>1409</v>
      </c>
      <c r="F290" t="s">
        <v>180</v>
      </c>
      <c r="G290" t="str">
        <f>HYPERLINK("https://apps.apple.com/ru/app/триколор-кино-и-тв-онлайн/id1412797916#7631969218")</f>
        <v>https://apps.apple.com/ru/app/триколор-кино-и-тв-онлайн/id1412797916#7631969218</v>
      </c>
      <c r="H290" t="s">
        <v>228</v>
      </c>
      <c r="I290" t="s">
        <v>1410</v>
      </c>
      <c r="J290" t="str">
        <f>HYPERLINK("https://itunes.apple.com/reviews?userProfileId=874009326")</f>
        <v>https://itunes.apple.com/reviews?userProfileId=874009326</v>
      </c>
      <c r="N290" t="s">
        <v>1411</v>
      </c>
      <c r="O290" t="s">
        <v>1408</v>
      </c>
      <c r="P290" t="str">
        <f>HYPERLINK("https://apps.apple.com/ru/app/триколор-кино-и-тв-онлайн/id1412797916")</f>
        <v>https://apps.apple.com/ru/app/триколор-кино-и-тв-онлайн/id1412797916</v>
      </c>
      <c r="R290" t="s">
        <v>184</v>
      </c>
      <c r="S290" t="s">
        <v>125</v>
      </c>
      <c r="AH290">
        <v>1</v>
      </c>
      <c r="AM290" t="s">
        <v>129</v>
      </c>
      <c r="AN290" t="s">
        <v>130</v>
      </c>
      <c r="AP290" t="s">
        <v>41</v>
      </c>
      <c r="AY290" t="s">
        <v>50</v>
      </c>
      <c r="AZ290" t="s">
        <v>51</v>
      </c>
      <c r="BA290" t="s">
        <v>52</v>
      </c>
      <c r="BQ290" t="s">
        <v>68</v>
      </c>
    </row>
    <row r="291" spans="1:69" x14ac:dyDescent="0.2">
      <c r="A291" t="s">
        <v>1237</v>
      </c>
      <c r="B291" t="s">
        <v>858</v>
      </c>
      <c r="C291" t="s">
        <v>1412</v>
      </c>
      <c r="D291" t="s">
        <v>885</v>
      </c>
      <c r="E291" t="s">
        <v>1413</v>
      </c>
      <c r="F291" t="s">
        <v>118</v>
      </c>
      <c r="G291" t="str">
        <f>HYPERLINK("https://vk.com/wall-27863223_292520?reply=292522")</f>
        <v>https://vk.com/wall-27863223_292520?reply=292522</v>
      </c>
      <c r="H291" t="s">
        <v>119</v>
      </c>
      <c r="I291" t="s">
        <v>1111</v>
      </c>
      <c r="J291" t="str">
        <f>HYPERLINK("http://vk.com/id575539922")</f>
        <v>http://vk.com/id575539922</v>
      </c>
      <c r="K291">
        <v>12</v>
      </c>
      <c r="L291" t="s">
        <v>121</v>
      </c>
      <c r="M291">
        <v>54</v>
      </c>
      <c r="N291" t="s">
        <v>122</v>
      </c>
      <c r="O291" t="s">
        <v>175</v>
      </c>
      <c r="P291" t="str">
        <f>HYPERLINK("http://vk.com/club27863223")</f>
        <v>http://vk.com/club27863223</v>
      </c>
      <c r="Q291">
        <v>134698</v>
      </c>
      <c r="R291" t="s">
        <v>124</v>
      </c>
      <c r="S291" t="s">
        <v>125</v>
      </c>
      <c r="T291" t="s">
        <v>627</v>
      </c>
      <c r="U291" t="s">
        <v>1112</v>
      </c>
      <c r="W291">
        <v>0</v>
      </c>
      <c r="X291">
        <v>0</v>
      </c>
      <c r="AM291" t="s">
        <v>129</v>
      </c>
      <c r="AN291" t="s">
        <v>130</v>
      </c>
      <c r="AP291" t="s">
        <v>41</v>
      </c>
      <c r="AU291" t="s">
        <v>46</v>
      </c>
      <c r="AZ291" t="s">
        <v>51</v>
      </c>
      <c r="BA291" t="s">
        <v>52</v>
      </c>
    </row>
    <row r="292" spans="1:69" x14ac:dyDescent="0.2">
      <c r="A292" t="s">
        <v>1237</v>
      </c>
      <c r="B292" t="s">
        <v>1414</v>
      </c>
      <c r="C292" t="s">
        <v>1415</v>
      </c>
      <c r="D292" t="s">
        <v>1416</v>
      </c>
      <c r="E292" t="s">
        <v>1417</v>
      </c>
      <c r="F292" t="s">
        <v>118</v>
      </c>
      <c r="G292" t="str">
        <f>HYPERLINK("https://vk.com/wall-194804284_4424?reply=4474&amp;thread=4467")</f>
        <v>https://vk.com/wall-194804284_4424?reply=4474&amp;thread=4467</v>
      </c>
      <c r="H292" t="s">
        <v>119</v>
      </c>
      <c r="I292" t="s">
        <v>1418</v>
      </c>
      <c r="J292" t="str">
        <f>HYPERLINK("http://vk.com/club194804284")</f>
        <v>http://vk.com/club194804284</v>
      </c>
      <c r="K292">
        <v>10244</v>
      </c>
      <c r="L292" t="s">
        <v>340</v>
      </c>
      <c r="N292" t="s">
        <v>122</v>
      </c>
      <c r="O292" t="s">
        <v>1418</v>
      </c>
      <c r="P292" t="str">
        <f>HYPERLINK("http://vk.com/club194804284")</f>
        <v>http://vk.com/club194804284</v>
      </c>
      <c r="Q292">
        <v>10244</v>
      </c>
      <c r="R292" t="s">
        <v>124</v>
      </c>
      <c r="AM292" t="s">
        <v>129</v>
      </c>
      <c r="AN292" t="s">
        <v>130</v>
      </c>
      <c r="AP292" t="s">
        <v>41</v>
      </c>
      <c r="AU292" t="s">
        <v>46</v>
      </c>
      <c r="AZ292" t="s">
        <v>51</v>
      </c>
      <c r="BA292" t="s">
        <v>52</v>
      </c>
    </row>
    <row r="293" spans="1:69" x14ac:dyDescent="0.2">
      <c r="A293" t="s">
        <v>1237</v>
      </c>
      <c r="B293" t="s">
        <v>1419</v>
      </c>
      <c r="C293" t="s">
        <v>1420</v>
      </c>
      <c r="D293" t="s">
        <v>1421</v>
      </c>
      <c r="E293" t="s">
        <v>1422</v>
      </c>
      <c r="F293" t="s">
        <v>118</v>
      </c>
      <c r="G293" t="str">
        <f>HYPERLINK("https://vk.com/wall-15620409_4629?reply=4650")</f>
        <v>https://vk.com/wall-15620409_4629?reply=4650</v>
      </c>
      <c r="H293" t="s">
        <v>119</v>
      </c>
      <c r="I293" t="s">
        <v>1423</v>
      </c>
      <c r="J293" t="str">
        <f>HYPERLINK("http://vk.com/id34552841")</f>
        <v>http://vk.com/id34552841</v>
      </c>
      <c r="K293">
        <v>322</v>
      </c>
      <c r="L293" t="s">
        <v>121</v>
      </c>
      <c r="M293">
        <v>30</v>
      </c>
      <c r="N293" t="s">
        <v>122</v>
      </c>
      <c r="O293" t="s">
        <v>1424</v>
      </c>
      <c r="P293" t="str">
        <f>HYPERLINK("http://vk.com/club15620409")</f>
        <v>http://vk.com/club15620409</v>
      </c>
      <c r="Q293">
        <v>1827</v>
      </c>
      <c r="R293" t="s">
        <v>124</v>
      </c>
      <c r="S293" t="s">
        <v>125</v>
      </c>
      <c r="AM293" t="s">
        <v>129</v>
      </c>
      <c r="AN293" t="s">
        <v>130</v>
      </c>
      <c r="AP293" t="s">
        <v>41</v>
      </c>
      <c r="AU293" t="s">
        <v>46</v>
      </c>
      <c r="AY293" t="s">
        <v>50</v>
      </c>
      <c r="AZ293" t="s">
        <v>51</v>
      </c>
      <c r="BA293" t="s">
        <v>52</v>
      </c>
      <c r="BL293" t="s">
        <v>63</v>
      </c>
      <c r="BQ293" t="s">
        <v>68</v>
      </c>
    </row>
    <row r="294" spans="1:69" x14ac:dyDescent="0.2">
      <c r="A294" t="s">
        <v>1237</v>
      </c>
      <c r="B294" t="s">
        <v>1425</v>
      </c>
      <c r="C294" t="s">
        <v>1412</v>
      </c>
      <c r="D294" t="s">
        <v>215</v>
      </c>
      <c r="E294" t="s">
        <v>1084</v>
      </c>
      <c r="F294" t="s">
        <v>118</v>
      </c>
      <c r="G294" t="str">
        <f>HYPERLINK("https://vk.com/wall-27863223_292439?reply=292521")</f>
        <v>https://vk.com/wall-27863223_292439?reply=292521</v>
      </c>
      <c r="H294" t="s">
        <v>119</v>
      </c>
      <c r="I294" t="s">
        <v>799</v>
      </c>
      <c r="J294" t="str">
        <f>HYPERLINK("http://vk.com/id177360670")</f>
        <v>http://vk.com/id177360670</v>
      </c>
      <c r="K294">
        <v>270</v>
      </c>
      <c r="L294" t="s">
        <v>151</v>
      </c>
      <c r="N294" t="s">
        <v>122</v>
      </c>
      <c r="O294" t="s">
        <v>175</v>
      </c>
      <c r="P294" t="str">
        <f>HYPERLINK("http://vk.com/club27863223")</f>
        <v>http://vk.com/club27863223</v>
      </c>
      <c r="Q294">
        <v>134698</v>
      </c>
      <c r="R294" t="s">
        <v>124</v>
      </c>
      <c r="S294" t="s">
        <v>125</v>
      </c>
      <c r="W294">
        <v>0</v>
      </c>
      <c r="X294">
        <v>0</v>
      </c>
      <c r="AM294" t="s">
        <v>129</v>
      </c>
      <c r="AN294" t="s">
        <v>130</v>
      </c>
      <c r="AO294" t="s">
        <v>40</v>
      </c>
      <c r="AP294" t="s">
        <v>41</v>
      </c>
      <c r="AZ294" t="s">
        <v>51</v>
      </c>
      <c r="BA294" t="s">
        <v>52</v>
      </c>
    </row>
    <row r="295" spans="1:69" x14ac:dyDescent="0.2">
      <c r="A295" t="s">
        <v>1237</v>
      </c>
      <c r="B295" t="s">
        <v>296</v>
      </c>
      <c r="C295" t="s">
        <v>1426</v>
      </c>
      <c r="D295" t="s">
        <v>204</v>
      </c>
      <c r="E295" t="s">
        <v>1427</v>
      </c>
      <c r="F295" t="s">
        <v>180</v>
      </c>
      <c r="G295" t="str">
        <f>HYPERLINK("https://play.google.com/store/apps/details?id=ru.iflex.android.a3colortv&amp;reviewId=gp:AOqpTOEXFuIoD6u7hWIho-TRhGXYB4ZOov2oz7cpEgLVKQLtD9pHgfGq0AQOmF5ggX7xzMYokRuZkcm3SMIIgw")</f>
        <v>https://play.google.com/store/apps/details?id=ru.iflex.android.a3colortv&amp;reviewId=gp:AOqpTOEXFuIoD6u7hWIho-TRhGXYB4ZOov2oz7cpEgLVKQLtD9pHgfGq0AQOmF5ggX7xzMYokRuZkcm3SMIIgw</v>
      </c>
      <c r="H295" t="s">
        <v>119</v>
      </c>
      <c r="I295" t="s">
        <v>1428</v>
      </c>
      <c r="J295" t="str">
        <f>HYPERLINK("https://plus.google.com/108960720181899690122")</f>
        <v>https://plus.google.com/108960720181899690122</v>
      </c>
      <c r="L295" t="s">
        <v>151</v>
      </c>
      <c r="N295" t="s">
        <v>207</v>
      </c>
      <c r="O295" t="s">
        <v>204</v>
      </c>
      <c r="P295" t="str">
        <f>HYPERLINK("https://play.google.com/store/apps/details?id=ru.iflex.android.a3colortv&amp;hl=ru")</f>
        <v>https://play.google.com/store/apps/details?id=ru.iflex.android.a3colortv&amp;hl=ru</v>
      </c>
      <c r="R295" t="s">
        <v>184</v>
      </c>
      <c r="S295" t="s">
        <v>125</v>
      </c>
      <c r="W295">
        <v>0</v>
      </c>
      <c r="X295">
        <v>0</v>
      </c>
      <c r="AH295">
        <v>4</v>
      </c>
      <c r="AM295" t="s">
        <v>129</v>
      </c>
      <c r="AN295" t="s">
        <v>130</v>
      </c>
      <c r="AP295" t="s">
        <v>41</v>
      </c>
      <c r="AZ295" t="s">
        <v>51</v>
      </c>
      <c r="BA295" t="s">
        <v>52</v>
      </c>
      <c r="BQ295" t="s">
        <v>68</v>
      </c>
    </row>
    <row r="296" spans="1:69" x14ac:dyDescent="0.2">
      <c r="A296" t="s">
        <v>1237</v>
      </c>
      <c r="B296" t="s">
        <v>1429</v>
      </c>
      <c r="C296" t="s">
        <v>1430</v>
      </c>
      <c r="D296" t="s">
        <v>129</v>
      </c>
      <c r="E296" t="s">
        <v>1431</v>
      </c>
      <c r="F296" t="s">
        <v>180</v>
      </c>
      <c r="G296" t="str">
        <f>HYPERLINK("https://www.facebook.com/tricolortv/posts/4128128763908029")</f>
        <v>https://www.facebook.com/tricolortv/posts/4128128763908029</v>
      </c>
      <c r="H296" t="s">
        <v>119</v>
      </c>
      <c r="I296" t="s">
        <v>175</v>
      </c>
      <c r="J296" t="str">
        <f>HYPERLINK("https://www.facebook.com/206198386101106")</f>
        <v>https://www.facebook.com/206198386101106</v>
      </c>
      <c r="K296">
        <v>16432</v>
      </c>
      <c r="L296" t="s">
        <v>340</v>
      </c>
      <c r="N296" t="s">
        <v>305</v>
      </c>
      <c r="O296" t="s">
        <v>175</v>
      </c>
      <c r="P296" t="str">
        <f>HYPERLINK("https://www.facebook.com/206198386101106")</f>
        <v>https://www.facebook.com/206198386101106</v>
      </c>
      <c r="Q296">
        <v>16432</v>
      </c>
      <c r="R296" t="s">
        <v>124</v>
      </c>
      <c r="W296">
        <v>3</v>
      </c>
      <c r="X296">
        <v>3</v>
      </c>
      <c r="Y296">
        <v>0</v>
      </c>
      <c r="Z296">
        <v>0</v>
      </c>
      <c r="AA296">
        <v>0</v>
      </c>
      <c r="AB296">
        <v>0</v>
      </c>
      <c r="AC296">
        <v>0</v>
      </c>
      <c r="AE296">
        <v>0</v>
      </c>
      <c r="AF296">
        <v>0</v>
      </c>
      <c r="AJ296" t="s">
        <v>1432</v>
      </c>
      <c r="AK296" t="s">
        <v>129</v>
      </c>
      <c r="AL296" t="str">
        <f>HYPERLINK("https://i.ytimg.com/vi/ByYCxVPitbQ/hqdefault.jpg")</f>
        <v>https://i.ytimg.com/vi/ByYCxVPitbQ/hqdefault.jpg</v>
      </c>
      <c r="AM296" t="s">
        <v>129</v>
      </c>
      <c r="AN296" t="s">
        <v>130</v>
      </c>
      <c r="BI296" t="s">
        <v>60</v>
      </c>
    </row>
    <row r="297" spans="1:69" x14ac:dyDescent="0.2">
      <c r="A297" t="s">
        <v>1237</v>
      </c>
      <c r="B297" t="s">
        <v>1433</v>
      </c>
      <c r="C297" t="s">
        <v>1434</v>
      </c>
      <c r="D297" t="s">
        <v>885</v>
      </c>
      <c r="E297" t="s">
        <v>1435</v>
      </c>
      <c r="F297" t="s">
        <v>180</v>
      </c>
      <c r="G297" t="str">
        <f>HYPERLINK("https://ok.ru/group/51085510115462/topic/153501601473926")</f>
        <v>https://ok.ru/group/51085510115462/topic/153501601473926</v>
      </c>
      <c r="H297" t="s">
        <v>119</v>
      </c>
      <c r="I297" t="s">
        <v>175</v>
      </c>
      <c r="J297" t="str">
        <f>HYPERLINK("https://ok.ru/group/51085510115462")</f>
        <v>https://ok.ru/group/51085510115462</v>
      </c>
      <c r="K297">
        <v>94768</v>
      </c>
      <c r="L297" t="s">
        <v>340</v>
      </c>
      <c r="N297" t="s">
        <v>347</v>
      </c>
      <c r="O297" t="s">
        <v>175</v>
      </c>
      <c r="P297" t="str">
        <f>HYPERLINK("https://ok.ru/group/51085510115462")</f>
        <v>https://ok.ru/group/51085510115462</v>
      </c>
      <c r="Q297">
        <v>94768</v>
      </c>
      <c r="R297" t="s">
        <v>124</v>
      </c>
      <c r="W297">
        <v>14</v>
      </c>
      <c r="X297">
        <v>14</v>
      </c>
      <c r="Y297">
        <v>0</v>
      </c>
      <c r="Z297">
        <v>0</v>
      </c>
      <c r="AA297">
        <v>0</v>
      </c>
      <c r="AB297">
        <v>0</v>
      </c>
      <c r="AE297">
        <v>0</v>
      </c>
      <c r="AF297">
        <v>0</v>
      </c>
      <c r="AJ297" t="s">
        <v>1436</v>
      </c>
      <c r="AK297" t="s">
        <v>129</v>
      </c>
      <c r="AL297" t="str">
        <f>HYPERLINK("https://i.mycdn.me/videoPreview?id=1460390267546&amp;type=37&amp;idx=15&amp;tkn=t_Ezyfvy-KatMFS800URB-gVjNQ")</f>
        <v>https://i.mycdn.me/videoPreview?id=1460390267546&amp;type=37&amp;idx=15&amp;tkn=t_Ezyfvy-KatMFS800URB-gVjNQ</v>
      </c>
      <c r="AM297" t="s">
        <v>129</v>
      </c>
      <c r="AN297" t="s">
        <v>130</v>
      </c>
      <c r="BI297" t="s">
        <v>60</v>
      </c>
    </row>
    <row r="298" spans="1:69" x14ac:dyDescent="0.2">
      <c r="A298" t="s">
        <v>1237</v>
      </c>
      <c r="B298" t="s">
        <v>1437</v>
      </c>
      <c r="C298" t="s">
        <v>1438</v>
      </c>
      <c r="D298" t="s">
        <v>175</v>
      </c>
      <c r="E298" t="s">
        <v>1439</v>
      </c>
      <c r="F298" t="s">
        <v>180</v>
      </c>
      <c r="G298" t="str">
        <f>HYPERLINK("https://yandex.ru/maps/org/1605527962#guX3N93xCokZS2yVipREUUpyE3gM01f")</f>
        <v>https://yandex.ru/maps/org/1605527962#guX3N93xCokZS2yVipREUUpyE3gM01f</v>
      </c>
      <c r="H298" t="s">
        <v>181</v>
      </c>
      <c r="I298" t="s">
        <v>1440</v>
      </c>
      <c r="J298" t="str">
        <f>HYPERLINK("https://yandex.ru/user/n5zkjrk62nkzgjn5bq83n4e32r")</f>
        <v>https://yandex.ru/user/n5zkjrk62nkzgjn5bq83n4e32r</v>
      </c>
      <c r="L298" t="s">
        <v>121</v>
      </c>
      <c r="N298" t="s">
        <v>236</v>
      </c>
      <c r="O298" t="s">
        <v>175</v>
      </c>
      <c r="P298" t="str">
        <f>HYPERLINK("https://yandex.ru/maps/org/1605527962")</f>
        <v>https://yandex.ru/maps/org/1605527962</v>
      </c>
      <c r="R298" t="s">
        <v>184</v>
      </c>
      <c r="S298" t="s">
        <v>125</v>
      </c>
      <c r="T298" t="s">
        <v>372</v>
      </c>
      <c r="U298" t="s">
        <v>1441</v>
      </c>
      <c r="W298">
        <v>0</v>
      </c>
      <c r="X298">
        <v>0</v>
      </c>
      <c r="AH298">
        <v>5</v>
      </c>
      <c r="AM298" t="s">
        <v>129</v>
      </c>
      <c r="AN298" t="s">
        <v>130</v>
      </c>
      <c r="AP298" t="s">
        <v>41</v>
      </c>
      <c r="AX298" t="s">
        <v>49</v>
      </c>
      <c r="AY298" t="s">
        <v>50</v>
      </c>
      <c r="AZ298" t="s">
        <v>51</v>
      </c>
      <c r="BA298" t="s">
        <v>52</v>
      </c>
    </row>
    <row r="299" spans="1:69" x14ac:dyDescent="0.2">
      <c r="A299" t="s">
        <v>1237</v>
      </c>
      <c r="B299" t="s">
        <v>1442</v>
      </c>
      <c r="C299" t="s">
        <v>1443</v>
      </c>
      <c r="D299" t="s">
        <v>1444</v>
      </c>
      <c r="E299" t="s">
        <v>1445</v>
      </c>
      <c r="F299" t="s">
        <v>118</v>
      </c>
      <c r="G299" t="str">
        <f>HYPERLINK("https://vk.com/wall-27863223_292411?reply=292516")</f>
        <v>https://vk.com/wall-27863223_292411?reply=292516</v>
      </c>
      <c r="H299" t="s">
        <v>119</v>
      </c>
      <c r="I299" t="s">
        <v>396</v>
      </c>
      <c r="J299" t="str">
        <f>HYPERLINK("http://vk.com/id660994595")</f>
        <v>http://vk.com/id660994595</v>
      </c>
      <c r="K299">
        <v>0</v>
      </c>
      <c r="L299" t="s">
        <v>121</v>
      </c>
      <c r="M299">
        <v>18</v>
      </c>
      <c r="N299" t="s">
        <v>122</v>
      </c>
      <c r="O299" t="s">
        <v>175</v>
      </c>
      <c r="P299" t="str">
        <f>HYPERLINK("http://vk.com/club27863223")</f>
        <v>http://vk.com/club27863223</v>
      </c>
      <c r="Q299">
        <v>134698</v>
      </c>
      <c r="R299" t="s">
        <v>124</v>
      </c>
      <c r="W299">
        <v>0</v>
      </c>
      <c r="X299">
        <v>0</v>
      </c>
      <c r="AM299" t="s">
        <v>129</v>
      </c>
      <c r="AN299" t="s">
        <v>130</v>
      </c>
      <c r="AP299" t="s">
        <v>41</v>
      </c>
      <c r="AY299" t="s">
        <v>50</v>
      </c>
      <c r="AZ299" t="s">
        <v>51</v>
      </c>
      <c r="BA299" t="s">
        <v>52</v>
      </c>
    </row>
    <row r="300" spans="1:69" x14ac:dyDescent="0.2">
      <c r="A300" t="s">
        <v>1237</v>
      </c>
      <c r="B300" t="s">
        <v>1446</v>
      </c>
      <c r="C300" t="s">
        <v>1447</v>
      </c>
      <c r="D300" t="s">
        <v>1448</v>
      </c>
      <c r="E300" t="s">
        <v>1449</v>
      </c>
      <c r="F300" t="s">
        <v>118</v>
      </c>
      <c r="G300" t="str">
        <f>HYPERLINK("https://vk.com/wall-59473612_703190?reply=703304")</f>
        <v>https://vk.com/wall-59473612_703190?reply=703304</v>
      </c>
      <c r="H300" t="s">
        <v>119</v>
      </c>
      <c r="I300" t="s">
        <v>1450</v>
      </c>
      <c r="J300" t="str">
        <f>HYPERLINK("http://vk.com/id142442869")</f>
        <v>http://vk.com/id142442869</v>
      </c>
      <c r="K300">
        <v>6</v>
      </c>
      <c r="L300" t="s">
        <v>121</v>
      </c>
      <c r="N300" t="s">
        <v>122</v>
      </c>
      <c r="O300" t="s">
        <v>1451</v>
      </c>
      <c r="P300" t="str">
        <f>HYPERLINK("http://vk.com/club59473612")</f>
        <v>http://vk.com/club59473612</v>
      </c>
      <c r="Q300">
        <v>39490</v>
      </c>
      <c r="R300" t="s">
        <v>124</v>
      </c>
      <c r="S300" t="s">
        <v>125</v>
      </c>
      <c r="T300" t="s">
        <v>1027</v>
      </c>
      <c r="U300" t="s">
        <v>1028</v>
      </c>
      <c r="AM300" t="s">
        <v>129</v>
      </c>
      <c r="AN300" t="s">
        <v>130</v>
      </c>
      <c r="AP300" t="s">
        <v>41</v>
      </c>
      <c r="AY300" t="s">
        <v>50</v>
      </c>
      <c r="AZ300" t="s">
        <v>51</v>
      </c>
      <c r="BA300" t="s">
        <v>52</v>
      </c>
    </row>
    <row r="301" spans="1:69" x14ac:dyDescent="0.2">
      <c r="A301" t="s">
        <v>1237</v>
      </c>
      <c r="B301" t="s">
        <v>337</v>
      </c>
      <c r="C301" t="s">
        <v>1179</v>
      </c>
      <c r="D301" t="s">
        <v>1452</v>
      </c>
      <c r="E301" t="s">
        <v>1453</v>
      </c>
      <c r="F301" t="s">
        <v>180</v>
      </c>
      <c r="G301" t="str">
        <f>HYPERLINK("https://telesputnik.ru/materials/companies/news/teper-i-v-desktope-trikolor-obnovil-veb-versiyu-lichnogo-kabineta-klienta-/")</f>
        <v>https://telesputnik.ru/materials/companies/news/teper-i-v-desktope-trikolor-obnovil-veb-versiyu-lichnogo-kabineta-klienta-/</v>
      </c>
      <c r="H301" t="s">
        <v>119</v>
      </c>
      <c r="N301" t="s">
        <v>335</v>
      </c>
      <c r="R301" t="s">
        <v>785</v>
      </c>
      <c r="S301" t="s">
        <v>125</v>
      </c>
      <c r="AM301" t="s">
        <v>129</v>
      </c>
      <c r="AN301" t="s">
        <v>130</v>
      </c>
      <c r="AV301" t="s">
        <v>47</v>
      </c>
    </row>
    <row r="302" spans="1:69" x14ac:dyDescent="0.2">
      <c r="A302" t="s">
        <v>1237</v>
      </c>
      <c r="B302" t="s">
        <v>337</v>
      </c>
      <c r="C302" t="s">
        <v>1454</v>
      </c>
      <c r="D302" t="s">
        <v>1452</v>
      </c>
      <c r="E302" t="s">
        <v>1455</v>
      </c>
      <c r="F302" t="s">
        <v>180</v>
      </c>
      <c r="G302" t="str">
        <f>HYPERLINK("https://www.telesputnik.ru/materials/companies/news/teper-i-v-desktope-trikolor-obnovil-veb-versiyu-lichnogo-kabineta-klienta-/")</f>
        <v>https://www.telesputnik.ru/materials/companies/news/teper-i-v-desktope-trikolor-obnovil-veb-versiyu-lichnogo-kabineta-klienta-/</v>
      </c>
      <c r="H302" t="s">
        <v>119</v>
      </c>
      <c r="N302" t="s">
        <v>335</v>
      </c>
      <c r="R302" t="s">
        <v>785</v>
      </c>
      <c r="S302" t="s">
        <v>125</v>
      </c>
      <c r="T302" t="s">
        <v>487</v>
      </c>
      <c r="U302" t="s">
        <v>1456</v>
      </c>
      <c r="AJ302" t="s">
        <v>1457</v>
      </c>
      <c r="AK302" t="s">
        <v>453</v>
      </c>
      <c r="AL302" t="str">
        <f>HYPERLINK("http://www.telesputnik.ru/upload/iblock/b15/teper_i_v_desktope_trikolor_obnovil_veb_versiyu_lichnogo_kabineta_klienta.jpg")</f>
        <v>http://www.telesputnik.ru/upload/iblock/b15/teper_i_v_desktope_trikolor_obnovil_veb_versiyu_lichnogo_kabineta_klienta.jpg</v>
      </c>
      <c r="AM302" t="s">
        <v>129</v>
      </c>
      <c r="AN302" t="s">
        <v>130</v>
      </c>
      <c r="AV302" t="s">
        <v>47</v>
      </c>
    </row>
    <row r="303" spans="1:69" x14ac:dyDescent="0.2">
      <c r="A303" t="s">
        <v>1237</v>
      </c>
      <c r="B303" t="s">
        <v>906</v>
      </c>
      <c r="C303" t="s">
        <v>1443</v>
      </c>
      <c r="D303" t="s">
        <v>215</v>
      </c>
      <c r="E303" t="s">
        <v>1056</v>
      </c>
      <c r="F303" t="s">
        <v>118</v>
      </c>
      <c r="G303" t="str">
        <f>HYPERLINK("https://vk.com/wall-27863223_292439?reply=292515")</f>
        <v>https://vk.com/wall-27863223_292439?reply=292515</v>
      </c>
      <c r="H303" t="s">
        <v>119</v>
      </c>
      <c r="I303" t="s">
        <v>217</v>
      </c>
      <c r="J303" t="str">
        <f>HYPERLINK("http://vk.com/id25416833")</f>
        <v>http://vk.com/id25416833</v>
      </c>
      <c r="K303">
        <v>247</v>
      </c>
      <c r="L303" t="s">
        <v>151</v>
      </c>
      <c r="N303" t="s">
        <v>122</v>
      </c>
      <c r="O303" t="s">
        <v>175</v>
      </c>
      <c r="P303" t="str">
        <f>HYPERLINK("http://vk.com/club27863223")</f>
        <v>http://vk.com/club27863223</v>
      </c>
      <c r="Q303">
        <v>134698</v>
      </c>
      <c r="R303" t="s">
        <v>124</v>
      </c>
      <c r="S303" t="s">
        <v>125</v>
      </c>
      <c r="T303" t="s">
        <v>218</v>
      </c>
      <c r="U303" t="s">
        <v>219</v>
      </c>
      <c r="W303">
        <v>0</v>
      </c>
      <c r="X303">
        <v>0</v>
      </c>
      <c r="AM303" t="s">
        <v>129</v>
      </c>
      <c r="AN303" t="s">
        <v>130</v>
      </c>
      <c r="AO303" t="s">
        <v>40</v>
      </c>
      <c r="AP303" t="s">
        <v>41</v>
      </c>
      <c r="AZ303" t="s">
        <v>51</v>
      </c>
      <c r="BA303" t="s">
        <v>52</v>
      </c>
    </row>
    <row r="304" spans="1:69" x14ac:dyDescent="0.2">
      <c r="A304" t="s">
        <v>1237</v>
      </c>
      <c r="B304" t="s">
        <v>1458</v>
      </c>
      <c r="C304" t="s">
        <v>1459</v>
      </c>
      <c r="D304" t="s">
        <v>204</v>
      </c>
      <c r="E304" t="s">
        <v>1460</v>
      </c>
      <c r="F304" t="s">
        <v>180</v>
      </c>
      <c r="G304" t="str">
        <f>HYPERLINK("https://play.google.com/store/apps/details?id=ru.iflex.android.a3colortv&amp;reviewId=gp:AOqpTOGjW4RVu0H28m0Q3RuuT65bIVxrP_OAv1SBOdF5zItRWedQ6NMYNP7Gnq2Swn6H9SCzyqKoD3gIC2xSBw")</f>
        <v>https://play.google.com/store/apps/details?id=ru.iflex.android.a3colortv&amp;reviewId=gp:AOqpTOGjW4RVu0H28m0Q3RuuT65bIVxrP_OAv1SBOdF5zItRWedQ6NMYNP7Gnq2Swn6H9SCzyqKoD3gIC2xSBw</v>
      </c>
      <c r="H304" t="s">
        <v>228</v>
      </c>
      <c r="I304" t="s">
        <v>1461</v>
      </c>
      <c r="J304" t="str">
        <f>HYPERLINK("https://plus.google.com/108405613016569568396")</f>
        <v>https://plus.google.com/108405613016569568396</v>
      </c>
      <c r="L304" t="s">
        <v>121</v>
      </c>
      <c r="N304" t="s">
        <v>207</v>
      </c>
      <c r="O304" t="s">
        <v>204</v>
      </c>
      <c r="P304" t="str">
        <f>HYPERLINK("https://play.google.com/store/apps/details?id=ru.iflex.android.a3colortv&amp;hl=ru")</f>
        <v>https://play.google.com/store/apps/details?id=ru.iflex.android.a3colortv&amp;hl=ru</v>
      </c>
      <c r="R304" t="s">
        <v>184</v>
      </c>
      <c r="S304" t="s">
        <v>125</v>
      </c>
      <c r="W304">
        <v>0</v>
      </c>
      <c r="X304">
        <v>0</v>
      </c>
      <c r="AH304">
        <v>1</v>
      </c>
      <c r="AM304" t="s">
        <v>129</v>
      </c>
      <c r="AN304" t="s">
        <v>130</v>
      </c>
      <c r="AP304" t="s">
        <v>41</v>
      </c>
      <c r="AT304" t="s">
        <v>45</v>
      </c>
      <c r="AZ304" t="s">
        <v>51</v>
      </c>
      <c r="BA304" t="s">
        <v>52</v>
      </c>
      <c r="BQ304" t="s">
        <v>68</v>
      </c>
    </row>
    <row r="305" spans="1:69" x14ac:dyDescent="0.2">
      <c r="A305" t="s">
        <v>1237</v>
      </c>
      <c r="B305" t="s">
        <v>1462</v>
      </c>
      <c r="C305" t="s">
        <v>1463</v>
      </c>
      <c r="D305" t="s">
        <v>215</v>
      </c>
      <c r="E305" t="s">
        <v>1464</v>
      </c>
      <c r="F305" t="s">
        <v>118</v>
      </c>
      <c r="G305" t="str">
        <f>HYPERLINK("https://vk.com/wall-27863223_292439?reply=292514")</f>
        <v>https://vk.com/wall-27863223_292439?reply=292514</v>
      </c>
      <c r="H305" t="s">
        <v>119</v>
      </c>
      <c r="I305" t="s">
        <v>1465</v>
      </c>
      <c r="J305" t="str">
        <f>HYPERLINK("http://vk.com/id645453971")</f>
        <v>http://vk.com/id645453971</v>
      </c>
      <c r="K305">
        <v>46</v>
      </c>
      <c r="L305" t="s">
        <v>121</v>
      </c>
      <c r="M305">
        <v>30</v>
      </c>
      <c r="N305" t="s">
        <v>122</v>
      </c>
      <c r="O305" t="s">
        <v>175</v>
      </c>
      <c r="P305" t="str">
        <f>HYPERLINK("http://vk.com/club27863223")</f>
        <v>http://vk.com/club27863223</v>
      </c>
      <c r="Q305">
        <v>134698</v>
      </c>
      <c r="R305" t="s">
        <v>124</v>
      </c>
      <c r="S305" t="s">
        <v>125</v>
      </c>
      <c r="T305" t="s">
        <v>1466</v>
      </c>
      <c r="U305" t="s">
        <v>1467</v>
      </c>
      <c r="W305">
        <v>0</v>
      </c>
      <c r="X305">
        <v>0</v>
      </c>
      <c r="AM305" t="s">
        <v>129</v>
      </c>
      <c r="AN305" t="s">
        <v>130</v>
      </c>
      <c r="AO305" t="s">
        <v>40</v>
      </c>
      <c r="AP305" t="s">
        <v>41</v>
      </c>
      <c r="AZ305" t="s">
        <v>51</v>
      </c>
      <c r="BA305" t="s">
        <v>52</v>
      </c>
    </row>
    <row r="306" spans="1:69" x14ac:dyDescent="0.2">
      <c r="A306" t="s">
        <v>1237</v>
      </c>
      <c r="B306" t="s">
        <v>1468</v>
      </c>
      <c r="C306" t="s">
        <v>1335</v>
      </c>
      <c r="D306" t="s">
        <v>1336</v>
      </c>
      <c r="E306" t="s">
        <v>1469</v>
      </c>
      <c r="F306" t="s">
        <v>118</v>
      </c>
      <c r="G306" t="str">
        <f>HYPERLINK("https://www.youtube.com/watch?v=XSvUHFcHCNU&amp;lc=Ugxiusab0nXoWogoX3h4AaABAg")</f>
        <v>https://www.youtube.com/watch?v=XSvUHFcHCNU&amp;lc=Ugxiusab0nXoWogoX3h4AaABAg</v>
      </c>
      <c r="H306" t="s">
        <v>119</v>
      </c>
      <c r="I306" t="s">
        <v>1470</v>
      </c>
      <c r="J306" t="str">
        <f>HYPERLINK("https://www.youtube.com/channel/UCfHVg1ZKjz3vSoJVo_jbOiw")</f>
        <v>https://www.youtube.com/channel/UCfHVg1ZKjz3vSoJVo_jbOiw</v>
      </c>
      <c r="K306">
        <v>2</v>
      </c>
      <c r="N306" t="s">
        <v>248</v>
      </c>
      <c r="O306" t="s">
        <v>1338</v>
      </c>
      <c r="P306" t="str">
        <f>HYPERLINK("https://www.youtube.com/channel/UCbGvxMcJgZWpeT0ymfG7-RQ")</f>
        <v>https://www.youtube.com/channel/UCbGvxMcJgZWpeT0ymfG7-RQ</v>
      </c>
      <c r="Q306">
        <v>818</v>
      </c>
      <c r="R306" t="s">
        <v>124</v>
      </c>
      <c r="S306" t="s">
        <v>125</v>
      </c>
      <c r="W306">
        <v>0</v>
      </c>
      <c r="X306">
        <v>0</v>
      </c>
      <c r="AE306">
        <v>1</v>
      </c>
      <c r="AM306" t="s">
        <v>129</v>
      </c>
      <c r="AN306" t="s">
        <v>130</v>
      </c>
      <c r="AP306" t="s">
        <v>41</v>
      </c>
      <c r="AT306" t="s">
        <v>45</v>
      </c>
      <c r="AZ306" t="s">
        <v>51</v>
      </c>
      <c r="BA306" t="s">
        <v>52</v>
      </c>
      <c r="BL306" t="s">
        <v>63</v>
      </c>
      <c r="BM306" t="s">
        <v>64</v>
      </c>
    </row>
    <row r="307" spans="1:69" x14ac:dyDescent="0.2">
      <c r="A307" t="s">
        <v>1237</v>
      </c>
      <c r="B307" t="s">
        <v>1468</v>
      </c>
      <c r="C307" t="s">
        <v>1471</v>
      </c>
      <c r="D307" t="s">
        <v>424</v>
      </c>
      <c r="E307" t="s">
        <v>1472</v>
      </c>
      <c r="F307" t="s">
        <v>118</v>
      </c>
      <c r="G307" t="str">
        <f>HYPERLINK("https://vk.com/topic-124657642_40664927?post=4883")</f>
        <v>https://vk.com/topic-124657642_40664927?post=4883</v>
      </c>
      <c r="H307" t="s">
        <v>119</v>
      </c>
      <c r="I307" t="s">
        <v>426</v>
      </c>
      <c r="J307" t="str">
        <f>HYPERLINK("http://vk.com/id146095413")</f>
        <v>http://vk.com/id146095413</v>
      </c>
      <c r="K307">
        <v>76</v>
      </c>
      <c r="L307" t="s">
        <v>151</v>
      </c>
      <c r="M307">
        <v>49</v>
      </c>
      <c r="N307" t="s">
        <v>122</v>
      </c>
      <c r="O307" t="s">
        <v>427</v>
      </c>
      <c r="P307" t="str">
        <f>HYPERLINK("http://vk.com/club124657642")</f>
        <v>http://vk.com/club124657642</v>
      </c>
      <c r="Q307">
        <v>15373</v>
      </c>
      <c r="R307" t="s">
        <v>124</v>
      </c>
      <c r="S307" t="s">
        <v>125</v>
      </c>
      <c r="T307" t="s">
        <v>428</v>
      </c>
      <c r="U307" t="s">
        <v>429</v>
      </c>
      <c r="AM307" t="s">
        <v>129</v>
      </c>
      <c r="AN307" t="s">
        <v>130</v>
      </c>
      <c r="AP307" t="s">
        <v>41</v>
      </c>
      <c r="AT307" t="s">
        <v>45</v>
      </c>
      <c r="AU307" t="s">
        <v>46</v>
      </c>
      <c r="AZ307" t="s">
        <v>51</v>
      </c>
      <c r="BA307" t="s">
        <v>52</v>
      </c>
      <c r="BQ307" t="s">
        <v>68</v>
      </c>
    </row>
    <row r="308" spans="1:69" x14ac:dyDescent="0.2">
      <c r="A308" t="s">
        <v>1237</v>
      </c>
      <c r="B308" t="s">
        <v>1473</v>
      </c>
      <c r="C308" t="s">
        <v>1474</v>
      </c>
      <c r="D308" t="s">
        <v>1475</v>
      </c>
      <c r="E308" t="s">
        <v>1476</v>
      </c>
      <c r="F308" t="s">
        <v>118</v>
      </c>
      <c r="G308" t="str">
        <f>HYPERLINK("https://vk.com/wall-27863223_292401?reply=292512&amp;thread=292403")</f>
        <v>https://vk.com/wall-27863223_292401?reply=292512&amp;thread=292403</v>
      </c>
      <c r="H308" t="s">
        <v>228</v>
      </c>
      <c r="I308" t="s">
        <v>1477</v>
      </c>
      <c r="J308" t="str">
        <f>HYPERLINK("http://vk.com/id107401546")</f>
        <v>http://vk.com/id107401546</v>
      </c>
      <c r="K308">
        <v>188</v>
      </c>
      <c r="L308" t="s">
        <v>121</v>
      </c>
      <c r="M308">
        <v>26</v>
      </c>
      <c r="N308" t="s">
        <v>122</v>
      </c>
      <c r="O308" t="s">
        <v>175</v>
      </c>
      <c r="P308" t="str">
        <f>HYPERLINK("http://vk.com/club27863223")</f>
        <v>http://vk.com/club27863223</v>
      </c>
      <c r="Q308">
        <v>134698</v>
      </c>
      <c r="R308" t="s">
        <v>124</v>
      </c>
      <c r="S308" t="s">
        <v>125</v>
      </c>
      <c r="T308" t="s">
        <v>1103</v>
      </c>
      <c r="U308" t="s">
        <v>1478</v>
      </c>
      <c r="AM308" t="s">
        <v>129</v>
      </c>
      <c r="AN308" t="s">
        <v>130</v>
      </c>
      <c r="AP308" t="s">
        <v>41</v>
      </c>
      <c r="AU308" t="s">
        <v>46</v>
      </c>
      <c r="AY308" t="s">
        <v>50</v>
      </c>
      <c r="AZ308" t="s">
        <v>51</v>
      </c>
      <c r="BA308" t="s">
        <v>52</v>
      </c>
    </row>
    <row r="309" spans="1:69" x14ac:dyDescent="0.2">
      <c r="A309" t="s">
        <v>1237</v>
      </c>
      <c r="B309" t="s">
        <v>1479</v>
      </c>
      <c r="C309" t="s">
        <v>1480</v>
      </c>
      <c r="D309" t="s">
        <v>129</v>
      </c>
      <c r="E309" t="s">
        <v>1481</v>
      </c>
      <c r="F309" t="s">
        <v>180</v>
      </c>
      <c r="G309" t="str">
        <f>HYPERLINK("https://vk.com/wall-42402221_236238")</f>
        <v>https://vk.com/wall-42402221_236238</v>
      </c>
      <c r="H309" t="s">
        <v>119</v>
      </c>
      <c r="I309" t="s">
        <v>1264</v>
      </c>
      <c r="J309" t="str">
        <f>HYPERLINK("http://vk.com/club42402221")</f>
        <v>http://vk.com/club42402221</v>
      </c>
      <c r="K309">
        <v>546</v>
      </c>
      <c r="L309" t="s">
        <v>340</v>
      </c>
      <c r="N309" t="s">
        <v>122</v>
      </c>
      <c r="O309" t="s">
        <v>1264</v>
      </c>
      <c r="P309" t="str">
        <f>HYPERLINK("http://vk.com/club42402221")</f>
        <v>http://vk.com/club42402221</v>
      </c>
      <c r="Q309">
        <v>546</v>
      </c>
      <c r="R309" t="s">
        <v>124</v>
      </c>
      <c r="W309">
        <v>0</v>
      </c>
      <c r="X309">
        <v>0</v>
      </c>
      <c r="AE309">
        <v>0</v>
      </c>
      <c r="AF309">
        <v>0</v>
      </c>
      <c r="AG309">
        <v>4</v>
      </c>
      <c r="AM309" t="s">
        <v>129</v>
      </c>
      <c r="AN309" t="s">
        <v>130</v>
      </c>
      <c r="AP309" t="s">
        <v>41</v>
      </c>
      <c r="AW309" t="s">
        <v>48</v>
      </c>
      <c r="AZ309" t="s">
        <v>51</v>
      </c>
      <c r="BA309" t="s">
        <v>52</v>
      </c>
    </row>
    <row r="310" spans="1:69" x14ac:dyDescent="0.2">
      <c r="A310" t="s">
        <v>1237</v>
      </c>
      <c r="B310" t="s">
        <v>1482</v>
      </c>
      <c r="C310" t="s">
        <v>1483</v>
      </c>
      <c r="D310" t="s">
        <v>215</v>
      </c>
      <c r="E310" t="s">
        <v>1484</v>
      </c>
      <c r="F310" t="s">
        <v>118</v>
      </c>
      <c r="G310" t="str">
        <f>HYPERLINK("https://vk.com/wall-27863223_292439?reply=292511")</f>
        <v>https://vk.com/wall-27863223_292439?reply=292511</v>
      </c>
      <c r="H310" t="s">
        <v>119</v>
      </c>
      <c r="I310" t="s">
        <v>1485</v>
      </c>
      <c r="J310" t="str">
        <f>HYPERLINK("http://vk.com/id3637189")</f>
        <v>http://vk.com/id3637189</v>
      </c>
      <c r="K310">
        <v>689</v>
      </c>
      <c r="L310" t="s">
        <v>121</v>
      </c>
      <c r="M310">
        <v>49</v>
      </c>
      <c r="N310" t="s">
        <v>122</v>
      </c>
      <c r="O310" t="s">
        <v>175</v>
      </c>
      <c r="P310" t="str">
        <f>HYPERLINK("http://vk.com/club27863223")</f>
        <v>http://vk.com/club27863223</v>
      </c>
      <c r="Q310">
        <v>134698</v>
      </c>
      <c r="R310" t="s">
        <v>124</v>
      </c>
      <c r="S310" t="s">
        <v>125</v>
      </c>
      <c r="T310" t="s">
        <v>189</v>
      </c>
      <c r="U310" t="s">
        <v>190</v>
      </c>
      <c r="W310">
        <v>0</v>
      </c>
      <c r="X310">
        <v>0</v>
      </c>
      <c r="AM310" t="s">
        <v>129</v>
      </c>
      <c r="AN310" t="s">
        <v>130</v>
      </c>
      <c r="AO310" t="s">
        <v>40</v>
      </c>
      <c r="AP310" t="s">
        <v>41</v>
      </c>
      <c r="AZ310" t="s">
        <v>51</v>
      </c>
      <c r="BA310" t="s">
        <v>52</v>
      </c>
    </row>
    <row r="311" spans="1:69" x14ac:dyDescent="0.2">
      <c r="A311" t="s">
        <v>1237</v>
      </c>
      <c r="B311" t="s">
        <v>385</v>
      </c>
      <c r="C311" t="s">
        <v>1486</v>
      </c>
      <c r="D311" t="s">
        <v>175</v>
      </c>
      <c r="E311" t="s">
        <v>1487</v>
      </c>
      <c r="F311" t="s">
        <v>180</v>
      </c>
      <c r="G311" t="str">
        <f>HYPERLINK("https://yandex.ru/maps/org/95903125535#i8tXGPjRsckuefFHC0VOOV30PeRLTEWT")</f>
        <v>https://yandex.ru/maps/org/95903125535#i8tXGPjRsckuefFHC0VOOV30PeRLTEWT</v>
      </c>
      <c r="H311" t="s">
        <v>181</v>
      </c>
      <c r="I311" t="s">
        <v>1488</v>
      </c>
      <c r="J311" t="str">
        <f>HYPERLINK("https://yandex.ru/user/h3wjr5wdhjtuz6hj5uh1ffre44")</f>
        <v>https://yandex.ru/user/h3wjr5wdhjtuz6hj5uh1ffre44</v>
      </c>
      <c r="L311" t="s">
        <v>151</v>
      </c>
      <c r="N311" t="s">
        <v>236</v>
      </c>
      <c r="O311" t="s">
        <v>175</v>
      </c>
      <c r="P311" t="str">
        <f>HYPERLINK("https://yandex.ru/maps/org/95903125535")</f>
        <v>https://yandex.ru/maps/org/95903125535</v>
      </c>
      <c r="R311" t="s">
        <v>184</v>
      </c>
      <c r="S311" t="s">
        <v>125</v>
      </c>
      <c r="T311" t="s">
        <v>759</v>
      </c>
      <c r="U311" t="s">
        <v>1489</v>
      </c>
      <c r="W311">
        <v>0</v>
      </c>
      <c r="X311">
        <v>0</v>
      </c>
      <c r="AH311">
        <v>5</v>
      </c>
      <c r="AM311" t="s">
        <v>129</v>
      </c>
      <c r="AN311" t="s">
        <v>130</v>
      </c>
      <c r="AP311" t="s">
        <v>41</v>
      </c>
      <c r="AX311" t="s">
        <v>49</v>
      </c>
      <c r="AZ311" t="s">
        <v>51</v>
      </c>
      <c r="BA311" t="s">
        <v>52</v>
      </c>
    </row>
    <row r="312" spans="1:69" x14ac:dyDescent="0.2">
      <c r="A312" t="s">
        <v>1237</v>
      </c>
      <c r="B312" t="s">
        <v>1490</v>
      </c>
      <c r="C312" t="s">
        <v>1491</v>
      </c>
      <c r="D312" t="s">
        <v>129</v>
      </c>
      <c r="E312" t="s">
        <v>1492</v>
      </c>
      <c r="F312" t="s">
        <v>180</v>
      </c>
      <c r="G312" t="str">
        <f>HYPERLINK("https://vk.com/wall-3264654_1373371")</f>
        <v>https://vk.com/wall-3264654_1373371</v>
      </c>
      <c r="H312" t="s">
        <v>228</v>
      </c>
      <c r="I312" t="s">
        <v>1493</v>
      </c>
      <c r="J312" t="str">
        <f>HYPERLINK("http://vk.com/id26439362")</f>
        <v>http://vk.com/id26439362</v>
      </c>
      <c r="K312">
        <v>309</v>
      </c>
      <c r="L312" t="s">
        <v>151</v>
      </c>
      <c r="N312" t="s">
        <v>122</v>
      </c>
      <c r="O312" t="s">
        <v>1282</v>
      </c>
      <c r="P312" t="str">
        <f>HYPERLINK("http://vk.com/club3264654")</f>
        <v>http://vk.com/club3264654</v>
      </c>
      <c r="Q312">
        <v>36206</v>
      </c>
      <c r="R312" t="s">
        <v>124</v>
      </c>
      <c r="S312" t="s">
        <v>125</v>
      </c>
      <c r="T312" t="s">
        <v>1283</v>
      </c>
      <c r="U312" t="s">
        <v>1284</v>
      </c>
      <c r="W312">
        <v>7</v>
      </c>
      <c r="X312">
        <v>7</v>
      </c>
      <c r="AE312">
        <v>7</v>
      </c>
      <c r="AF312">
        <v>0</v>
      </c>
      <c r="AM312" t="s">
        <v>129</v>
      </c>
      <c r="AN312" t="s">
        <v>130</v>
      </c>
      <c r="AP312" t="s">
        <v>41</v>
      </c>
      <c r="AT312" t="s">
        <v>45</v>
      </c>
      <c r="AW312" t="s">
        <v>48</v>
      </c>
      <c r="AZ312" t="s">
        <v>51</v>
      </c>
      <c r="BA312" t="s">
        <v>52</v>
      </c>
    </row>
    <row r="313" spans="1:69" x14ac:dyDescent="0.2">
      <c r="A313" t="s">
        <v>1237</v>
      </c>
      <c r="B313" t="s">
        <v>392</v>
      </c>
      <c r="C313" t="s">
        <v>1494</v>
      </c>
      <c r="D313" t="s">
        <v>215</v>
      </c>
      <c r="E313" t="s">
        <v>1484</v>
      </c>
      <c r="F313" t="s">
        <v>118</v>
      </c>
      <c r="G313" t="str">
        <f>HYPERLINK("https://vk.com/wall-27863223_292439?reply=292505")</f>
        <v>https://vk.com/wall-27863223_292439?reply=292505</v>
      </c>
      <c r="H313" t="s">
        <v>119</v>
      </c>
      <c r="I313" t="s">
        <v>1495</v>
      </c>
      <c r="J313" t="str">
        <f>HYPERLINK("http://vk.com/id20428017")</f>
        <v>http://vk.com/id20428017</v>
      </c>
      <c r="K313">
        <v>438</v>
      </c>
      <c r="L313" t="s">
        <v>151</v>
      </c>
      <c r="M313">
        <v>27</v>
      </c>
      <c r="N313" t="s">
        <v>122</v>
      </c>
      <c r="O313" t="s">
        <v>175</v>
      </c>
      <c r="P313" t="str">
        <f>HYPERLINK("http://vk.com/club27863223")</f>
        <v>http://vk.com/club27863223</v>
      </c>
      <c r="Q313">
        <v>134698</v>
      </c>
      <c r="R313" t="s">
        <v>124</v>
      </c>
      <c r="S313" t="s">
        <v>125</v>
      </c>
      <c r="T313" t="s">
        <v>137</v>
      </c>
      <c r="U313" t="s">
        <v>137</v>
      </c>
      <c r="W313">
        <v>0</v>
      </c>
      <c r="X313">
        <v>0</v>
      </c>
      <c r="AM313" t="s">
        <v>129</v>
      </c>
      <c r="AN313" t="s">
        <v>130</v>
      </c>
      <c r="AO313" t="s">
        <v>40</v>
      </c>
      <c r="AP313" t="s">
        <v>41</v>
      </c>
      <c r="AZ313" t="s">
        <v>51</v>
      </c>
      <c r="BA313" t="s">
        <v>52</v>
      </c>
    </row>
    <row r="314" spans="1:69" x14ac:dyDescent="0.2">
      <c r="A314" t="s">
        <v>1237</v>
      </c>
      <c r="B314" t="s">
        <v>948</v>
      </c>
      <c r="C314" t="s">
        <v>1496</v>
      </c>
      <c r="D314" t="s">
        <v>1497</v>
      </c>
      <c r="E314" t="s">
        <v>1498</v>
      </c>
      <c r="F314" t="s">
        <v>118</v>
      </c>
      <c r="G314" t="str">
        <f>HYPERLINK("https://www.youtube.com/watch?v=eXHar5JnJa8&amp;lc=UgwkXjlmtsrtearuBNR4AaABAg")</f>
        <v>https://www.youtube.com/watch?v=eXHar5JnJa8&amp;lc=UgwkXjlmtsrtearuBNR4AaABAg</v>
      </c>
      <c r="H314" t="s">
        <v>228</v>
      </c>
      <c r="I314" t="s">
        <v>1499</v>
      </c>
      <c r="J314" t="str">
        <f>HYPERLINK("https://www.youtube.com/channel/UCJcYKlhtGfcPbYtItljW2Sg")</f>
        <v>https://www.youtube.com/channel/UCJcYKlhtGfcPbYtItljW2Sg</v>
      </c>
      <c r="K314">
        <v>16</v>
      </c>
      <c r="N314" t="s">
        <v>248</v>
      </c>
      <c r="O314" t="s">
        <v>1500</v>
      </c>
      <c r="P314" t="str">
        <f>HYPERLINK("https://www.youtube.com/channel/UC4HCh2xl_d5MNNbcPe6hrfg")</f>
        <v>https://www.youtube.com/channel/UC4HCh2xl_d5MNNbcPe6hrfg</v>
      </c>
      <c r="Q314">
        <v>982000</v>
      </c>
      <c r="R314" t="s">
        <v>124</v>
      </c>
      <c r="S314" t="s">
        <v>125</v>
      </c>
      <c r="W314">
        <v>0</v>
      </c>
      <c r="X314">
        <v>0</v>
      </c>
      <c r="AE314">
        <v>0</v>
      </c>
      <c r="AM314" t="s">
        <v>129</v>
      </c>
      <c r="AN314" t="s">
        <v>130</v>
      </c>
      <c r="AP314" t="s">
        <v>41</v>
      </c>
      <c r="AU314" t="s">
        <v>46</v>
      </c>
      <c r="AZ314" t="s">
        <v>51</v>
      </c>
      <c r="BA314" t="s">
        <v>52</v>
      </c>
      <c r="BL314" t="s">
        <v>63</v>
      </c>
    </row>
    <row r="315" spans="1:69" x14ac:dyDescent="0.2">
      <c r="A315" t="s">
        <v>1237</v>
      </c>
      <c r="B315" t="s">
        <v>953</v>
      </c>
      <c r="C315" t="s">
        <v>1501</v>
      </c>
      <c r="D315" t="s">
        <v>1444</v>
      </c>
      <c r="E315" t="s">
        <v>1502</v>
      </c>
      <c r="F315" t="s">
        <v>118</v>
      </c>
      <c r="G315" t="str">
        <f>HYPERLINK("https://vk.com/wall-27863223_292411?w=wall-27863223_292411_r292503")</f>
        <v>https://vk.com/wall-27863223_292411?w=wall-27863223_292411_r292503</v>
      </c>
      <c r="H315" t="s">
        <v>119</v>
      </c>
      <c r="I315" t="s">
        <v>1503</v>
      </c>
      <c r="J315" t="str">
        <f>HYPERLINK("http://vk.com/id506254270")</f>
        <v>http://vk.com/id506254270</v>
      </c>
      <c r="L315" t="s">
        <v>121</v>
      </c>
      <c r="N315" t="s">
        <v>122</v>
      </c>
      <c r="O315" t="s">
        <v>175</v>
      </c>
      <c r="P315" t="str">
        <f>HYPERLINK("http://vk.com/club27863223")</f>
        <v>http://vk.com/club27863223</v>
      </c>
      <c r="Q315">
        <v>134698</v>
      </c>
      <c r="R315" t="s">
        <v>124</v>
      </c>
      <c r="S315" t="s">
        <v>125</v>
      </c>
      <c r="W315">
        <v>0</v>
      </c>
      <c r="X315">
        <v>0</v>
      </c>
      <c r="AM315" t="s">
        <v>129</v>
      </c>
      <c r="AN315" t="s">
        <v>130</v>
      </c>
      <c r="AP315" t="s">
        <v>41</v>
      </c>
      <c r="AU315" t="s">
        <v>46</v>
      </c>
      <c r="AZ315" t="s">
        <v>51</v>
      </c>
      <c r="BA315" t="s">
        <v>52</v>
      </c>
    </row>
    <row r="316" spans="1:69" x14ac:dyDescent="0.2">
      <c r="A316" t="s">
        <v>1237</v>
      </c>
      <c r="B316" t="s">
        <v>1504</v>
      </c>
      <c r="C316" t="s">
        <v>1505</v>
      </c>
      <c r="D316" t="s">
        <v>671</v>
      </c>
      <c r="E316" t="s">
        <v>1506</v>
      </c>
      <c r="F316" t="s">
        <v>180</v>
      </c>
      <c r="G316" t="str">
        <f>HYPERLINK("https://www.google.com/maps/reviews/data=!4m5!14m4!1m3!1m2!1s106990517650426323956!2s0x0:0x1513e3d38895693c?hl=en-NL")</f>
        <v>https://www.google.com/maps/reviews/data=!4m5!14m4!1m3!1m2!1s106990517650426323956!2s0x0:0x1513e3d38895693c?hl=en-NL</v>
      </c>
      <c r="H316" t="s">
        <v>181</v>
      </c>
      <c r="I316" t="s">
        <v>1507</v>
      </c>
      <c r="J316" t="str">
        <f>HYPERLINK("https://maps.google.com/maps/contrib/106990517650426323956")</f>
        <v>https://maps.google.com/maps/contrib/106990517650426323956</v>
      </c>
      <c r="L316" t="s">
        <v>121</v>
      </c>
      <c r="N316" t="s">
        <v>673</v>
      </c>
      <c r="O316" t="s">
        <v>671</v>
      </c>
      <c r="P316" t="str">
        <f>HYPERLINK("https://maps.google.com/maps/place/data=!3m1!4b1!4m5!3m4!1s0x0:0x1513e3d38895693c!8m2!3d54.733960!4d37.399800")</f>
        <v>https://maps.google.com/maps/place/data=!3m1!4b1!4m5!3m4!1s0x0:0x1513e3d38895693c!8m2!3d54.733960!4d37.399800</v>
      </c>
      <c r="R316" t="s">
        <v>184</v>
      </c>
      <c r="S316" t="s">
        <v>125</v>
      </c>
      <c r="T316" t="s">
        <v>372</v>
      </c>
      <c r="U316" t="s">
        <v>674</v>
      </c>
      <c r="W316">
        <v>0</v>
      </c>
      <c r="X316">
        <v>0</v>
      </c>
      <c r="AH316">
        <v>5</v>
      </c>
      <c r="AM316" t="s">
        <v>129</v>
      </c>
      <c r="AN316" t="s">
        <v>130</v>
      </c>
      <c r="AP316" t="s">
        <v>41</v>
      </c>
      <c r="AX316" t="s">
        <v>49</v>
      </c>
      <c r="AZ316" t="s">
        <v>51</v>
      </c>
      <c r="BA316" t="s">
        <v>52</v>
      </c>
    </row>
    <row r="317" spans="1:69" x14ac:dyDescent="0.2">
      <c r="A317" t="s">
        <v>1237</v>
      </c>
      <c r="B317" t="s">
        <v>1508</v>
      </c>
      <c r="C317" t="s">
        <v>1509</v>
      </c>
      <c r="D317" t="s">
        <v>1444</v>
      </c>
      <c r="E317" t="s">
        <v>1510</v>
      </c>
      <c r="F317" t="s">
        <v>118</v>
      </c>
      <c r="G317" t="str">
        <f>HYPERLINK("https://vk.com/wall-27863223_292411?reply=292500&amp;thread=292493")</f>
        <v>https://vk.com/wall-27863223_292411?reply=292500&amp;thread=292493</v>
      </c>
      <c r="H317" t="s">
        <v>119</v>
      </c>
      <c r="I317" t="s">
        <v>1503</v>
      </c>
      <c r="J317" t="str">
        <f>HYPERLINK("http://vk.com/id506254270")</f>
        <v>http://vk.com/id506254270</v>
      </c>
      <c r="L317" t="s">
        <v>121</v>
      </c>
      <c r="N317" t="s">
        <v>122</v>
      </c>
      <c r="O317" t="s">
        <v>175</v>
      </c>
      <c r="P317" t="str">
        <f>HYPERLINK("http://vk.com/club27863223")</f>
        <v>http://vk.com/club27863223</v>
      </c>
      <c r="Q317">
        <v>134698</v>
      </c>
      <c r="R317" t="s">
        <v>124</v>
      </c>
      <c r="S317" t="s">
        <v>125</v>
      </c>
      <c r="AM317" t="s">
        <v>129</v>
      </c>
      <c r="AN317" t="s">
        <v>130</v>
      </c>
      <c r="AP317" t="s">
        <v>41</v>
      </c>
      <c r="AZ317" t="s">
        <v>51</v>
      </c>
      <c r="BA317" t="s">
        <v>52</v>
      </c>
    </row>
    <row r="318" spans="1:69" x14ac:dyDescent="0.2">
      <c r="A318" t="s">
        <v>1237</v>
      </c>
      <c r="B318" t="s">
        <v>1511</v>
      </c>
      <c r="C318" t="s">
        <v>1512</v>
      </c>
      <c r="D318" t="s">
        <v>1444</v>
      </c>
      <c r="E318" t="s">
        <v>1513</v>
      </c>
      <c r="F318" t="s">
        <v>118</v>
      </c>
      <c r="G318" t="str">
        <f>HYPERLINK("https://vk.com/wall-27863223_292411?reply=292499&amp;thread=292493")</f>
        <v>https://vk.com/wall-27863223_292411?reply=292499&amp;thread=292493</v>
      </c>
      <c r="H318" t="s">
        <v>119</v>
      </c>
      <c r="I318" t="s">
        <v>1503</v>
      </c>
      <c r="J318" t="str">
        <f>HYPERLINK("http://vk.com/id506254270")</f>
        <v>http://vk.com/id506254270</v>
      </c>
      <c r="L318" t="s">
        <v>121</v>
      </c>
      <c r="N318" t="s">
        <v>122</v>
      </c>
      <c r="O318" t="s">
        <v>175</v>
      </c>
      <c r="P318" t="str">
        <f>HYPERLINK("http://vk.com/club27863223")</f>
        <v>http://vk.com/club27863223</v>
      </c>
      <c r="Q318">
        <v>134698</v>
      </c>
      <c r="R318" t="s">
        <v>124</v>
      </c>
      <c r="S318" t="s">
        <v>125</v>
      </c>
      <c r="AM318" t="s">
        <v>129</v>
      </c>
      <c r="AN318" t="s">
        <v>130</v>
      </c>
      <c r="AP318" t="s">
        <v>41</v>
      </c>
      <c r="AU318" t="s">
        <v>46</v>
      </c>
      <c r="AY318" t="s">
        <v>50</v>
      </c>
      <c r="AZ318" t="s">
        <v>51</v>
      </c>
      <c r="BA318" t="s">
        <v>52</v>
      </c>
    </row>
    <row r="319" spans="1:69" x14ac:dyDescent="0.2">
      <c r="A319" t="s">
        <v>1237</v>
      </c>
      <c r="B319" t="s">
        <v>1514</v>
      </c>
      <c r="C319" t="s">
        <v>1515</v>
      </c>
      <c r="D319" t="s">
        <v>1444</v>
      </c>
      <c r="E319" t="s">
        <v>1516</v>
      </c>
      <c r="F319" t="s">
        <v>118</v>
      </c>
      <c r="G319" t="str">
        <f>HYPERLINK("https://vk.com/wall-27863223_292411?reply=292496&amp;thread=292493")</f>
        <v>https://vk.com/wall-27863223_292411?reply=292496&amp;thread=292493</v>
      </c>
      <c r="H319" t="s">
        <v>228</v>
      </c>
      <c r="I319" t="s">
        <v>1503</v>
      </c>
      <c r="J319" t="str">
        <f>HYPERLINK("http://vk.com/id506254270")</f>
        <v>http://vk.com/id506254270</v>
      </c>
      <c r="L319" t="s">
        <v>121</v>
      </c>
      <c r="N319" t="s">
        <v>122</v>
      </c>
      <c r="O319" t="s">
        <v>175</v>
      </c>
      <c r="P319" t="str">
        <f>HYPERLINK("http://vk.com/club27863223")</f>
        <v>http://vk.com/club27863223</v>
      </c>
      <c r="Q319">
        <v>134698</v>
      </c>
      <c r="R319" t="s">
        <v>124</v>
      </c>
      <c r="S319" t="s">
        <v>125</v>
      </c>
      <c r="AM319" t="s">
        <v>129</v>
      </c>
      <c r="AN319" t="s">
        <v>130</v>
      </c>
      <c r="AP319" t="s">
        <v>41</v>
      </c>
      <c r="AZ319" t="s">
        <v>51</v>
      </c>
      <c r="BA319" t="s">
        <v>52</v>
      </c>
    </row>
    <row r="320" spans="1:69" x14ac:dyDescent="0.2">
      <c r="A320" t="s">
        <v>1237</v>
      </c>
      <c r="B320" t="s">
        <v>1514</v>
      </c>
      <c r="C320" t="s">
        <v>1515</v>
      </c>
      <c r="D320" t="s">
        <v>1444</v>
      </c>
      <c r="E320" t="s">
        <v>1517</v>
      </c>
      <c r="F320" t="s">
        <v>118</v>
      </c>
      <c r="G320" t="str">
        <f>HYPERLINK("https://vk.com/wall-27863223_292411?reply=292495&amp;thread=292493")</f>
        <v>https://vk.com/wall-27863223_292411?reply=292495&amp;thread=292493</v>
      </c>
      <c r="H320" t="s">
        <v>228</v>
      </c>
      <c r="I320" t="s">
        <v>1503</v>
      </c>
      <c r="J320" t="str">
        <f>HYPERLINK("http://vk.com/id506254270")</f>
        <v>http://vk.com/id506254270</v>
      </c>
      <c r="L320" t="s">
        <v>121</v>
      </c>
      <c r="N320" t="s">
        <v>122</v>
      </c>
      <c r="O320" t="s">
        <v>175</v>
      </c>
      <c r="P320" t="str">
        <f>HYPERLINK("http://vk.com/club27863223")</f>
        <v>http://vk.com/club27863223</v>
      </c>
      <c r="Q320">
        <v>134698</v>
      </c>
      <c r="R320" t="s">
        <v>124</v>
      </c>
      <c r="S320" t="s">
        <v>125</v>
      </c>
      <c r="AM320" t="s">
        <v>129</v>
      </c>
      <c r="AN320" t="s">
        <v>130</v>
      </c>
      <c r="AP320" t="s">
        <v>41</v>
      </c>
      <c r="AY320" t="s">
        <v>50</v>
      </c>
      <c r="AZ320" t="s">
        <v>51</v>
      </c>
      <c r="BA320" t="s">
        <v>52</v>
      </c>
    </row>
    <row r="321" spans="1:84" x14ac:dyDescent="0.2">
      <c r="A321" t="s">
        <v>1237</v>
      </c>
      <c r="B321" t="s">
        <v>1518</v>
      </c>
      <c r="C321" t="s">
        <v>1519</v>
      </c>
      <c r="D321" t="s">
        <v>129</v>
      </c>
      <c r="E321" t="s">
        <v>1520</v>
      </c>
      <c r="F321" t="s">
        <v>180</v>
      </c>
      <c r="G321" t="str">
        <f>HYPERLINK("https://vk.com/wall-15620409_4649")</f>
        <v>https://vk.com/wall-15620409_4649</v>
      </c>
      <c r="H321" t="s">
        <v>119</v>
      </c>
      <c r="I321" t="s">
        <v>1521</v>
      </c>
      <c r="J321" t="str">
        <f>HYPERLINK("http://vk.com/id598220137")</f>
        <v>http://vk.com/id598220137</v>
      </c>
      <c r="K321">
        <v>0</v>
      </c>
      <c r="L321" t="s">
        <v>121</v>
      </c>
      <c r="M321">
        <v>47</v>
      </c>
      <c r="N321" t="s">
        <v>122</v>
      </c>
      <c r="O321" t="s">
        <v>1424</v>
      </c>
      <c r="P321" t="str">
        <f>HYPERLINK("http://vk.com/club15620409")</f>
        <v>http://vk.com/club15620409</v>
      </c>
      <c r="Q321">
        <v>1827</v>
      </c>
      <c r="R321" t="s">
        <v>124</v>
      </c>
      <c r="S321" t="s">
        <v>125</v>
      </c>
      <c r="T321" t="s">
        <v>137</v>
      </c>
      <c r="U321" t="s">
        <v>137</v>
      </c>
      <c r="W321">
        <v>0</v>
      </c>
      <c r="X321">
        <v>0</v>
      </c>
      <c r="AE321">
        <v>0</v>
      </c>
      <c r="AF321">
        <v>0</v>
      </c>
      <c r="AM321" t="s">
        <v>129</v>
      </c>
      <c r="AN321" t="s">
        <v>130</v>
      </c>
      <c r="AP321" t="s">
        <v>41</v>
      </c>
      <c r="AU321" t="s">
        <v>46</v>
      </c>
      <c r="AW321" t="s">
        <v>48</v>
      </c>
      <c r="AZ321" t="s">
        <v>51</v>
      </c>
      <c r="BA321" t="s">
        <v>52</v>
      </c>
      <c r="BO321" t="s">
        <v>66</v>
      </c>
    </row>
    <row r="322" spans="1:84" x14ac:dyDescent="0.2">
      <c r="A322" t="s">
        <v>1237</v>
      </c>
      <c r="B322" t="s">
        <v>1518</v>
      </c>
      <c r="C322" t="s">
        <v>1522</v>
      </c>
      <c r="D322" t="s">
        <v>1523</v>
      </c>
      <c r="E322" t="s">
        <v>1524</v>
      </c>
      <c r="F322" t="s">
        <v>180</v>
      </c>
      <c r="G322" t="str">
        <f>HYPERLINK("https://4pda.to/forum/index.php?showtopic=962924&amp;st=13920#entry108294732")</f>
        <v>https://4pda.to/forum/index.php?showtopic=962924&amp;st=13920#entry108294732</v>
      </c>
      <c r="H322" t="s">
        <v>119</v>
      </c>
      <c r="I322" t="s">
        <v>1525</v>
      </c>
      <c r="J322" t="str">
        <f>HYPERLINK("https://4pda.to/forum/index.php?showuser=8892774")</f>
        <v>https://4pda.to/forum/index.php?showuser=8892774</v>
      </c>
      <c r="N322" t="s">
        <v>293</v>
      </c>
      <c r="O322" t="s">
        <v>1526</v>
      </c>
      <c r="P322" t="str">
        <f>HYPERLINK("https://4pda.to/forum/index.php?showforum=98")</f>
        <v>https://4pda.to/forum/index.php?showforum=98</v>
      </c>
      <c r="R322" t="s">
        <v>295</v>
      </c>
      <c r="S322" t="s">
        <v>125</v>
      </c>
      <c r="AM322" t="s">
        <v>129</v>
      </c>
      <c r="AN322" t="s">
        <v>130</v>
      </c>
      <c r="AP322" t="s">
        <v>41</v>
      </c>
      <c r="AZ322" t="s">
        <v>51</v>
      </c>
      <c r="BA322" t="s">
        <v>52</v>
      </c>
      <c r="BL322" t="s">
        <v>63</v>
      </c>
    </row>
    <row r="323" spans="1:84" x14ac:dyDescent="0.2">
      <c r="A323" t="s">
        <v>1237</v>
      </c>
      <c r="B323" t="s">
        <v>1527</v>
      </c>
      <c r="C323" t="s">
        <v>1528</v>
      </c>
      <c r="D323" t="s">
        <v>175</v>
      </c>
      <c r="E323" t="s">
        <v>1529</v>
      </c>
      <c r="F323" t="s">
        <v>180</v>
      </c>
      <c r="G323" t="str">
        <f>HYPERLINK("https://yandex.ru/maps/org/55588815659#KkdDddrsWohCto1E1psCGmgXxl_3NT")</f>
        <v>https://yandex.ru/maps/org/55588815659#KkdDddrsWohCto1E1psCGmgXxl_3NT</v>
      </c>
      <c r="H323" t="s">
        <v>181</v>
      </c>
      <c r="I323" t="s">
        <v>1530</v>
      </c>
      <c r="J323" t="str">
        <f>HYPERLINK("https://yandex.ru/user/f3u660y3ddytzbem37k38dy56g")</f>
        <v>https://yandex.ru/user/f3u660y3ddytzbem37k38dy56g</v>
      </c>
      <c r="L323" t="s">
        <v>121</v>
      </c>
      <c r="N323" t="s">
        <v>236</v>
      </c>
      <c r="O323" t="s">
        <v>175</v>
      </c>
      <c r="P323" t="str">
        <f>HYPERLINK("https://yandex.ru/maps/org/55588815659")</f>
        <v>https://yandex.ru/maps/org/55588815659</v>
      </c>
      <c r="R323" t="s">
        <v>184</v>
      </c>
      <c r="S323" t="s">
        <v>125</v>
      </c>
      <c r="T323" t="s">
        <v>767</v>
      </c>
      <c r="U323" t="s">
        <v>1531</v>
      </c>
      <c r="W323">
        <v>0</v>
      </c>
      <c r="X323">
        <v>0</v>
      </c>
      <c r="AH323">
        <v>5</v>
      </c>
      <c r="AM323" t="s">
        <v>129</v>
      </c>
      <c r="AN323" t="s">
        <v>130</v>
      </c>
      <c r="AP323" t="s">
        <v>41</v>
      </c>
      <c r="AZ323" t="s">
        <v>51</v>
      </c>
      <c r="BA323" t="s">
        <v>52</v>
      </c>
      <c r="BK323" t="s">
        <v>62</v>
      </c>
    </row>
    <row r="324" spans="1:84" x14ac:dyDescent="0.2">
      <c r="A324" t="s">
        <v>1237</v>
      </c>
      <c r="B324" t="s">
        <v>1532</v>
      </c>
      <c r="C324" t="s">
        <v>1533</v>
      </c>
      <c r="D324" t="s">
        <v>1041</v>
      </c>
      <c r="E324" t="s">
        <v>1534</v>
      </c>
      <c r="F324" t="s">
        <v>118</v>
      </c>
      <c r="G324" t="str">
        <f>HYPERLINK("https://vk.com/wall-122659236_361989?reply=362025&amp;thread=362003")</f>
        <v>https://vk.com/wall-122659236_361989?reply=362025&amp;thread=362003</v>
      </c>
      <c r="H324" t="s">
        <v>228</v>
      </c>
      <c r="I324" t="s">
        <v>1535</v>
      </c>
      <c r="J324" t="str">
        <f>HYPERLINK("http://vk.com/id447597178")</f>
        <v>http://vk.com/id447597178</v>
      </c>
      <c r="K324">
        <v>118</v>
      </c>
      <c r="L324" t="s">
        <v>121</v>
      </c>
      <c r="N324" t="s">
        <v>122</v>
      </c>
      <c r="O324" t="s">
        <v>1044</v>
      </c>
      <c r="P324" t="str">
        <f>HYPERLINK("http://vk.com/club122659236")</f>
        <v>http://vk.com/club122659236</v>
      </c>
      <c r="Q324">
        <v>17901</v>
      </c>
      <c r="R324" t="s">
        <v>124</v>
      </c>
      <c r="S324" t="s">
        <v>125</v>
      </c>
      <c r="T324" t="s">
        <v>1045</v>
      </c>
      <c r="U324" t="s">
        <v>1046</v>
      </c>
      <c r="AM324" t="s">
        <v>129</v>
      </c>
      <c r="AN324" t="s">
        <v>130</v>
      </c>
      <c r="AP324" t="s">
        <v>41</v>
      </c>
      <c r="AZ324" t="s">
        <v>51</v>
      </c>
      <c r="BA324" t="s">
        <v>52</v>
      </c>
      <c r="BM324" t="s">
        <v>64</v>
      </c>
    </row>
    <row r="325" spans="1:84" x14ac:dyDescent="0.2">
      <c r="A325" t="s">
        <v>1237</v>
      </c>
      <c r="B325" t="s">
        <v>1536</v>
      </c>
      <c r="C325" t="s">
        <v>1537</v>
      </c>
      <c r="D325" t="s">
        <v>204</v>
      </c>
      <c r="E325" t="s">
        <v>1538</v>
      </c>
      <c r="F325" t="s">
        <v>180</v>
      </c>
      <c r="G325" t="str">
        <f>HYPERLINK("https://play.google.com/store/apps/details?id=ru.iflex.android.a3colortv&amp;reviewId=gp:AOqpTOF1Th8OmnB6eor13tHhsr39AST4x-uF_duWO8OPtYG0DGSDNyujIWEioHuZruthD_prsSvrdp2CN5_uPA")</f>
        <v>https://play.google.com/store/apps/details?id=ru.iflex.android.a3colortv&amp;reviewId=gp:AOqpTOF1Th8OmnB6eor13tHhsr39AST4x-uF_duWO8OPtYG0DGSDNyujIWEioHuZruthD_prsSvrdp2CN5_uPA</v>
      </c>
      <c r="H325" t="s">
        <v>181</v>
      </c>
      <c r="I325" t="s">
        <v>1539</v>
      </c>
      <c r="J325" t="str">
        <f>HYPERLINK("https://plus.google.com/106599942927758385460")</f>
        <v>https://plus.google.com/106599942927758385460</v>
      </c>
      <c r="L325" t="s">
        <v>121</v>
      </c>
      <c r="N325" t="s">
        <v>207</v>
      </c>
      <c r="O325" t="s">
        <v>204</v>
      </c>
      <c r="P325" t="str">
        <f>HYPERLINK("https://play.google.com/store/apps/details?id=ru.iflex.android.a3colortv&amp;hl=ru")</f>
        <v>https://play.google.com/store/apps/details?id=ru.iflex.android.a3colortv&amp;hl=ru</v>
      </c>
      <c r="R325" t="s">
        <v>184</v>
      </c>
      <c r="S325" t="s">
        <v>125</v>
      </c>
      <c r="W325">
        <v>0</v>
      </c>
      <c r="X325">
        <v>0</v>
      </c>
      <c r="AH325">
        <v>5</v>
      </c>
      <c r="AM325" t="s">
        <v>129</v>
      </c>
      <c r="AN325" t="s">
        <v>130</v>
      </c>
      <c r="AP325" t="s">
        <v>41</v>
      </c>
      <c r="AZ325" t="s">
        <v>51</v>
      </c>
      <c r="BA325" t="s">
        <v>52</v>
      </c>
      <c r="BQ325" t="s">
        <v>68</v>
      </c>
    </row>
    <row r="326" spans="1:84" x14ac:dyDescent="0.2">
      <c r="A326" t="s">
        <v>1237</v>
      </c>
      <c r="B326" t="s">
        <v>1540</v>
      </c>
      <c r="C326" t="s">
        <v>1541</v>
      </c>
      <c r="D326" t="s">
        <v>1542</v>
      </c>
      <c r="E326" t="s">
        <v>1543</v>
      </c>
      <c r="F326" t="s">
        <v>118</v>
      </c>
      <c r="G326" t="str">
        <f>HYPERLINK("https://www.youtube.com/watch?v=8b2cjCmwft0&amp;lc=UgwoKXVDO0aG8x1VwyB4AaABAg")</f>
        <v>https://www.youtube.com/watch?v=8b2cjCmwft0&amp;lc=UgwoKXVDO0aG8x1VwyB4AaABAg</v>
      </c>
      <c r="H326" t="s">
        <v>119</v>
      </c>
      <c r="I326" t="s">
        <v>1544</v>
      </c>
      <c r="J326" t="str">
        <f>HYPERLINK("https://www.youtube.com/channel/UCi_nOhRgWH1KnlPSP-jC12w")</f>
        <v>https://www.youtube.com/channel/UCi_nOhRgWH1KnlPSP-jC12w</v>
      </c>
      <c r="K326">
        <v>0</v>
      </c>
      <c r="N326" t="s">
        <v>248</v>
      </c>
      <c r="O326" t="s">
        <v>1545</v>
      </c>
      <c r="P326" t="str">
        <f>HYPERLINK("https://www.youtube.com/channel/UCkbSaWqttPHTS00K0fjniTQ")</f>
        <v>https://www.youtube.com/channel/UCkbSaWqttPHTS00K0fjniTQ</v>
      </c>
      <c r="Q326">
        <v>1040000</v>
      </c>
      <c r="R326" t="s">
        <v>124</v>
      </c>
      <c r="W326">
        <v>0</v>
      </c>
      <c r="X326">
        <v>0</v>
      </c>
      <c r="AE326">
        <v>0</v>
      </c>
      <c r="AM326" t="s">
        <v>129</v>
      </c>
      <c r="AN326" t="s">
        <v>130</v>
      </c>
      <c r="AP326" t="s">
        <v>41</v>
      </c>
      <c r="AZ326" t="s">
        <v>51</v>
      </c>
      <c r="CF326" t="s">
        <v>83</v>
      </c>
    </row>
    <row r="327" spans="1:84" x14ac:dyDescent="0.2">
      <c r="A327" t="s">
        <v>1237</v>
      </c>
      <c r="B327" t="s">
        <v>1546</v>
      </c>
      <c r="C327" t="s">
        <v>1547</v>
      </c>
      <c r="D327" t="s">
        <v>1444</v>
      </c>
      <c r="E327" t="s">
        <v>1548</v>
      </c>
      <c r="F327" t="s">
        <v>118</v>
      </c>
      <c r="G327" t="str">
        <f>HYPERLINK("https://vk.com/wall-27863223_292411?reply=292493")</f>
        <v>https://vk.com/wall-27863223_292411?reply=292493</v>
      </c>
      <c r="H327" t="s">
        <v>119</v>
      </c>
      <c r="I327" t="s">
        <v>1503</v>
      </c>
      <c r="J327" t="str">
        <f>HYPERLINK("http://vk.com/id506254270")</f>
        <v>http://vk.com/id506254270</v>
      </c>
      <c r="L327" t="s">
        <v>121</v>
      </c>
      <c r="N327" t="s">
        <v>122</v>
      </c>
      <c r="O327" t="s">
        <v>175</v>
      </c>
      <c r="P327" t="str">
        <f>HYPERLINK("http://vk.com/club27863223")</f>
        <v>http://vk.com/club27863223</v>
      </c>
      <c r="Q327">
        <v>134698</v>
      </c>
      <c r="R327" t="s">
        <v>124</v>
      </c>
      <c r="S327" t="s">
        <v>125</v>
      </c>
      <c r="W327">
        <v>0</v>
      </c>
      <c r="X327">
        <v>0</v>
      </c>
      <c r="AM327" t="s">
        <v>129</v>
      </c>
      <c r="AN327" t="s">
        <v>130</v>
      </c>
      <c r="AP327" t="s">
        <v>41</v>
      </c>
      <c r="AY327" t="s">
        <v>50</v>
      </c>
      <c r="BA327" t="s">
        <v>52</v>
      </c>
      <c r="BE327" t="s">
        <v>56</v>
      </c>
    </row>
    <row r="328" spans="1:84" x14ac:dyDescent="0.2">
      <c r="A328" t="s">
        <v>1237</v>
      </c>
      <c r="B328" t="s">
        <v>1546</v>
      </c>
      <c r="C328" t="s">
        <v>1549</v>
      </c>
      <c r="D328" t="s">
        <v>955</v>
      </c>
      <c r="E328" t="s">
        <v>1550</v>
      </c>
      <c r="F328" t="s">
        <v>180</v>
      </c>
      <c r="G328" t="str">
        <f>HYPERLINK("https://www.wildberries.ru/catalog/16559824/detail.aspx?targetUrl=ES#Comments")</f>
        <v>https://www.wildberries.ru/catalog/16559824/detail.aspx?targetUrl=ES#Comments</v>
      </c>
      <c r="H328" t="s">
        <v>181</v>
      </c>
      <c r="I328" t="s">
        <v>1551</v>
      </c>
      <c r="J328" t="str">
        <f>HYPERLINK("https://www.wildberries.ru/profile/w7TDssOkw7PCu8KywrjCsMKxwrbCuMK4wrc=")</f>
        <v>https://www.wildberries.ru/profile/w7TDssOkw7PCu8KywrjCsMKxwrbCuMK4wrc=</v>
      </c>
      <c r="L328" t="s">
        <v>121</v>
      </c>
      <c r="N328" t="s">
        <v>534</v>
      </c>
      <c r="O328" t="s">
        <v>955</v>
      </c>
      <c r="P328" t="str">
        <f>HYPERLINK("https://www.wildberries.ru/catalog/12339622/detail.aspx")</f>
        <v>https://www.wildberries.ru/catalog/12339622/detail.aspx</v>
      </c>
      <c r="R328" t="s">
        <v>184</v>
      </c>
      <c r="S328" t="s">
        <v>125</v>
      </c>
      <c r="W328">
        <v>0</v>
      </c>
      <c r="X328">
        <v>0</v>
      </c>
      <c r="AH328">
        <v>5</v>
      </c>
      <c r="AM328" t="s">
        <v>129</v>
      </c>
      <c r="AN328" t="s">
        <v>130</v>
      </c>
      <c r="AP328" t="s">
        <v>41</v>
      </c>
      <c r="AT328" t="s">
        <v>45</v>
      </c>
      <c r="AZ328" t="s">
        <v>51</v>
      </c>
      <c r="BA328" t="s">
        <v>52</v>
      </c>
      <c r="BL328" t="s">
        <v>63</v>
      </c>
    </row>
    <row r="329" spans="1:84" x14ac:dyDescent="0.2">
      <c r="A329" t="s">
        <v>1237</v>
      </c>
      <c r="B329" t="s">
        <v>1552</v>
      </c>
      <c r="C329" t="s">
        <v>1486</v>
      </c>
      <c r="D329" t="s">
        <v>175</v>
      </c>
      <c r="E329" t="s">
        <v>1553</v>
      </c>
      <c r="F329" t="s">
        <v>180</v>
      </c>
      <c r="G329" t="str">
        <f>HYPERLINK("https://yandex.ru/maps/org/55588815659#ENqTih93vaKGYJ7y5L8fNAkJxuv_z4")</f>
        <v>https://yandex.ru/maps/org/55588815659#ENqTih93vaKGYJ7y5L8fNAkJxuv_z4</v>
      </c>
      <c r="H329" t="s">
        <v>228</v>
      </c>
      <c r="I329" t="s">
        <v>1554</v>
      </c>
      <c r="J329" t="str">
        <f>HYPERLINK("https://yandex.ru/user/1qt9dw8781b96y8f6bmvvr246c")</f>
        <v>https://yandex.ru/user/1qt9dw8781b96y8f6bmvvr246c</v>
      </c>
      <c r="L329" t="s">
        <v>121</v>
      </c>
      <c r="N329" t="s">
        <v>236</v>
      </c>
      <c r="O329" t="s">
        <v>175</v>
      </c>
      <c r="P329" t="str">
        <f>HYPERLINK("https://yandex.ru/maps/org/55588815659")</f>
        <v>https://yandex.ru/maps/org/55588815659</v>
      </c>
      <c r="R329" t="s">
        <v>184</v>
      </c>
      <c r="S329" t="s">
        <v>125</v>
      </c>
      <c r="T329" t="s">
        <v>767</v>
      </c>
      <c r="U329" t="s">
        <v>1531</v>
      </c>
      <c r="W329">
        <v>0</v>
      </c>
      <c r="X329">
        <v>0</v>
      </c>
      <c r="AH329">
        <v>1</v>
      </c>
      <c r="AM329" t="s">
        <v>129</v>
      </c>
      <c r="AN329" t="s">
        <v>130</v>
      </c>
      <c r="AP329" t="s">
        <v>41</v>
      </c>
      <c r="AX329" t="s">
        <v>49</v>
      </c>
      <c r="AY329" t="s">
        <v>50</v>
      </c>
      <c r="AZ329" t="s">
        <v>51</v>
      </c>
      <c r="BA329" t="s">
        <v>52</v>
      </c>
      <c r="BK329" t="s">
        <v>62</v>
      </c>
      <c r="BL329" t="s">
        <v>63</v>
      </c>
    </row>
    <row r="330" spans="1:84" x14ac:dyDescent="0.2">
      <c r="A330" t="s">
        <v>1237</v>
      </c>
      <c r="B330" t="s">
        <v>1555</v>
      </c>
      <c r="C330" t="s">
        <v>1556</v>
      </c>
      <c r="D330" t="s">
        <v>1074</v>
      </c>
      <c r="E330" t="s">
        <v>1557</v>
      </c>
      <c r="F330" t="s">
        <v>118</v>
      </c>
      <c r="G330" t="str">
        <f>HYPERLINK("https://vk.com/wall-80149142_348548?reply=349506&amp;thread=348594")</f>
        <v>https://vk.com/wall-80149142_348548?reply=349506&amp;thread=348594</v>
      </c>
      <c r="H330" t="s">
        <v>181</v>
      </c>
      <c r="I330" t="s">
        <v>1558</v>
      </c>
      <c r="J330" t="str">
        <f>HYPERLINK("http://vk.com/id597506727")</f>
        <v>http://vk.com/id597506727</v>
      </c>
      <c r="K330">
        <v>4</v>
      </c>
      <c r="L330" t="s">
        <v>121</v>
      </c>
      <c r="M330">
        <v>41</v>
      </c>
      <c r="N330" t="s">
        <v>122</v>
      </c>
      <c r="O330" t="s">
        <v>1076</v>
      </c>
      <c r="P330" t="str">
        <f>HYPERLINK("http://vk.com/club80149142")</f>
        <v>http://vk.com/club80149142</v>
      </c>
      <c r="Q330">
        <v>59466</v>
      </c>
      <c r="R330" t="s">
        <v>124</v>
      </c>
      <c r="S330" t="s">
        <v>125</v>
      </c>
      <c r="T330" t="s">
        <v>230</v>
      </c>
      <c r="U330" t="s">
        <v>1559</v>
      </c>
      <c r="AM330" t="s">
        <v>129</v>
      </c>
      <c r="AN330" t="s">
        <v>130</v>
      </c>
      <c r="AP330" t="s">
        <v>41</v>
      </c>
      <c r="AT330" t="s">
        <v>45</v>
      </c>
      <c r="AY330" t="s">
        <v>50</v>
      </c>
      <c r="AZ330" t="s">
        <v>51</v>
      </c>
      <c r="BA330" t="s">
        <v>52</v>
      </c>
    </row>
    <row r="331" spans="1:84" x14ac:dyDescent="0.2">
      <c r="A331" t="s">
        <v>1237</v>
      </c>
      <c r="B331" t="s">
        <v>1555</v>
      </c>
      <c r="C331" t="s">
        <v>1560</v>
      </c>
      <c r="D331" t="s">
        <v>1074</v>
      </c>
      <c r="E331" t="s">
        <v>1561</v>
      </c>
      <c r="F331" t="s">
        <v>118</v>
      </c>
      <c r="G331" t="str">
        <f>HYPERLINK("https://vk.com/wall-80149142_348548?reply=349505&amp;thread=349086")</f>
        <v>https://vk.com/wall-80149142_348548?reply=349505&amp;thread=349086</v>
      </c>
      <c r="H331" t="s">
        <v>181</v>
      </c>
      <c r="I331" t="s">
        <v>1558</v>
      </c>
      <c r="J331" t="str">
        <f>HYPERLINK("http://vk.com/id597506727")</f>
        <v>http://vk.com/id597506727</v>
      </c>
      <c r="K331">
        <v>4</v>
      </c>
      <c r="L331" t="s">
        <v>121</v>
      </c>
      <c r="M331">
        <v>41</v>
      </c>
      <c r="N331" t="s">
        <v>122</v>
      </c>
      <c r="O331" t="s">
        <v>1076</v>
      </c>
      <c r="P331" t="str">
        <f>HYPERLINK("http://vk.com/club80149142")</f>
        <v>http://vk.com/club80149142</v>
      </c>
      <c r="Q331">
        <v>59466</v>
      </c>
      <c r="R331" t="s">
        <v>124</v>
      </c>
      <c r="S331" t="s">
        <v>125</v>
      </c>
      <c r="T331" t="s">
        <v>230</v>
      </c>
      <c r="U331" t="s">
        <v>1559</v>
      </c>
      <c r="AM331" t="s">
        <v>129</v>
      </c>
      <c r="AN331" t="s">
        <v>130</v>
      </c>
      <c r="AP331" t="s">
        <v>41</v>
      </c>
      <c r="AZ331" t="s">
        <v>51</v>
      </c>
      <c r="BA331" t="s">
        <v>52</v>
      </c>
      <c r="BL331" t="s">
        <v>63</v>
      </c>
    </row>
    <row r="332" spans="1:84" x14ac:dyDescent="0.2">
      <c r="A332" t="s">
        <v>1237</v>
      </c>
      <c r="B332" t="s">
        <v>1562</v>
      </c>
      <c r="C332" t="s">
        <v>1447</v>
      </c>
      <c r="D332" t="s">
        <v>1563</v>
      </c>
      <c r="E332" t="s">
        <v>1564</v>
      </c>
      <c r="F332" t="s">
        <v>118</v>
      </c>
      <c r="G332" t="str">
        <f>HYPERLINK("https://otzovik.com/review_12231116.html#90101139")</f>
        <v>https://otzovik.com/review_12231116.html#90101139</v>
      </c>
      <c r="H332" t="s">
        <v>119</v>
      </c>
      <c r="I332" t="s">
        <v>1565</v>
      </c>
      <c r="J332" t="str">
        <f>HYPERLINK("http://otzovik.com/profile/Tricolor+support")</f>
        <v>http://otzovik.com/profile/Tricolor+support</v>
      </c>
      <c r="N332" t="s">
        <v>390</v>
      </c>
      <c r="O332" t="s">
        <v>1067</v>
      </c>
      <c r="P332" t="str">
        <f>HYPERLINK("https://otzovik.com/reviews/sputnikovoe_televidenie_trikolor_tv/")</f>
        <v>https://otzovik.com/reviews/sputnikovoe_televidenie_trikolor_tv/</v>
      </c>
      <c r="R332" t="s">
        <v>184</v>
      </c>
      <c r="S332" t="s">
        <v>125</v>
      </c>
      <c r="AM332" t="s">
        <v>129</v>
      </c>
      <c r="AN332" t="s">
        <v>130</v>
      </c>
      <c r="BI332" t="s">
        <v>60</v>
      </c>
    </row>
    <row r="333" spans="1:84" x14ac:dyDescent="0.2">
      <c r="A333" t="s">
        <v>1237</v>
      </c>
      <c r="B333" t="s">
        <v>1566</v>
      </c>
      <c r="C333" t="s">
        <v>1567</v>
      </c>
      <c r="D333" t="s">
        <v>1568</v>
      </c>
      <c r="E333" t="s">
        <v>1569</v>
      </c>
      <c r="F333" t="s">
        <v>118</v>
      </c>
      <c r="G333" t="str">
        <f>HYPERLINK("https://irecommend.ru/content/dvoinaya-oplata-0#comment-24208447")</f>
        <v>https://irecommend.ru/content/dvoinaya-oplata-0#comment-24208447</v>
      </c>
      <c r="H333" t="s">
        <v>119</v>
      </c>
      <c r="I333" t="s">
        <v>1570</v>
      </c>
      <c r="J333" t="str">
        <f>HYPERLINK("https://irecommend.ru/users/tricolor-support")</f>
        <v>https://irecommend.ru/users/tricolor-support</v>
      </c>
      <c r="N333" t="s">
        <v>1571</v>
      </c>
      <c r="O333" t="s">
        <v>1568</v>
      </c>
      <c r="P333" t="str">
        <f>HYPERLINK("https://irecommend.ru/content/sputnikovoe-televidenie-trikolortv")</f>
        <v>https://irecommend.ru/content/sputnikovoe-televidenie-trikolortv</v>
      </c>
      <c r="R333" t="s">
        <v>184</v>
      </c>
      <c r="S333" t="s">
        <v>125</v>
      </c>
      <c r="AM333" t="s">
        <v>129</v>
      </c>
      <c r="AN333" t="s">
        <v>130</v>
      </c>
      <c r="BI333" t="s">
        <v>60</v>
      </c>
    </row>
    <row r="334" spans="1:84" x14ac:dyDescent="0.2">
      <c r="A334" t="s">
        <v>1237</v>
      </c>
      <c r="B334" t="s">
        <v>1572</v>
      </c>
      <c r="C334" t="s">
        <v>1573</v>
      </c>
      <c r="D334" t="s">
        <v>1574</v>
      </c>
      <c r="E334" t="s">
        <v>1575</v>
      </c>
      <c r="F334" t="s">
        <v>118</v>
      </c>
      <c r="G334" t="str">
        <f>HYPERLINK("https://vk.com/wall-322136_48956?reply=48974&amp;thread=48960")</f>
        <v>https://vk.com/wall-322136_48956?reply=48974&amp;thread=48960</v>
      </c>
      <c r="H334" t="s">
        <v>181</v>
      </c>
      <c r="I334" t="s">
        <v>1576</v>
      </c>
      <c r="J334" t="str">
        <f>HYPERLINK("http://vk.com/id447602491")</f>
        <v>http://vk.com/id447602491</v>
      </c>
      <c r="K334">
        <v>347</v>
      </c>
      <c r="L334" t="s">
        <v>121</v>
      </c>
      <c r="M334">
        <v>45</v>
      </c>
      <c r="N334" t="s">
        <v>122</v>
      </c>
      <c r="O334" t="s">
        <v>1577</v>
      </c>
      <c r="P334" t="str">
        <f>HYPERLINK("http://vk.com/club322136")</f>
        <v>http://vk.com/club322136</v>
      </c>
      <c r="Q334">
        <v>2813</v>
      </c>
      <c r="R334" t="s">
        <v>124</v>
      </c>
      <c r="S334" t="s">
        <v>125</v>
      </c>
      <c r="T334" t="s">
        <v>169</v>
      </c>
      <c r="U334" t="s">
        <v>169</v>
      </c>
      <c r="AM334" t="s">
        <v>129</v>
      </c>
      <c r="AN334" t="s">
        <v>130</v>
      </c>
      <c r="AP334" t="s">
        <v>41</v>
      </c>
      <c r="AW334" t="s">
        <v>48</v>
      </c>
      <c r="AZ334" t="s">
        <v>51</v>
      </c>
      <c r="BA334" t="s">
        <v>52</v>
      </c>
    </row>
    <row r="335" spans="1:84" x14ac:dyDescent="0.2">
      <c r="A335" t="s">
        <v>1237</v>
      </c>
      <c r="B335" t="s">
        <v>984</v>
      </c>
      <c r="C335" t="s">
        <v>1578</v>
      </c>
      <c r="D335" t="s">
        <v>1373</v>
      </c>
      <c r="E335" t="s">
        <v>1579</v>
      </c>
      <c r="F335" t="s">
        <v>118</v>
      </c>
      <c r="G335" t="str">
        <f>HYPERLINK("https://vk.com/wall-61101621_254780?reply=254879")</f>
        <v>https://vk.com/wall-61101621_254780?reply=254879</v>
      </c>
      <c r="H335" t="s">
        <v>119</v>
      </c>
      <c r="I335" t="s">
        <v>1580</v>
      </c>
      <c r="J335" t="str">
        <f>HYPERLINK("http://vk.com/id412163002")</f>
        <v>http://vk.com/id412163002</v>
      </c>
      <c r="K335">
        <v>38</v>
      </c>
      <c r="L335" t="s">
        <v>121</v>
      </c>
      <c r="N335" t="s">
        <v>122</v>
      </c>
      <c r="O335" t="s">
        <v>160</v>
      </c>
      <c r="P335" t="str">
        <f>HYPERLINK("http://vk.com/club61101621")</f>
        <v>http://vk.com/club61101621</v>
      </c>
      <c r="Q335">
        <v>21119</v>
      </c>
      <c r="R335" t="s">
        <v>124</v>
      </c>
      <c r="S335" t="s">
        <v>125</v>
      </c>
      <c r="T335" t="s">
        <v>1466</v>
      </c>
      <c r="U335" t="s">
        <v>1467</v>
      </c>
      <c r="AM335" t="s">
        <v>129</v>
      </c>
      <c r="AN335" t="s">
        <v>130</v>
      </c>
      <c r="AP335" t="s">
        <v>41</v>
      </c>
      <c r="AW335" t="s">
        <v>48</v>
      </c>
      <c r="AZ335" t="s">
        <v>51</v>
      </c>
      <c r="BA335" t="s">
        <v>52</v>
      </c>
      <c r="BO335" t="s">
        <v>66</v>
      </c>
    </row>
    <row r="336" spans="1:84" x14ac:dyDescent="0.2">
      <c r="A336" t="s">
        <v>1237</v>
      </c>
      <c r="B336" t="s">
        <v>1581</v>
      </c>
      <c r="C336" t="s">
        <v>1582</v>
      </c>
      <c r="D336" t="s">
        <v>215</v>
      </c>
      <c r="E336" t="s">
        <v>1583</v>
      </c>
      <c r="F336" t="s">
        <v>118</v>
      </c>
      <c r="G336" t="str">
        <f>HYPERLINK("https://vk.com/wall-27863223_292439?reply=292488")</f>
        <v>https://vk.com/wall-27863223_292439?reply=292488</v>
      </c>
      <c r="H336" t="s">
        <v>119</v>
      </c>
      <c r="I336" t="s">
        <v>1584</v>
      </c>
      <c r="J336" t="str">
        <f>HYPERLINK("http://vk.com/id456024761")</f>
        <v>http://vk.com/id456024761</v>
      </c>
      <c r="K336">
        <v>868</v>
      </c>
      <c r="L336" t="s">
        <v>121</v>
      </c>
      <c r="M336">
        <v>18</v>
      </c>
      <c r="N336" t="s">
        <v>122</v>
      </c>
      <c r="O336" t="s">
        <v>175</v>
      </c>
      <c r="P336" t="str">
        <f>HYPERLINK("http://vk.com/club27863223")</f>
        <v>http://vk.com/club27863223</v>
      </c>
      <c r="Q336">
        <v>134698</v>
      </c>
      <c r="R336" t="s">
        <v>124</v>
      </c>
      <c r="S336" t="s">
        <v>125</v>
      </c>
      <c r="T336" t="s">
        <v>137</v>
      </c>
      <c r="U336" t="s">
        <v>137</v>
      </c>
      <c r="W336">
        <v>0</v>
      </c>
      <c r="X336">
        <v>0</v>
      </c>
      <c r="AM336" t="s">
        <v>129</v>
      </c>
      <c r="AN336" t="s">
        <v>130</v>
      </c>
      <c r="AO336" t="s">
        <v>40</v>
      </c>
      <c r="AP336" t="s">
        <v>41</v>
      </c>
      <c r="AZ336" t="s">
        <v>51</v>
      </c>
      <c r="BA336" t="s">
        <v>52</v>
      </c>
    </row>
    <row r="337" spans="1:69" x14ac:dyDescent="0.2">
      <c r="A337" t="s">
        <v>1237</v>
      </c>
      <c r="B337" t="s">
        <v>991</v>
      </c>
      <c r="C337" t="s">
        <v>1582</v>
      </c>
      <c r="D337" t="s">
        <v>215</v>
      </c>
      <c r="E337" t="s">
        <v>1585</v>
      </c>
      <c r="F337" t="s">
        <v>118</v>
      </c>
      <c r="G337" t="str">
        <f>HYPERLINK("https://vk.com/wall-27863223_292439?w=wall-27863223_292439_r292487")</f>
        <v>https://vk.com/wall-27863223_292439?w=wall-27863223_292439_r292487</v>
      </c>
      <c r="H337" t="s">
        <v>119</v>
      </c>
      <c r="I337" t="s">
        <v>1111</v>
      </c>
      <c r="J337" t="str">
        <f>HYPERLINK("http://vk.com/id575539922")</f>
        <v>http://vk.com/id575539922</v>
      </c>
      <c r="K337">
        <v>12</v>
      </c>
      <c r="L337" t="s">
        <v>121</v>
      </c>
      <c r="M337">
        <v>54</v>
      </c>
      <c r="N337" t="s">
        <v>122</v>
      </c>
      <c r="O337" t="s">
        <v>175</v>
      </c>
      <c r="P337" t="str">
        <f>HYPERLINK("http://vk.com/club27863223")</f>
        <v>http://vk.com/club27863223</v>
      </c>
      <c r="Q337">
        <v>134698</v>
      </c>
      <c r="R337" t="s">
        <v>124</v>
      </c>
      <c r="S337" t="s">
        <v>125</v>
      </c>
      <c r="T337" t="s">
        <v>627</v>
      </c>
      <c r="U337" t="s">
        <v>1112</v>
      </c>
      <c r="W337">
        <v>0</v>
      </c>
      <c r="X337">
        <v>0</v>
      </c>
      <c r="AM337" t="s">
        <v>129</v>
      </c>
      <c r="AN337" t="s">
        <v>130</v>
      </c>
      <c r="AO337" t="s">
        <v>40</v>
      </c>
      <c r="AP337" t="s">
        <v>41</v>
      </c>
      <c r="AZ337" t="s">
        <v>51</v>
      </c>
      <c r="BA337" t="s">
        <v>52</v>
      </c>
    </row>
    <row r="338" spans="1:69" x14ac:dyDescent="0.2">
      <c r="A338" t="s">
        <v>1237</v>
      </c>
      <c r="B338" t="s">
        <v>1586</v>
      </c>
      <c r="C338" t="s">
        <v>1582</v>
      </c>
      <c r="D338" t="s">
        <v>215</v>
      </c>
      <c r="E338" t="s">
        <v>1587</v>
      </c>
      <c r="F338" t="s">
        <v>118</v>
      </c>
      <c r="G338" t="str">
        <f>HYPERLINK("https://vk.com/wall-27863223_292439?reply=292485")</f>
        <v>https://vk.com/wall-27863223_292439?reply=292485</v>
      </c>
      <c r="H338" t="s">
        <v>119</v>
      </c>
      <c r="I338" t="s">
        <v>1111</v>
      </c>
      <c r="J338" t="str">
        <f>HYPERLINK("http://vk.com/id575539922")</f>
        <v>http://vk.com/id575539922</v>
      </c>
      <c r="K338">
        <v>12</v>
      </c>
      <c r="L338" t="s">
        <v>121</v>
      </c>
      <c r="M338">
        <v>54</v>
      </c>
      <c r="N338" t="s">
        <v>122</v>
      </c>
      <c r="O338" t="s">
        <v>175</v>
      </c>
      <c r="P338" t="str">
        <f>HYPERLINK("http://vk.com/club27863223")</f>
        <v>http://vk.com/club27863223</v>
      </c>
      <c r="Q338">
        <v>134698</v>
      </c>
      <c r="R338" t="s">
        <v>124</v>
      </c>
      <c r="S338" t="s">
        <v>125</v>
      </c>
      <c r="T338" t="s">
        <v>627</v>
      </c>
      <c r="U338" t="s">
        <v>1112</v>
      </c>
      <c r="W338">
        <v>0</v>
      </c>
      <c r="X338">
        <v>0</v>
      </c>
      <c r="AM338" t="s">
        <v>129</v>
      </c>
      <c r="AN338" t="s">
        <v>130</v>
      </c>
      <c r="AO338" t="s">
        <v>40</v>
      </c>
      <c r="AP338" t="s">
        <v>41</v>
      </c>
      <c r="AZ338" t="s">
        <v>51</v>
      </c>
      <c r="BA338" t="s">
        <v>52</v>
      </c>
    </row>
    <row r="339" spans="1:69" x14ac:dyDescent="0.2">
      <c r="A339" t="s">
        <v>1237</v>
      </c>
      <c r="B339" t="s">
        <v>1588</v>
      </c>
      <c r="C339" t="s">
        <v>1589</v>
      </c>
      <c r="D339" t="s">
        <v>1590</v>
      </c>
      <c r="E339" t="s">
        <v>1591</v>
      </c>
      <c r="F339" t="s">
        <v>118</v>
      </c>
      <c r="G339" t="str">
        <f>HYPERLINK("https://vk.com/wall-27863223_291304?w=wall-27863223_291304_r292484")</f>
        <v>https://vk.com/wall-27863223_291304?w=wall-27863223_291304_r292484</v>
      </c>
      <c r="H339" t="s">
        <v>119</v>
      </c>
      <c r="I339" t="s">
        <v>396</v>
      </c>
      <c r="J339" t="str">
        <f>HYPERLINK("http://vk.com/id660994595")</f>
        <v>http://vk.com/id660994595</v>
      </c>
      <c r="K339">
        <v>0</v>
      </c>
      <c r="L339" t="s">
        <v>121</v>
      </c>
      <c r="M339">
        <v>18</v>
      </c>
      <c r="N339" t="s">
        <v>122</v>
      </c>
      <c r="O339" t="s">
        <v>175</v>
      </c>
      <c r="P339" t="str">
        <f>HYPERLINK("http://vk.com/club27863223")</f>
        <v>http://vk.com/club27863223</v>
      </c>
      <c r="Q339">
        <v>134698</v>
      </c>
      <c r="R339" t="s">
        <v>124</v>
      </c>
      <c r="W339">
        <v>0</v>
      </c>
      <c r="X339">
        <v>0</v>
      </c>
      <c r="AM339" t="s">
        <v>129</v>
      </c>
      <c r="AN339" t="s">
        <v>130</v>
      </c>
      <c r="AP339" t="s">
        <v>41</v>
      </c>
      <c r="AU339" t="s">
        <v>46</v>
      </c>
      <c r="AY339" t="s">
        <v>50</v>
      </c>
      <c r="AZ339" t="s">
        <v>51</v>
      </c>
      <c r="BA339" t="s">
        <v>52</v>
      </c>
    </row>
    <row r="340" spans="1:69" x14ac:dyDescent="0.2">
      <c r="A340" t="s">
        <v>1237</v>
      </c>
      <c r="B340" t="s">
        <v>1592</v>
      </c>
      <c r="C340" t="s">
        <v>1185</v>
      </c>
      <c r="D340" t="s">
        <v>1186</v>
      </c>
      <c r="E340" t="s">
        <v>1593</v>
      </c>
      <c r="F340" t="s">
        <v>180</v>
      </c>
      <c r="G340" t="str">
        <f>HYPERLINK("https://4pda.to/forum/index.php?showtopic=916407&amp;st=3100#entry108293164")</f>
        <v>https://4pda.to/forum/index.php?showtopic=916407&amp;st=3100#entry108293164</v>
      </c>
      <c r="H340" t="s">
        <v>119</v>
      </c>
      <c r="I340" t="s">
        <v>1594</v>
      </c>
      <c r="J340" t="str">
        <f>HYPERLINK("https://4pda.to/forum/index.php?showuser=3953320")</f>
        <v>https://4pda.to/forum/index.php?showuser=3953320</v>
      </c>
      <c r="N340" t="s">
        <v>293</v>
      </c>
      <c r="O340" t="s">
        <v>1189</v>
      </c>
      <c r="P340" t="str">
        <f>HYPERLINK("https://4pda.to/forum/index.php?showforum=319")</f>
        <v>https://4pda.to/forum/index.php?showforum=319</v>
      </c>
      <c r="R340" t="s">
        <v>295</v>
      </c>
      <c r="S340" t="s">
        <v>125</v>
      </c>
      <c r="AM340" t="s">
        <v>129</v>
      </c>
      <c r="AN340" t="s">
        <v>130</v>
      </c>
      <c r="AP340" t="s">
        <v>41</v>
      </c>
      <c r="AZ340" t="s">
        <v>51</v>
      </c>
      <c r="BA340" t="s">
        <v>52</v>
      </c>
      <c r="BQ340" t="s">
        <v>68</v>
      </c>
    </row>
    <row r="341" spans="1:69" x14ac:dyDescent="0.2">
      <c r="A341" t="s">
        <v>1237</v>
      </c>
      <c r="B341" t="s">
        <v>1595</v>
      </c>
      <c r="C341" t="s">
        <v>1596</v>
      </c>
      <c r="D341" t="s">
        <v>1597</v>
      </c>
      <c r="E341" t="s">
        <v>1598</v>
      </c>
      <c r="F341" t="s">
        <v>180</v>
      </c>
      <c r="G341" t="str">
        <f>HYPERLINK("https://forum.littleone.ru/showthread.php?t=8492545&amp;page=289#post_176337480")</f>
        <v>https://forum.littleone.ru/showthread.php?t=8492545&amp;page=289#post_176337480</v>
      </c>
      <c r="H341" t="s">
        <v>119</v>
      </c>
      <c r="I341" t="s">
        <v>1599</v>
      </c>
      <c r="J341" t="str">
        <f>HYPERLINK("https://forum.littleone.ru/member.php?u=216921")</f>
        <v>https://forum.littleone.ru/member.php?u=216921</v>
      </c>
      <c r="N341" t="s">
        <v>1600</v>
      </c>
      <c r="O341" t="s">
        <v>1601</v>
      </c>
      <c r="P341" t="str">
        <f>HYPERLINK("https://forum.littleone.ru/forumdisplay.php?f=16&amp;s=ffc2658135cfd4a2c590ba8b71d31d56")</f>
        <v>https://forum.littleone.ru/forumdisplay.php?f=16&amp;s=ffc2658135cfd4a2c590ba8b71d31d56</v>
      </c>
      <c r="R341" t="s">
        <v>295</v>
      </c>
      <c r="S341" t="s">
        <v>125</v>
      </c>
      <c r="AM341" t="s">
        <v>129</v>
      </c>
      <c r="AN341" t="s">
        <v>130</v>
      </c>
      <c r="AP341" t="s">
        <v>41</v>
      </c>
      <c r="AW341" t="s">
        <v>48</v>
      </c>
      <c r="AZ341" t="s">
        <v>51</v>
      </c>
      <c r="BA341" t="s">
        <v>52</v>
      </c>
    </row>
    <row r="342" spans="1:69" x14ac:dyDescent="0.2">
      <c r="A342" t="s">
        <v>1237</v>
      </c>
      <c r="B342" t="s">
        <v>1602</v>
      </c>
      <c r="C342" t="s">
        <v>1589</v>
      </c>
      <c r="D342" t="s">
        <v>215</v>
      </c>
      <c r="E342" t="s">
        <v>1603</v>
      </c>
      <c r="F342" t="s">
        <v>118</v>
      </c>
      <c r="G342" t="str">
        <f>HYPERLINK("https://vk.com/wall-27863223_292439?reply=292483")</f>
        <v>https://vk.com/wall-27863223_292439?reply=292483</v>
      </c>
      <c r="H342" t="s">
        <v>119</v>
      </c>
      <c r="I342" t="s">
        <v>241</v>
      </c>
      <c r="J342" t="str">
        <f>HYPERLINK("http://vk.com/id305429506")</f>
        <v>http://vk.com/id305429506</v>
      </c>
      <c r="K342">
        <v>211</v>
      </c>
      <c r="L342" t="s">
        <v>121</v>
      </c>
      <c r="N342" t="s">
        <v>122</v>
      </c>
      <c r="O342" t="s">
        <v>175</v>
      </c>
      <c r="P342" t="str">
        <f>HYPERLINK("http://vk.com/club27863223")</f>
        <v>http://vk.com/club27863223</v>
      </c>
      <c r="Q342">
        <v>134698</v>
      </c>
      <c r="R342" t="s">
        <v>124</v>
      </c>
      <c r="S342" t="s">
        <v>125</v>
      </c>
      <c r="T342" t="s">
        <v>212</v>
      </c>
      <c r="U342" t="s">
        <v>242</v>
      </c>
      <c r="W342">
        <v>0</v>
      </c>
      <c r="X342">
        <v>0</v>
      </c>
      <c r="AM342" t="s">
        <v>129</v>
      </c>
      <c r="AN342" t="s">
        <v>130</v>
      </c>
      <c r="AO342" t="s">
        <v>40</v>
      </c>
      <c r="AP342" t="s">
        <v>41</v>
      </c>
      <c r="AZ342" t="s">
        <v>51</v>
      </c>
      <c r="BA342" t="s">
        <v>52</v>
      </c>
    </row>
    <row r="343" spans="1:69" x14ac:dyDescent="0.2">
      <c r="A343" t="s">
        <v>1237</v>
      </c>
      <c r="B343" t="s">
        <v>1604</v>
      </c>
      <c r="C343" t="s">
        <v>1605</v>
      </c>
      <c r="D343" t="s">
        <v>215</v>
      </c>
      <c r="E343" t="s">
        <v>1606</v>
      </c>
      <c r="F343" t="s">
        <v>118</v>
      </c>
      <c r="G343" t="str">
        <f>HYPERLINK("https://vk.com/wall-27863223_292439?reply=292482")</f>
        <v>https://vk.com/wall-27863223_292439?reply=292482</v>
      </c>
      <c r="H343" t="s">
        <v>119</v>
      </c>
      <c r="I343" t="s">
        <v>831</v>
      </c>
      <c r="J343" t="str">
        <f>HYPERLINK("http://vk.com/id3802577")</f>
        <v>http://vk.com/id3802577</v>
      </c>
      <c r="K343">
        <v>238</v>
      </c>
      <c r="L343" t="s">
        <v>151</v>
      </c>
      <c r="N343" t="s">
        <v>122</v>
      </c>
      <c r="O343" t="s">
        <v>175</v>
      </c>
      <c r="P343" t="str">
        <f>HYPERLINK("http://vk.com/club27863223")</f>
        <v>http://vk.com/club27863223</v>
      </c>
      <c r="Q343">
        <v>134698</v>
      </c>
      <c r="R343" t="s">
        <v>124</v>
      </c>
      <c r="S343" t="s">
        <v>1607</v>
      </c>
      <c r="W343">
        <v>0</v>
      </c>
      <c r="X343">
        <v>0</v>
      </c>
      <c r="AM343" t="s">
        <v>129</v>
      </c>
      <c r="AN343" t="s">
        <v>130</v>
      </c>
      <c r="AO343" t="s">
        <v>40</v>
      </c>
      <c r="AP343" t="s">
        <v>41</v>
      </c>
      <c r="AZ343" t="s">
        <v>51</v>
      </c>
      <c r="BA343" t="s">
        <v>52</v>
      </c>
    </row>
    <row r="344" spans="1:69" x14ac:dyDescent="0.2">
      <c r="A344" t="s">
        <v>1237</v>
      </c>
      <c r="B344" t="s">
        <v>1029</v>
      </c>
      <c r="C344" t="s">
        <v>1608</v>
      </c>
      <c r="D344" t="s">
        <v>215</v>
      </c>
      <c r="E344" t="s">
        <v>1609</v>
      </c>
      <c r="F344" t="s">
        <v>118</v>
      </c>
      <c r="G344" t="str">
        <f>HYPERLINK("https://vk.com/wall-27863223_292439?reply=292478")</f>
        <v>https://vk.com/wall-27863223_292439?reply=292478</v>
      </c>
      <c r="H344" t="s">
        <v>119</v>
      </c>
      <c r="I344" t="s">
        <v>174</v>
      </c>
      <c r="J344" t="str">
        <f>HYPERLINK("http://vk.com/id456414908")</f>
        <v>http://vk.com/id456414908</v>
      </c>
      <c r="K344">
        <v>240</v>
      </c>
      <c r="L344" t="s">
        <v>151</v>
      </c>
      <c r="M344">
        <v>32</v>
      </c>
      <c r="N344" t="s">
        <v>122</v>
      </c>
      <c r="O344" t="s">
        <v>175</v>
      </c>
      <c r="P344" t="str">
        <f>HYPERLINK("http://vk.com/club27863223")</f>
        <v>http://vk.com/club27863223</v>
      </c>
      <c r="Q344">
        <v>134698</v>
      </c>
      <c r="R344" t="s">
        <v>124</v>
      </c>
      <c r="W344">
        <v>0</v>
      </c>
      <c r="X344">
        <v>0</v>
      </c>
      <c r="AM344" t="s">
        <v>129</v>
      </c>
      <c r="AN344" t="s">
        <v>130</v>
      </c>
      <c r="AO344" t="s">
        <v>40</v>
      </c>
      <c r="AP344" t="s">
        <v>41</v>
      </c>
      <c r="AZ344" t="s">
        <v>51</v>
      </c>
      <c r="BA344" t="s">
        <v>52</v>
      </c>
    </row>
    <row r="345" spans="1:69" x14ac:dyDescent="0.2">
      <c r="A345" t="s">
        <v>1237</v>
      </c>
      <c r="B345" t="s">
        <v>1610</v>
      </c>
      <c r="C345" t="s">
        <v>1608</v>
      </c>
      <c r="D345" t="s">
        <v>129</v>
      </c>
      <c r="E345" t="s">
        <v>1611</v>
      </c>
      <c r="F345" t="s">
        <v>180</v>
      </c>
      <c r="G345" t="str">
        <f>HYPERLINK("https://twitter.com/360582757/status/1420698852328411144")</f>
        <v>https://twitter.com/360582757/status/1420698852328411144</v>
      </c>
      <c r="H345" t="s">
        <v>119</v>
      </c>
      <c r="I345" t="s">
        <v>175</v>
      </c>
      <c r="J345" t="str">
        <f>HYPERLINK("http://twitter.com/tricolortv")</f>
        <v>http://twitter.com/tricolortv</v>
      </c>
      <c r="K345">
        <v>5663</v>
      </c>
      <c r="N345" t="s">
        <v>350</v>
      </c>
      <c r="R345" t="s">
        <v>124</v>
      </c>
      <c r="S345" t="s">
        <v>125</v>
      </c>
      <c r="T345" t="s">
        <v>137</v>
      </c>
      <c r="U345" t="s">
        <v>137</v>
      </c>
      <c r="W345">
        <v>1</v>
      </c>
      <c r="X345">
        <v>1</v>
      </c>
      <c r="AE345">
        <v>0</v>
      </c>
      <c r="AF345">
        <v>0</v>
      </c>
      <c r="AJ345" t="s">
        <v>1612</v>
      </c>
      <c r="AK345" t="s">
        <v>1613</v>
      </c>
      <c r="AL345" t="str">
        <f>HYPERLINK("https://pbs.twimg.com/media/E7dWD3mWEAIpomk.jpg")</f>
        <v>https://pbs.twimg.com/media/E7dWD3mWEAIpomk.jpg</v>
      </c>
      <c r="AM345" t="s">
        <v>129</v>
      </c>
      <c r="AN345" t="s">
        <v>130</v>
      </c>
      <c r="BI345" t="s">
        <v>60</v>
      </c>
    </row>
    <row r="346" spans="1:69" x14ac:dyDescent="0.2">
      <c r="A346" t="s">
        <v>1237</v>
      </c>
      <c r="B346" t="s">
        <v>1614</v>
      </c>
      <c r="C346" t="s">
        <v>1608</v>
      </c>
      <c r="D346" t="s">
        <v>1615</v>
      </c>
      <c r="E346" t="s">
        <v>1616</v>
      </c>
      <c r="F346" t="s">
        <v>118</v>
      </c>
      <c r="G346" t="str">
        <f>HYPERLINK("https://vk.com/wall-27863223_292193?w=wall-27863223_292193_r292477")</f>
        <v>https://vk.com/wall-27863223_292193?w=wall-27863223_292193_r292477</v>
      </c>
      <c r="H346" t="s">
        <v>119</v>
      </c>
      <c r="I346" t="s">
        <v>396</v>
      </c>
      <c r="J346" t="str">
        <f>HYPERLINK("http://vk.com/id660994595")</f>
        <v>http://vk.com/id660994595</v>
      </c>
      <c r="K346">
        <v>0</v>
      </c>
      <c r="L346" t="s">
        <v>121</v>
      </c>
      <c r="M346">
        <v>18</v>
      </c>
      <c r="N346" t="s">
        <v>122</v>
      </c>
      <c r="O346" t="s">
        <v>175</v>
      </c>
      <c r="P346" t="str">
        <f>HYPERLINK("http://vk.com/club27863223")</f>
        <v>http://vk.com/club27863223</v>
      </c>
      <c r="Q346">
        <v>134698</v>
      </c>
      <c r="R346" t="s">
        <v>124</v>
      </c>
      <c r="W346">
        <v>0</v>
      </c>
      <c r="X346">
        <v>0</v>
      </c>
      <c r="AM346" t="s">
        <v>129</v>
      </c>
      <c r="AN346" t="s">
        <v>130</v>
      </c>
      <c r="AP346" t="s">
        <v>41</v>
      </c>
      <c r="AZ346" t="s">
        <v>51</v>
      </c>
      <c r="BA346" t="s">
        <v>52</v>
      </c>
      <c r="BL346" t="s">
        <v>63</v>
      </c>
      <c r="BO346" t="s">
        <v>66</v>
      </c>
    </row>
    <row r="347" spans="1:69" x14ac:dyDescent="0.2">
      <c r="A347" t="s">
        <v>1237</v>
      </c>
      <c r="B347" t="s">
        <v>1614</v>
      </c>
      <c r="C347" t="s">
        <v>1617</v>
      </c>
      <c r="D347" t="s">
        <v>1618</v>
      </c>
      <c r="E347" t="s">
        <v>1619</v>
      </c>
      <c r="F347" t="s">
        <v>180</v>
      </c>
      <c r="G347" t="str">
        <f>HYPERLINK("https://ok.ru/group/51085510115462/topic/153500765169030")</f>
        <v>https://ok.ru/group/51085510115462/topic/153500765169030</v>
      </c>
      <c r="H347" t="s">
        <v>119</v>
      </c>
      <c r="I347" t="s">
        <v>175</v>
      </c>
      <c r="J347" t="str">
        <f>HYPERLINK("https://ok.ru/group/51085510115462")</f>
        <v>https://ok.ru/group/51085510115462</v>
      </c>
      <c r="K347">
        <v>94768</v>
      </c>
      <c r="L347" t="s">
        <v>340</v>
      </c>
      <c r="N347" t="s">
        <v>347</v>
      </c>
      <c r="O347" t="s">
        <v>175</v>
      </c>
      <c r="P347" t="str">
        <f>HYPERLINK("https://ok.ru/group/51085510115462")</f>
        <v>https://ok.ru/group/51085510115462</v>
      </c>
      <c r="Q347">
        <v>94768</v>
      </c>
      <c r="R347" t="s">
        <v>124</v>
      </c>
      <c r="W347">
        <v>5</v>
      </c>
      <c r="X347">
        <v>5</v>
      </c>
      <c r="Y347">
        <v>0</v>
      </c>
      <c r="Z347">
        <v>0</v>
      </c>
      <c r="AA347">
        <v>0</v>
      </c>
      <c r="AB347">
        <v>0</v>
      </c>
      <c r="AE347">
        <v>0</v>
      </c>
      <c r="AF347">
        <v>0</v>
      </c>
      <c r="AJ347" t="s">
        <v>1612</v>
      </c>
      <c r="AK347" t="s">
        <v>1613</v>
      </c>
      <c r="AL347" t="str">
        <f>HYPERLINK("https://i.mycdn.me/image?id=919110329990&amp;t=20&amp;plc=API&amp;aid=1131601408&amp;tkn=*mewvSdUZWPw9t5Fid2F2GjlOBpk")</f>
        <v>https://i.mycdn.me/image?id=919110329990&amp;t=20&amp;plc=API&amp;aid=1131601408&amp;tkn=*mewvSdUZWPw9t5Fid2F2GjlOBpk</v>
      </c>
      <c r="AM347" t="s">
        <v>129</v>
      </c>
      <c r="AN347" t="s">
        <v>130</v>
      </c>
      <c r="BI347" t="s">
        <v>60</v>
      </c>
    </row>
    <row r="348" spans="1:69" x14ac:dyDescent="0.2">
      <c r="A348" t="s">
        <v>1237</v>
      </c>
      <c r="B348" t="s">
        <v>1620</v>
      </c>
      <c r="C348" t="s">
        <v>1382</v>
      </c>
      <c r="D348" t="s">
        <v>129</v>
      </c>
      <c r="E348" t="s">
        <v>1619</v>
      </c>
      <c r="F348" t="s">
        <v>180</v>
      </c>
      <c r="G348" t="str">
        <f>HYPERLINK("https://www.facebook.com/tricolortv/posts/4127433417310897")</f>
        <v>https://www.facebook.com/tricolortv/posts/4127433417310897</v>
      </c>
      <c r="H348" t="s">
        <v>119</v>
      </c>
      <c r="I348" t="s">
        <v>175</v>
      </c>
      <c r="J348" t="str">
        <f>HYPERLINK("https://www.facebook.com/206198386101106")</f>
        <v>https://www.facebook.com/206198386101106</v>
      </c>
      <c r="K348">
        <v>16432</v>
      </c>
      <c r="L348" t="s">
        <v>340</v>
      </c>
      <c r="N348" t="s">
        <v>305</v>
      </c>
      <c r="O348" t="s">
        <v>175</v>
      </c>
      <c r="P348" t="str">
        <f>HYPERLINK("https://www.facebook.com/206198386101106")</f>
        <v>https://www.facebook.com/206198386101106</v>
      </c>
      <c r="Q348">
        <v>16432</v>
      </c>
      <c r="R348" t="s">
        <v>124</v>
      </c>
      <c r="W348">
        <v>0</v>
      </c>
      <c r="X348">
        <v>0</v>
      </c>
      <c r="Y348">
        <v>0</v>
      </c>
      <c r="Z348">
        <v>0</v>
      </c>
      <c r="AA348">
        <v>0</v>
      </c>
      <c r="AB348">
        <v>0</v>
      </c>
      <c r="AC348">
        <v>0</v>
      </c>
      <c r="AE348">
        <v>0</v>
      </c>
      <c r="AF348">
        <v>0</v>
      </c>
      <c r="AJ348" t="s">
        <v>1612</v>
      </c>
      <c r="AK348" t="s">
        <v>1613</v>
      </c>
      <c r="AL348" t="s">
        <v>1621</v>
      </c>
      <c r="AM348" t="s">
        <v>129</v>
      </c>
      <c r="AN348" t="s">
        <v>130</v>
      </c>
      <c r="BI348" t="s">
        <v>60</v>
      </c>
    </row>
    <row r="349" spans="1:69" x14ac:dyDescent="0.2">
      <c r="A349" t="s">
        <v>1237</v>
      </c>
      <c r="B349" t="s">
        <v>1622</v>
      </c>
      <c r="C349" t="s">
        <v>1608</v>
      </c>
      <c r="D349" t="s">
        <v>1615</v>
      </c>
      <c r="E349" t="s">
        <v>1623</v>
      </c>
      <c r="F349" t="s">
        <v>118</v>
      </c>
      <c r="G349" t="str">
        <f>HYPERLINK("https://vk.com/wall-27863223_292193?w=wall-27863223_292193_r292473")</f>
        <v>https://vk.com/wall-27863223_292193?w=wall-27863223_292193_r292473</v>
      </c>
      <c r="H349" t="s">
        <v>228</v>
      </c>
      <c r="I349" t="s">
        <v>396</v>
      </c>
      <c r="J349" t="str">
        <f>HYPERLINK("http://vk.com/id660994595")</f>
        <v>http://vk.com/id660994595</v>
      </c>
      <c r="K349">
        <v>0</v>
      </c>
      <c r="L349" t="s">
        <v>121</v>
      </c>
      <c r="M349">
        <v>18</v>
      </c>
      <c r="N349" t="s">
        <v>122</v>
      </c>
      <c r="O349" t="s">
        <v>175</v>
      </c>
      <c r="P349" t="str">
        <f>HYPERLINK("http://vk.com/club27863223")</f>
        <v>http://vk.com/club27863223</v>
      </c>
      <c r="Q349">
        <v>134698</v>
      </c>
      <c r="R349" t="s">
        <v>124</v>
      </c>
      <c r="W349">
        <v>0</v>
      </c>
      <c r="X349">
        <v>0</v>
      </c>
      <c r="AM349" t="s">
        <v>129</v>
      </c>
      <c r="AN349" t="s">
        <v>130</v>
      </c>
      <c r="AP349" t="s">
        <v>41</v>
      </c>
      <c r="AZ349" t="s">
        <v>51</v>
      </c>
      <c r="BA349" t="s">
        <v>52</v>
      </c>
      <c r="BM349" t="s">
        <v>64</v>
      </c>
    </row>
    <row r="350" spans="1:69" x14ac:dyDescent="0.2">
      <c r="A350" t="s">
        <v>1237</v>
      </c>
      <c r="B350" t="s">
        <v>1624</v>
      </c>
      <c r="C350" t="s">
        <v>1625</v>
      </c>
      <c r="D350" t="s">
        <v>1626</v>
      </c>
      <c r="E350" t="s">
        <v>1627</v>
      </c>
      <c r="F350" t="s">
        <v>180</v>
      </c>
      <c r="G350" t="str">
        <f>HYPERLINK("https://www.ozon.ru/context/detail/id/230710802/#62925540")</f>
        <v>https://www.ozon.ru/context/detail/id/230710802/#62925540</v>
      </c>
      <c r="H350" t="s">
        <v>181</v>
      </c>
      <c r="I350" t="s">
        <v>1628</v>
      </c>
      <c r="J350" t="str">
        <f>HYPERLINK("https://www.ozon.ru/context/client_opinion/ClientGuid/0a22e8fe-121d-4acb-9442-c8ba6634688a/")</f>
        <v>https://www.ozon.ru/context/client_opinion/ClientGuid/0a22e8fe-121d-4acb-9442-c8ba6634688a/</v>
      </c>
      <c r="L350" t="s">
        <v>121</v>
      </c>
      <c r="N350" t="s">
        <v>183</v>
      </c>
      <c r="O350" t="s">
        <v>1629</v>
      </c>
      <c r="P350" t="str">
        <f>HYPERLINK("https://www.ozon.ru/context/detail/id/230710802/")</f>
        <v>https://www.ozon.ru/context/detail/id/230710802/</v>
      </c>
      <c r="R350" t="s">
        <v>184</v>
      </c>
      <c r="S350" t="s">
        <v>125</v>
      </c>
      <c r="W350">
        <v>0</v>
      </c>
      <c r="X350">
        <v>0</v>
      </c>
      <c r="AH350">
        <v>5</v>
      </c>
      <c r="AM350" t="s">
        <v>129</v>
      </c>
      <c r="AN350" t="s">
        <v>130</v>
      </c>
      <c r="AP350" t="s">
        <v>41</v>
      </c>
      <c r="AT350" t="s">
        <v>45</v>
      </c>
      <c r="AZ350" t="s">
        <v>51</v>
      </c>
      <c r="BA350" t="s">
        <v>52</v>
      </c>
      <c r="BL350" t="s">
        <v>63</v>
      </c>
    </row>
    <row r="351" spans="1:69" x14ac:dyDescent="0.2">
      <c r="A351" t="s">
        <v>1237</v>
      </c>
      <c r="B351" t="s">
        <v>1630</v>
      </c>
      <c r="C351" t="s">
        <v>1631</v>
      </c>
      <c r="D351" t="s">
        <v>215</v>
      </c>
      <c r="E351" t="s">
        <v>1632</v>
      </c>
      <c r="F351" t="s">
        <v>118</v>
      </c>
      <c r="G351" t="str">
        <f>HYPERLINK("https://vk.com/wall-27863223_292439?reply=292472")</f>
        <v>https://vk.com/wall-27863223_292439?reply=292472</v>
      </c>
      <c r="H351" t="s">
        <v>119</v>
      </c>
      <c r="I351" t="s">
        <v>299</v>
      </c>
      <c r="J351" t="str">
        <f>HYPERLINK("http://vk.com/id262357214")</f>
        <v>http://vk.com/id262357214</v>
      </c>
      <c r="K351">
        <v>228</v>
      </c>
      <c r="L351" t="s">
        <v>151</v>
      </c>
      <c r="N351" t="s">
        <v>122</v>
      </c>
      <c r="O351" t="s">
        <v>175</v>
      </c>
      <c r="P351" t="str">
        <f t="shared" ref="P351:P356" si="3">HYPERLINK("http://vk.com/club27863223")</f>
        <v>http://vk.com/club27863223</v>
      </c>
      <c r="Q351">
        <v>134698</v>
      </c>
      <c r="R351" t="s">
        <v>124</v>
      </c>
      <c r="W351">
        <v>0</v>
      </c>
      <c r="X351">
        <v>0</v>
      </c>
      <c r="AM351" t="s">
        <v>129</v>
      </c>
      <c r="AN351" t="s">
        <v>130</v>
      </c>
      <c r="AO351" t="s">
        <v>40</v>
      </c>
      <c r="AP351" t="s">
        <v>41</v>
      </c>
      <c r="AZ351" t="s">
        <v>51</v>
      </c>
      <c r="BA351" t="s">
        <v>52</v>
      </c>
    </row>
    <row r="352" spans="1:69" x14ac:dyDescent="0.2">
      <c r="A352" t="s">
        <v>1237</v>
      </c>
      <c r="B352" t="s">
        <v>1633</v>
      </c>
      <c r="C352" t="s">
        <v>1631</v>
      </c>
      <c r="D352" t="s">
        <v>215</v>
      </c>
      <c r="E352" t="s">
        <v>1634</v>
      </c>
      <c r="F352" t="s">
        <v>118</v>
      </c>
      <c r="G352" t="str">
        <f>HYPERLINK("https://vk.com/wall-27863223_292439?reply=292471")</f>
        <v>https://vk.com/wall-27863223_292439?reply=292471</v>
      </c>
      <c r="H352" t="s">
        <v>119</v>
      </c>
      <c r="I352" t="s">
        <v>1635</v>
      </c>
      <c r="J352" t="str">
        <f>HYPERLINK("http://vk.com/id24942215")</f>
        <v>http://vk.com/id24942215</v>
      </c>
      <c r="K352">
        <v>593</v>
      </c>
      <c r="L352" t="s">
        <v>121</v>
      </c>
      <c r="N352" t="s">
        <v>122</v>
      </c>
      <c r="O352" t="s">
        <v>175</v>
      </c>
      <c r="P352" t="str">
        <f t="shared" si="3"/>
        <v>http://vk.com/club27863223</v>
      </c>
      <c r="Q352">
        <v>134698</v>
      </c>
      <c r="R352" t="s">
        <v>124</v>
      </c>
      <c r="S352" t="s">
        <v>125</v>
      </c>
      <c r="T352" t="s">
        <v>212</v>
      </c>
      <c r="U352" t="s">
        <v>242</v>
      </c>
      <c r="W352">
        <v>0</v>
      </c>
      <c r="X352">
        <v>0</v>
      </c>
      <c r="AM352" t="s">
        <v>129</v>
      </c>
      <c r="AN352" t="s">
        <v>130</v>
      </c>
      <c r="AO352" t="s">
        <v>40</v>
      </c>
      <c r="AP352" t="s">
        <v>41</v>
      </c>
      <c r="AZ352" t="s">
        <v>51</v>
      </c>
      <c r="BA352" t="s">
        <v>52</v>
      </c>
    </row>
    <row r="353" spans="1:54" x14ac:dyDescent="0.2">
      <c r="A353" t="s">
        <v>1237</v>
      </c>
      <c r="B353" t="s">
        <v>529</v>
      </c>
      <c r="C353" t="s">
        <v>1631</v>
      </c>
      <c r="D353" t="s">
        <v>215</v>
      </c>
      <c r="E353" t="s">
        <v>1636</v>
      </c>
      <c r="F353" t="s">
        <v>118</v>
      </c>
      <c r="G353" t="str">
        <f>HYPERLINK("https://vk.com/wall-27863223_292439?reply=292470")</f>
        <v>https://vk.com/wall-27863223_292439?reply=292470</v>
      </c>
      <c r="H353" t="s">
        <v>119</v>
      </c>
      <c r="I353" t="s">
        <v>831</v>
      </c>
      <c r="J353" t="str">
        <f>HYPERLINK("http://vk.com/id550993424")</f>
        <v>http://vk.com/id550993424</v>
      </c>
      <c r="K353">
        <v>158</v>
      </c>
      <c r="L353" t="s">
        <v>151</v>
      </c>
      <c r="N353" t="s">
        <v>122</v>
      </c>
      <c r="O353" t="s">
        <v>175</v>
      </c>
      <c r="P353" t="str">
        <f t="shared" si="3"/>
        <v>http://vk.com/club27863223</v>
      </c>
      <c r="Q353">
        <v>134698</v>
      </c>
      <c r="R353" t="s">
        <v>124</v>
      </c>
      <c r="S353" t="s">
        <v>125</v>
      </c>
      <c r="T353" t="s">
        <v>828</v>
      </c>
      <c r="U353" t="s">
        <v>829</v>
      </c>
      <c r="W353">
        <v>0</v>
      </c>
      <c r="X353">
        <v>0</v>
      </c>
      <c r="AM353" t="s">
        <v>129</v>
      </c>
      <c r="AN353" t="s">
        <v>130</v>
      </c>
      <c r="AO353" t="s">
        <v>40</v>
      </c>
      <c r="AP353" t="s">
        <v>41</v>
      </c>
      <c r="AZ353" t="s">
        <v>51</v>
      </c>
      <c r="BA353" t="s">
        <v>52</v>
      </c>
    </row>
    <row r="354" spans="1:54" x14ac:dyDescent="0.2">
      <c r="A354" t="s">
        <v>1237</v>
      </c>
      <c r="B354" t="s">
        <v>1637</v>
      </c>
      <c r="C354" t="s">
        <v>1631</v>
      </c>
      <c r="D354" t="s">
        <v>215</v>
      </c>
      <c r="E354" t="s">
        <v>1056</v>
      </c>
      <c r="F354" t="s">
        <v>118</v>
      </c>
      <c r="G354" t="str">
        <f>HYPERLINK("https://vk.com/wall-27863223_292439?reply=292469")</f>
        <v>https://vk.com/wall-27863223_292439?reply=292469</v>
      </c>
      <c r="H354" t="s">
        <v>119</v>
      </c>
      <c r="I354" t="s">
        <v>835</v>
      </c>
      <c r="J354" t="str">
        <f>HYPERLINK("http://vk.com/id58646502")</f>
        <v>http://vk.com/id58646502</v>
      </c>
      <c r="K354">
        <v>813</v>
      </c>
      <c r="L354" t="s">
        <v>151</v>
      </c>
      <c r="N354" t="s">
        <v>122</v>
      </c>
      <c r="O354" t="s">
        <v>175</v>
      </c>
      <c r="P354" t="str">
        <f t="shared" si="3"/>
        <v>http://vk.com/club27863223</v>
      </c>
      <c r="Q354">
        <v>134698</v>
      </c>
      <c r="R354" t="s">
        <v>124</v>
      </c>
      <c r="S354" t="s">
        <v>125</v>
      </c>
      <c r="T354" t="s">
        <v>828</v>
      </c>
      <c r="U354" t="s">
        <v>829</v>
      </c>
      <c r="W354">
        <v>0</v>
      </c>
      <c r="X354">
        <v>0</v>
      </c>
      <c r="AM354" t="s">
        <v>129</v>
      </c>
      <c r="AN354" t="s">
        <v>130</v>
      </c>
      <c r="AO354" t="s">
        <v>40</v>
      </c>
      <c r="AP354" t="s">
        <v>41</v>
      </c>
      <c r="AZ354" t="s">
        <v>51</v>
      </c>
      <c r="BA354" t="s">
        <v>52</v>
      </c>
    </row>
    <row r="355" spans="1:54" x14ac:dyDescent="0.2">
      <c r="A355" t="s">
        <v>1237</v>
      </c>
      <c r="B355" t="s">
        <v>1638</v>
      </c>
      <c r="C355" t="s">
        <v>1631</v>
      </c>
      <c r="D355" t="s">
        <v>215</v>
      </c>
      <c r="E355" t="s">
        <v>1639</v>
      </c>
      <c r="F355" t="s">
        <v>118</v>
      </c>
      <c r="G355" t="str">
        <f>HYPERLINK("https://vk.com/wall-27863223_292439?reply=292468")</f>
        <v>https://vk.com/wall-27863223_292439?reply=292468</v>
      </c>
      <c r="H355" t="s">
        <v>119</v>
      </c>
      <c r="I355" t="s">
        <v>837</v>
      </c>
      <c r="J355" t="str">
        <f>HYPERLINK("http://vk.com/id17320969")</f>
        <v>http://vk.com/id17320969</v>
      </c>
      <c r="K355">
        <v>326</v>
      </c>
      <c r="L355" t="s">
        <v>121</v>
      </c>
      <c r="M355">
        <v>31</v>
      </c>
      <c r="N355" t="s">
        <v>122</v>
      </c>
      <c r="O355" t="s">
        <v>175</v>
      </c>
      <c r="P355" t="str">
        <f t="shared" si="3"/>
        <v>http://vk.com/club27863223</v>
      </c>
      <c r="Q355">
        <v>134698</v>
      </c>
      <c r="R355" t="s">
        <v>124</v>
      </c>
      <c r="S355" t="s">
        <v>125</v>
      </c>
      <c r="T355" t="s">
        <v>828</v>
      </c>
      <c r="U355" t="s">
        <v>829</v>
      </c>
      <c r="W355">
        <v>0</v>
      </c>
      <c r="X355">
        <v>0</v>
      </c>
      <c r="AM355" t="s">
        <v>129</v>
      </c>
      <c r="AN355" t="s">
        <v>130</v>
      </c>
      <c r="AO355" t="s">
        <v>40</v>
      </c>
      <c r="AP355" t="s">
        <v>41</v>
      </c>
      <c r="AZ355" t="s">
        <v>51</v>
      </c>
      <c r="BA355" t="s">
        <v>52</v>
      </c>
    </row>
    <row r="356" spans="1:54" x14ac:dyDescent="0.2">
      <c r="A356" t="s">
        <v>1237</v>
      </c>
      <c r="B356" t="s">
        <v>1640</v>
      </c>
      <c r="C356" t="s">
        <v>1631</v>
      </c>
      <c r="D356" t="s">
        <v>215</v>
      </c>
      <c r="E356" t="s">
        <v>1639</v>
      </c>
      <c r="F356" t="s">
        <v>118</v>
      </c>
      <c r="G356" t="str">
        <f>HYPERLINK("https://vk.com/wall-27863223_292439?reply=292467")</f>
        <v>https://vk.com/wall-27863223_292439?reply=292467</v>
      </c>
      <c r="H356" t="s">
        <v>119</v>
      </c>
      <c r="I356" t="s">
        <v>827</v>
      </c>
      <c r="J356" t="str">
        <f>HYPERLINK("http://vk.com/id586256633")</f>
        <v>http://vk.com/id586256633</v>
      </c>
      <c r="K356">
        <v>44</v>
      </c>
      <c r="L356" t="s">
        <v>121</v>
      </c>
      <c r="N356" t="s">
        <v>122</v>
      </c>
      <c r="O356" t="s">
        <v>175</v>
      </c>
      <c r="P356" t="str">
        <f t="shared" si="3"/>
        <v>http://vk.com/club27863223</v>
      </c>
      <c r="Q356">
        <v>134698</v>
      </c>
      <c r="R356" t="s">
        <v>124</v>
      </c>
      <c r="S356" t="s">
        <v>125</v>
      </c>
      <c r="T356" t="s">
        <v>828</v>
      </c>
      <c r="U356" t="s">
        <v>829</v>
      </c>
      <c r="W356">
        <v>0</v>
      </c>
      <c r="X356">
        <v>0</v>
      </c>
      <c r="AM356" t="s">
        <v>129</v>
      </c>
      <c r="AN356" t="s">
        <v>130</v>
      </c>
      <c r="AO356" t="s">
        <v>40</v>
      </c>
      <c r="AP356" t="s">
        <v>41</v>
      </c>
      <c r="AZ356" t="s">
        <v>51</v>
      </c>
      <c r="BA356" t="s">
        <v>52</v>
      </c>
    </row>
    <row r="357" spans="1:54" x14ac:dyDescent="0.2">
      <c r="A357" t="s">
        <v>1237</v>
      </c>
      <c r="B357" t="s">
        <v>1641</v>
      </c>
      <c r="C357" t="s">
        <v>1642</v>
      </c>
      <c r="D357" t="s">
        <v>1643</v>
      </c>
      <c r="E357" t="s">
        <v>1644</v>
      </c>
      <c r="F357" t="s">
        <v>180</v>
      </c>
      <c r="G357" t="str">
        <f>HYPERLINK("https://market.yandex.ru/product/386961169/reviews?id=135432607")</f>
        <v>https://market.yandex.ru/product/386961169/reviews?id=135432607</v>
      </c>
      <c r="H357" t="s">
        <v>119</v>
      </c>
      <c r="I357" t="s">
        <v>1645</v>
      </c>
      <c r="J357" t="str">
        <f>HYPERLINK("https://market.yandex.ru/user/td06a4znwfp8yca592adc93wqm/reviews")</f>
        <v>https://market.yandex.ru/user/td06a4znwfp8yca592adc93wqm/reviews</v>
      </c>
      <c r="N357" t="s">
        <v>611</v>
      </c>
      <c r="O357" t="s">
        <v>1643</v>
      </c>
      <c r="P357" t="str">
        <f>HYPERLINK("https://market.yandex.ru/product/386961169")</f>
        <v>https://market.yandex.ru/product/386961169</v>
      </c>
      <c r="R357" t="s">
        <v>184</v>
      </c>
      <c r="S357" t="s">
        <v>125</v>
      </c>
      <c r="T357" t="s">
        <v>169</v>
      </c>
      <c r="U357" t="s">
        <v>169</v>
      </c>
      <c r="W357">
        <v>0</v>
      </c>
      <c r="X357">
        <v>0</v>
      </c>
      <c r="AH357">
        <v>5</v>
      </c>
      <c r="AM357" t="s">
        <v>129</v>
      </c>
      <c r="AN357" t="s">
        <v>130</v>
      </c>
      <c r="AP357" t="s">
        <v>41</v>
      </c>
      <c r="AT357" t="s">
        <v>45</v>
      </c>
      <c r="AZ357" t="s">
        <v>51</v>
      </c>
      <c r="BA357" t="s">
        <v>52</v>
      </c>
    </row>
    <row r="358" spans="1:54" x14ac:dyDescent="0.2">
      <c r="A358" t="s">
        <v>1237</v>
      </c>
      <c r="B358" t="s">
        <v>1646</v>
      </c>
      <c r="C358" t="s">
        <v>1647</v>
      </c>
      <c r="D358" t="s">
        <v>1648</v>
      </c>
      <c r="E358" t="s">
        <v>1649</v>
      </c>
      <c r="F358" t="s">
        <v>180</v>
      </c>
      <c r="G358" t="str">
        <f>HYPERLINK("https://www.wildberries.ru/catalog/26550113/detail.aspx?targetUrl=ES#Comments")</f>
        <v>https://www.wildberries.ru/catalog/26550113/detail.aspx?targetUrl=ES#Comments</v>
      </c>
      <c r="H358" t="s">
        <v>181</v>
      </c>
      <c r="I358" t="s">
        <v>1650</v>
      </c>
      <c r="J358" t="str">
        <f>HYPERLINK("https://www.wildberries.ru/profile/w7TDssOkw7PCu8KzwrDCscKzwrbCs8K2wrE=")</f>
        <v>https://www.wildberries.ru/profile/w7TDssOkw7PCu8KzwrDCscKzwrbCs8K2wrE=</v>
      </c>
      <c r="L358" t="s">
        <v>151</v>
      </c>
      <c r="N358" t="s">
        <v>534</v>
      </c>
      <c r="O358" t="s">
        <v>1648</v>
      </c>
      <c r="P358" t="str">
        <f>HYPERLINK("https://www.wildberries.ru/catalog/19471768/detail.aspx")</f>
        <v>https://www.wildberries.ru/catalog/19471768/detail.aspx</v>
      </c>
      <c r="R358" t="s">
        <v>184</v>
      </c>
      <c r="S358" t="s">
        <v>125</v>
      </c>
      <c r="W358">
        <v>0</v>
      </c>
      <c r="X358">
        <v>0</v>
      </c>
      <c r="AH358">
        <v>5</v>
      </c>
      <c r="AM358" t="s">
        <v>129</v>
      </c>
      <c r="AN358" t="s">
        <v>130</v>
      </c>
      <c r="AP358" t="s">
        <v>41</v>
      </c>
      <c r="AT358" t="s">
        <v>45</v>
      </c>
      <c r="AZ358" t="s">
        <v>51</v>
      </c>
      <c r="BA358" t="s">
        <v>52</v>
      </c>
    </row>
    <row r="359" spans="1:54" x14ac:dyDescent="0.2">
      <c r="A359" t="s">
        <v>1237</v>
      </c>
      <c r="B359" t="s">
        <v>1651</v>
      </c>
      <c r="C359" t="s">
        <v>1652</v>
      </c>
      <c r="D359" t="s">
        <v>1186</v>
      </c>
      <c r="E359" t="s">
        <v>1653</v>
      </c>
      <c r="F359" t="s">
        <v>180</v>
      </c>
      <c r="G359" t="str">
        <f>HYPERLINK("https://4pda.to/forum/index.php?showtopic=916407&amp;st=3100#entry108290602")</f>
        <v>https://4pda.to/forum/index.php?showtopic=916407&amp;st=3100#entry108290602</v>
      </c>
      <c r="H359" t="s">
        <v>119</v>
      </c>
      <c r="I359" t="s">
        <v>1654</v>
      </c>
      <c r="J359" t="str">
        <f>HYPERLINK("https://4pda.to/forum/index.php?showuser=5465828")</f>
        <v>https://4pda.to/forum/index.php?showuser=5465828</v>
      </c>
      <c r="N359" t="s">
        <v>293</v>
      </c>
      <c r="O359" t="s">
        <v>1189</v>
      </c>
      <c r="P359" t="str">
        <f>HYPERLINK("https://4pda.to/forum/index.php?showforum=319")</f>
        <v>https://4pda.to/forum/index.php?showforum=319</v>
      </c>
      <c r="R359" t="s">
        <v>295</v>
      </c>
      <c r="S359" t="s">
        <v>125</v>
      </c>
      <c r="AM359" t="s">
        <v>129</v>
      </c>
      <c r="AN359" t="s">
        <v>130</v>
      </c>
      <c r="AP359" t="s">
        <v>41</v>
      </c>
      <c r="AT359" t="s">
        <v>45</v>
      </c>
      <c r="AZ359" t="s">
        <v>51</v>
      </c>
      <c r="BB359" t="s">
        <v>53</v>
      </c>
    </row>
    <row r="360" spans="1:54" x14ac:dyDescent="0.2">
      <c r="A360" t="s">
        <v>1237</v>
      </c>
      <c r="B360" t="s">
        <v>1655</v>
      </c>
      <c r="C360" t="s">
        <v>1656</v>
      </c>
      <c r="D360" t="s">
        <v>215</v>
      </c>
      <c r="E360" t="s">
        <v>1609</v>
      </c>
      <c r="F360" t="s">
        <v>118</v>
      </c>
      <c r="G360" t="str">
        <f>HYPERLINK("https://vk.com/wall-27863223_292439?reply=292466")</f>
        <v>https://vk.com/wall-27863223_292439?reply=292466</v>
      </c>
      <c r="H360" t="s">
        <v>119</v>
      </c>
      <c r="I360" t="s">
        <v>363</v>
      </c>
      <c r="J360" t="str">
        <f>HYPERLINK("http://vk.com/id28210709")</f>
        <v>http://vk.com/id28210709</v>
      </c>
      <c r="K360">
        <v>249</v>
      </c>
      <c r="L360" t="s">
        <v>121</v>
      </c>
      <c r="M360">
        <v>32</v>
      </c>
      <c r="N360" t="s">
        <v>122</v>
      </c>
      <c r="O360" t="s">
        <v>175</v>
      </c>
      <c r="P360" t="str">
        <f>HYPERLINK("http://vk.com/club27863223")</f>
        <v>http://vk.com/club27863223</v>
      </c>
      <c r="Q360">
        <v>134698</v>
      </c>
      <c r="R360" t="s">
        <v>124</v>
      </c>
      <c r="S360" t="s">
        <v>125</v>
      </c>
      <c r="T360" t="s">
        <v>364</v>
      </c>
      <c r="U360" t="s">
        <v>365</v>
      </c>
      <c r="W360">
        <v>0</v>
      </c>
      <c r="X360">
        <v>0</v>
      </c>
      <c r="AM360" t="s">
        <v>129</v>
      </c>
      <c r="AN360" t="s">
        <v>130</v>
      </c>
      <c r="AO360" t="s">
        <v>40</v>
      </c>
      <c r="AP360" t="s">
        <v>41</v>
      </c>
      <c r="AZ360" t="s">
        <v>51</v>
      </c>
      <c r="BA360" t="s">
        <v>52</v>
      </c>
    </row>
    <row r="361" spans="1:54" x14ac:dyDescent="0.2">
      <c r="A361" t="s">
        <v>1237</v>
      </c>
      <c r="B361" t="s">
        <v>1657</v>
      </c>
      <c r="C361" t="s">
        <v>1656</v>
      </c>
      <c r="D361" t="s">
        <v>215</v>
      </c>
      <c r="E361" t="s">
        <v>1658</v>
      </c>
      <c r="F361" t="s">
        <v>118</v>
      </c>
      <c r="G361" t="str">
        <f>HYPERLINK("https://vk.com/wall-27863223_292439?reply=292465")</f>
        <v>https://vk.com/wall-27863223_292439?reply=292465</v>
      </c>
      <c r="H361" t="s">
        <v>119</v>
      </c>
      <c r="I361" t="s">
        <v>646</v>
      </c>
      <c r="J361" t="str">
        <f>HYPERLINK("http://vk.com/id613018508")</f>
        <v>http://vk.com/id613018508</v>
      </c>
      <c r="K361">
        <v>66</v>
      </c>
      <c r="L361" t="s">
        <v>151</v>
      </c>
      <c r="M361">
        <v>33</v>
      </c>
      <c r="N361" t="s">
        <v>122</v>
      </c>
      <c r="O361" t="s">
        <v>175</v>
      </c>
      <c r="P361" t="str">
        <f>HYPERLINK("http://vk.com/club27863223")</f>
        <v>http://vk.com/club27863223</v>
      </c>
      <c r="Q361">
        <v>134698</v>
      </c>
      <c r="R361" t="s">
        <v>124</v>
      </c>
      <c r="S361" t="s">
        <v>125</v>
      </c>
      <c r="T361" t="s">
        <v>169</v>
      </c>
      <c r="U361" t="s">
        <v>169</v>
      </c>
      <c r="W361">
        <v>0</v>
      </c>
      <c r="X361">
        <v>0</v>
      </c>
      <c r="AM361" t="s">
        <v>129</v>
      </c>
      <c r="AN361" t="s">
        <v>130</v>
      </c>
      <c r="AO361" t="s">
        <v>40</v>
      </c>
      <c r="AP361" t="s">
        <v>41</v>
      </c>
      <c r="AZ361" t="s">
        <v>51</v>
      </c>
      <c r="BA361" t="s">
        <v>52</v>
      </c>
    </row>
    <row r="362" spans="1:54" x14ac:dyDescent="0.2">
      <c r="A362" t="s">
        <v>1237</v>
      </c>
      <c r="B362" t="s">
        <v>1659</v>
      </c>
      <c r="C362" t="s">
        <v>1656</v>
      </c>
      <c r="D362" t="s">
        <v>1660</v>
      </c>
      <c r="E362" t="s">
        <v>1661</v>
      </c>
      <c r="F362" t="s">
        <v>118</v>
      </c>
      <c r="G362" t="str">
        <f>HYPERLINK("https://vk.com/topic-14098618_30777922?post=2007")</f>
        <v>https://vk.com/topic-14098618_30777922?post=2007</v>
      </c>
      <c r="H362" t="s">
        <v>119</v>
      </c>
      <c r="I362" t="s">
        <v>1662</v>
      </c>
      <c r="J362" t="str">
        <f>HYPERLINK("http://vk.com/id161022925")</f>
        <v>http://vk.com/id161022925</v>
      </c>
      <c r="K362">
        <v>336</v>
      </c>
      <c r="L362" t="s">
        <v>121</v>
      </c>
      <c r="M362">
        <v>44</v>
      </c>
      <c r="N362" t="s">
        <v>122</v>
      </c>
      <c r="O362" t="s">
        <v>1663</v>
      </c>
      <c r="P362" t="str">
        <f>HYPERLINK("http://vk.com/club14098618")</f>
        <v>http://vk.com/club14098618</v>
      </c>
      <c r="Q362">
        <v>4681</v>
      </c>
      <c r="R362" t="s">
        <v>124</v>
      </c>
      <c r="S362" t="s">
        <v>125</v>
      </c>
      <c r="T362" t="s">
        <v>1275</v>
      </c>
      <c r="U362" t="s">
        <v>1664</v>
      </c>
      <c r="AM362" t="s">
        <v>129</v>
      </c>
      <c r="AN362" t="s">
        <v>130</v>
      </c>
      <c r="AP362" t="s">
        <v>41</v>
      </c>
      <c r="AU362" t="s">
        <v>46</v>
      </c>
      <c r="AW362" t="s">
        <v>48</v>
      </c>
      <c r="AZ362" t="s">
        <v>51</v>
      </c>
      <c r="BA362" t="s">
        <v>52</v>
      </c>
    </row>
    <row r="363" spans="1:54" x14ac:dyDescent="0.2">
      <c r="A363" t="s">
        <v>1237</v>
      </c>
      <c r="B363" t="s">
        <v>1665</v>
      </c>
      <c r="C363" t="s">
        <v>1656</v>
      </c>
      <c r="D363" t="s">
        <v>215</v>
      </c>
      <c r="E363" t="s">
        <v>1658</v>
      </c>
      <c r="F363" t="s">
        <v>118</v>
      </c>
      <c r="G363" t="str">
        <f>HYPERLINK("https://vk.com/wall-27863223_292439?reply=292464")</f>
        <v>https://vk.com/wall-27863223_292439?reply=292464</v>
      </c>
      <c r="H363" t="s">
        <v>119</v>
      </c>
      <c r="I363" t="s">
        <v>195</v>
      </c>
      <c r="J363" t="str">
        <f>HYPERLINK("http://vk.com/id596609295")</f>
        <v>http://vk.com/id596609295</v>
      </c>
      <c r="K363">
        <v>39</v>
      </c>
      <c r="L363" t="s">
        <v>151</v>
      </c>
      <c r="M363">
        <v>60</v>
      </c>
      <c r="N363" t="s">
        <v>122</v>
      </c>
      <c r="O363" t="s">
        <v>175</v>
      </c>
      <c r="P363" t="str">
        <f t="shared" ref="P363:P374" si="4">HYPERLINK("http://vk.com/club27863223")</f>
        <v>http://vk.com/club27863223</v>
      </c>
      <c r="Q363">
        <v>134698</v>
      </c>
      <c r="R363" t="s">
        <v>124</v>
      </c>
      <c r="S363" t="s">
        <v>125</v>
      </c>
      <c r="T363" t="s">
        <v>189</v>
      </c>
      <c r="U363" t="s">
        <v>190</v>
      </c>
      <c r="W363">
        <v>0</v>
      </c>
      <c r="X363">
        <v>0</v>
      </c>
      <c r="AM363" t="s">
        <v>129</v>
      </c>
      <c r="AN363" t="s">
        <v>130</v>
      </c>
      <c r="AO363" t="s">
        <v>40</v>
      </c>
      <c r="AP363" t="s">
        <v>41</v>
      </c>
      <c r="AZ363" t="s">
        <v>51</v>
      </c>
      <c r="BA363" t="s">
        <v>52</v>
      </c>
    </row>
    <row r="364" spans="1:54" x14ac:dyDescent="0.2">
      <c r="A364" t="s">
        <v>1237</v>
      </c>
      <c r="B364" t="s">
        <v>1666</v>
      </c>
      <c r="C364" t="s">
        <v>1656</v>
      </c>
      <c r="D364" t="s">
        <v>215</v>
      </c>
      <c r="E364" t="s">
        <v>1658</v>
      </c>
      <c r="F364" t="s">
        <v>118</v>
      </c>
      <c r="G364" t="str">
        <f>HYPERLINK("https://vk.com/wall-27863223_292439?reply=292463")</f>
        <v>https://vk.com/wall-27863223_292439?reply=292463</v>
      </c>
      <c r="H364" t="s">
        <v>119</v>
      </c>
      <c r="I364" t="s">
        <v>197</v>
      </c>
      <c r="J364" t="str">
        <f>HYPERLINK("http://vk.com/id552337659")</f>
        <v>http://vk.com/id552337659</v>
      </c>
      <c r="K364">
        <v>73</v>
      </c>
      <c r="L364" t="s">
        <v>121</v>
      </c>
      <c r="M364">
        <v>26</v>
      </c>
      <c r="N364" t="s">
        <v>122</v>
      </c>
      <c r="O364" t="s">
        <v>175</v>
      </c>
      <c r="P364" t="str">
        <f t="shared" si="4"/>
        <v>http://vk.com/club27863223</v>
      </c>
      <c r="Q364">
        <v>134698</v>
      </c>
      <c r="R364" t="s">
        <v>124</v>
      </c>
      <c r="S364" t="s">
        <v>125</v>
      </c>
      <c r="W364">
        <v>0</v>
      </c>
      <c r="X364">
        <v>0</v>
      </c>
      <c r="AM364" t="s">
        <v>129</v>
      </c>
      <c r="AN364" t="s">
        <v>130</v>
      </c>
      <c r="AO364" t="s">
        <v>40</v>
      </c>
      <c r="AP364" t="s">
        <v>41</v>
      </c>
      <c r="AZ364" t="s">
        <v>51</v>
      </c>
      <c r="BA364" t="s">
        <v>52</v>
      </c>
    </row>
    <row r="365" spans="1:54" x14ac:dyDescent="0.2">
      <c r="A365" t="s">
        <v>1237</v>
      </c>
      <c r="B365" t="s">
        <v>1667</v>
      </c>
      <c r="C365" t="s">
        <v>1656</v>
      </c>
      <c r="D365" t="s">
        <v>215</v>
      </c>
      <c r="E365" t="s">
        <v>1658</v>
      </c>
      <c r="F365" t="s">
        <v>118</v>
      </c>
      <c r="G365" t="str">
        <f>HYPERLINK("https://vk.com/wall-27863223_292439?reply=292462")</f>
        <v>https://vk.com/wall-27863223_292439?reply=292462</v>
      </c>
      <c r="H365" t="s">
        <v>119</v>
      </c>
      <c r="I365" t="s">
        <v>192</v>
      </c>
      <c r="J365" t="str">
        <f>HYPERLINK("http://vk.com/id620720545")</f>
        <v>http://vk.com/id620720545</v>
      </c>
      <c r="K365">
        <v>62</v>
      </c>
      <c r="L365" t="s">
        <v>151</v>
      </c>
      <c r="M365">
        <v>33</v>
      </c>
      <c r="N365" t="s">
        <v>122</v>
      </c>
      <c r="O365" t="s">
        <v>175</v>
      </c>
      <c r="P365" t="str">
        <f t="shared" si="4"/>
        <v>http://vk.com/club27863223</v>
      </c>
      <c r="Q365">
        <v>134698</v>
      </c>
      <c r="R365" t="s">
        <v>124</v>
      </c>
      <c r="S365" t="s">
        <v>125</v>
      </c>
      <c r="T365" t="s">
        <v>189</v>
      </c>
      <c r="U365" t="s">
        <v>190</v>
      </c>
      <c r="W365">
        <v>0</v>
      </c>
      <c r="X365">
        <v>0</v>
      </c>
      <c r="AM365" t="s">
        <v>129</v>
      </c>
      <c r="AN365" t="s">
        <v>130</v>
      </c>
      <c r="AO365" t="s">
        <v>40</v>
      </c>
      <c r="AP365" t="s">
        <v>41</v>
      </c>
      <c r="AZ365" t="s">
        <v>51</v>
      </c>
      <c r="BA365" t="s">
        <v>52</v>
      </c>
    </row>
    <row r="366" spans="1:54" x14ac:dyDescent="0.2">
      <c r="A366" t="s">
        <v>1237</v>
      </c>
      <c r="B366" t="s">
        <v>1668</v>
      </c>
      <c r="C366" t="s">
        <v>1656</v>
      </c>
      <c r="D366" t="s">
        <v>215</v>
      </c>
      <c r="E366" t="s">
        <v>1658</v>
      </c>
      <c r="F366" t="s">
        <v>118</v>
      </c>
      <c r="G366" t="str">
        <f>HYPERLINK("https://vk.com/wall-27863223_292439?reply=292461")</f>
        <v>https://vk.com/wall-27863223_292439?reply=292461</v>
      </c>
      <c r="H366" t="s">
        <v>119</v>
      </c>
      <c r="I366" t="s">
        <v>199</v>
      </c>
      <c r="J366" t="str">
        <f>HYPERLINK("http://vk.com/id541540544")</f>
        <v>http://vk.com/id541540544</v>
      </c>
      <c r="K366">
        <v>114</v>
      </c>
      <c r="L366" t="s">
        <v>121</v>
      </c>
      <c r="M366">
        <v>43</v>
      </c>
      <c r="N366" t="s">
        <v>122</v>
      </c>
      <c r="O366" t="s">
        <v>175</v>
      </c>
      <c r="P366" t="str">
        <f t="shared" si="4"/>
        <v>http://vk.com/club27863223</v>
      </c>
      <c r="Q366">
        <v>134698</v>
      </c>
      <c r="R366" t="s">
        <v>124</v>
      </c>
      <c r="S366" t="s">
        <v>125</v>
      </c>
      <c r="T366" t="s">
        <v>189</v>
      </c>
      <c r="U366" t="s">
        <v>190</v>
      </c>
      <c r="W366">
        <v>0</v>
      </c>
      <c r="X366">
        <v>0</v>
      </c>
      <c r="AM366" t="s">
        <v>129</v>
      </c>
      <c r="AN366" t="s">
        <v>130</v>
      </c>
      <c r="AO366" t="s">
        <v>40</v>
      </c>
      <c r="AP366" t="s">
        <v>41</v>
      </c>
      <c r="AZ366" t="s">
        <v>51</v>
      </c>
      <c r="BA366" t="s">
        <v>52</v>
      </c>
    </row>
    <row r="367" spans="1:54" x14ac:dyDescent="0.2">
      <c r="A367" t="s">
        <v>1237</v>
      </c>
      <c r="B367" t="s">
        <v>541</v>
      </c>
      <c r="C367" t="s">
        <v>1669</v>
      </c>
      <c r="D367" t="s">
        <v>215</v>
      </c>
      <c r="E367" t="s">
        <v>1658</v>
      </c>
      <c r="F367" t="s">
        <v>118</v>
      </c>
      <c r="G367" t="str">
        <f>HYPERLINK("https://vk.com/wall-27863223_292439?reply=292460")</f>
        <v>https://vk.com/wall-27863223_292439?reply=292460</v>
      </c>
      <c r="H367" t="s">
        <v>119</v>
      </c>
      <c r="I367" t="s">
        <v>201</v>
      </c>
      <c r="J367" t="str">
        <f>HYPERLINK("http://vk.com/id438282281")</f>
        <v>http://vk.com/id438282281</v>
      </c>
      <c r="K367">
        <v>208</v>
      </c>
      <c r="L367" t="s">
        <v>151</v>
      </c>
      <c r="M367">
        <v>33</v>
      </c>
      <c r="N367" t="s">
        <v>122</v>
      </c>
      <c r="O367" t="s">
        <v>175</v>
      </c>
      <c r="P367" t="str">
        <f t="shared" si="4"/>
        <v>http://vk.com/club27863223</v>
      </c>
      <c r="Q367">
        <v>134698</v>
      </c>
      <c r="R367" t="s">
        <v>124</v>
      </c>
      <c r="S367" t="s">
        <v>125</v>
      </c>
      <c r="T367" t="s">
        <v>189</v>
      </c>
      <c r="U367" t="s">
        <v>190</v>
      </c>
      <c r="W367">
        <v>0</v>
      </c>
      <c r="X367">
        <v>0</v>
      </c>
      <c r="AM367" t="s">
        <v>129</v>
      </c>
      <c r="AN367" t="s">
        <v>130</v>
      </c>
      <c r="AO367" t="s">
        <v>40</v>
      </c>
      <c r="AP367" t="s">
        <v>41</v>
      </c>
      <c r="AZ367" t="s">
        <v>51</v>
      </c>
      <c r="BA367" t="s">
        <v>52</v>
      </c>
    </row>
    <row r="368" spans="1:54" x14ac:dyDescent="0.2">
      <c r="A368" t="s">
        <v>1237</v>
      </c>
      <c r="B368" t="s">
        <v>550</v>
      </c>
      <c r="C368" t="s">
        <v>1669</v>
      </c>
      <c r="D368" t="s">
        <v>215</v>
      </c>
      <c r="E368" t="s">
        <v>1658</v>
      </c>
      <c r="F368" t="s">
        <v>118</v>
      </c>
      <c r="G368" t="str">
        <f>HYPERLINK("https://vk.com/wall-27863223_292439?reply=292459")</f>
        <v>https://vk.com/wall-27863223_292439?reply=292459</v>
      </c>
      <c r="H368" t="s">
        <v>119</v>
      </c>
      <c r="I368" t="s">
        <v>188</v>
      </c>
      <c r="J368" t="str">
        <f>HYPERLINK("http://vk.com/id405850912")</f>
        <v>http://vk.com/id405850912</v>
      </c>
      <c r="K368">
        <v>189</v>
      </c>
      <c r="L368" t="s">
        <v>121</v>
      </c>
      <c r="M368">
        <v>42</v>
      </c>
      <c r="N368" t="s">
        <v>122</v>
      </c>
      <c r="O368" t="s">
        <v>175</v>
      </c>
      <c r="P368" t="str">
        <f t="shared" si="4"/>
        <v>http://vk.com/club27863223</v>
      </c>
      <c r="Q368">
        <v>134698</v>
      </c>
      <c r="R368" t="s">
        <v>124</v>
      </c>
      <c r="S368" t="s">
        <v>125</v>
      </c>
      <c r="T368" t="s">
        <v>189</v>
      </c>
      <c r="U368" t="s">
        <v>190</v>
      </c>
      <c r="W368">
        <v>0</v>
      </c>
      <c r="X368">
        <v>0</v>
      </c>
      <c r="AM368" t="s">
        <v>129</v>
      </c>
      <c r="AN368" t="s">
        <v>130</v>
      </c>
      <c r="AO368" t="s">
        <v>40</v>
      </c>
      <c r="AP368" t="s">
        <v>41</v>
      </c>
      <c r="AZ368" t="s">
        <v>51</v>
      </c>
      <c r="BA368" t="s">
        <v>52</v>
      </c>
    </row>
    <row r="369" spans="1:69" x14ac:dyDescent="0.2">
      <c r="A369" t="s">
        <v>1237</v>
      </c>
      <c r="B369" t="s">
        <v>1094</v>
      </c>
      <c r="C369" t="s">
        <v>1669</v>
      </c>
      <c r="D369" t="s">
        <v>215</v>
      </c>
      <c r="E369" t="s">
        <v>1670</v>
      </c>
      <c r="F369" t="s">
        <v>118</v>
      </c>
      <c r="G369" t="str">
        <f>HYPERLINK("https://vk.com/wall-27863223_292439?reply=292458")</f>
        <v>https://vk.com/wall-27863223_292439?reply=292458</v>
      </c>
      <c r="H369" t="s">
        <v>119</v>
      </c>
      <c r="I369" t="s">
        <v>481</v>
      </c>
      <c r="J369" t="str">
        <f>HYPERLINK("http://vk.com/id87292937")</f>
        <v>http://vk.com/id87292937</v>
      </c>
      <c r="K369">
        <v>379</v>
      </c>
      <c r="L369" t="s">
        <v>121</v>
      </c>
      <c r="N369" t="s">
        <v>122</v>
      </c>
      <c r="O369" t="s">
        <v>175</v>
      </c>
      <c r="P369" t="str">
        <f t="shared" si="4"/>
        <v>http://vk.com/club27863223</v>
      </c>
      <c r="Q369">
        <v>134698</v>
      </c>
      <c r="R369" t="s">
        <v>124</v>
      </c>
      <c r="S369" t="s">
        <v>125</v>
      </c>
      <c r="T369" t="s">
        <v>264</v>
      </c>
      <c r="U369" t="s">
        <v>265</v>
      </c>
      <c r="W369">
        <v>0</v>
      </c>
      <c r="X369">
        <v>0</v>
      </c>
      <c r="AM369" t="s">
        <v>129</v>
      </c>
      <c r="AN369" t="s">
        <v>130</v>
      </c>
      <c r="AO369" t="s">
        <v>40</v>
      </c>
      <c r="AP369" t="s">
        <v>41</v>
      </c>
      <c r="AZ369" t="s">
        <v>51</v>
      </c>
      <c r="BA369" t="s">
        <v>52</v>
      </c>
    </row>
    <row r="370" spans="1:69" x14ac:dyDescent="0.2">
      <c r="A370" t="s">
        <v>1237</v>
      </c>
      <c r="B370" t="s">
        <v>1671</v>
      </c>
      <c r="C370" t="s">
        <v>1669</v>
      </c>
      <c r="D370" t="s">
        <v>215</v>
      </c>
      <c r="E370" t="s">
        <v>1084</v>
      </c>
      <c r="F370" t="s">
        <v>118</v>
      </c>
      <c r="G370" t="str">
        <f>HYPERLINK("https://vk.com/wall-27863223_292439?reply=292457")</f>
        <v>https://vk.com/wall-27863223_292439?reply=292457</v>
      </c>
      <c r="H370" t="s">
        <v>119</v>
      </c>
      <c r="I370" t="s">
        <v>1672</v>
      </c>
      <c r="J370" t="str">
        <f>HYPERLINK("http://vk.com/id72714965")</f>
        <v>http://vk.com/id72714965</v>
      </c>
      <c r="K370">
        <v>586</v>
      </c>
      <c r="L370" t="s">
        <v>151</v>
      </c>
      <c r="N370" t="s">
        <v>122</v>
      </c>
      <c r="O370" t="s">
        <v>175</v>
      </c>
      <c r="P370" t="str">
        <f t="shared" si="4"/>
        <v>http://vk.com/club27863223</v>
      </c>
      <c r="Q370">
        <v>134698</v>
      </c>
      <c r="R370" t="s">
        <v>124</v>
      </c>
      <c r="S370" t="s">
        <v>125</v>
      </c>
      <c r="T370" t="s">
        <v>169</v>
      </c>
      <c r="U370" t="s">
        <v>169</v>
      </c>
      <c r="W370">
        <v>0</v>
      </c>
      <c r="X370">
        <v>0</v>
      </c>
      <c r="AM370" t="s">
        <v>129</v>
      </c>
      <c r="AN370" t="s">
        <v>130</v>
      </c>
      <c r="AO370" t="s">
        <v>40</v>
      </c>
      <c r="AP370" t="s">
        <v>41</v>
      </c>
      <c r="AZ370" t="s">
        <v>51</v>
      </c>
      <c r="BA370" t="s">
        <v>52</v>
      </c>
    </row>
    <row r="371" spans="1:69" x14ac:dyDescent="0.2">
      <c r="A371" t="s">
        <v>1237</v>
      </c>
      <c r="B371" t="s">
        <v>1673</v>
      </c>
      <c r="C371" t="s">
        <v>1669</v>
      </c>
      <c r="D371" t="s">
        <v>215</v>
      </c>
      <c r="E371" t="s">
        <v>1658</v>
      </c>
      <c r="F371" t="s">
        <v>118</v>
      </c>
      <c r="G371" t="str">
        <f>HYPERLINK("https://vk.com/wall-27863223_292439?reply=292456")</f>
        <v>https://vk.com/wall-27863223_292439?reply=292456</v>
      </c>
      <c r="H371" t="s">
        <v>119</v>
      </c>
      <c r="I371" t="s">
        <v>473</v>
      </c>
      <c r="J371" t="str">
        <f>HYPERLINK("http://vk.com/id180305621")</f>
        <v>http://vk.com/id180305621</v>
      </c>
      <c r="K371">
        <v>2224</v>
      </c>
      <c r="L371" t="s">
        <v>151</v>
      </c>
      <c r="M371">
        <v>33</v>
      </c>
      <c r="N371" t="s">
        <v>122</v>
      </c>
      <c r="O371" t="s">
        <v>175</v>
      </c>
      <c r="P371" t="str">
        <f t="shared" si="4"/>
        <v>http://vk.com/club27863223</v>
      </c>
      <c r="Q371">
        <v>134698</v>
      </c>
      <c r="R371" t="s">
        <v>124</v>
      </c>
      <c r="S371" t="s">
        <v>125</v>
      </c>
      <c r="T371" t="s">
        <v>189</v>
      </c>
      <c r="U371" t="s">
        <v>190</v>
      </c>
      <c r="W371">
        <v>0</v>
      </c>
      <c r="X371">
        <v>0</v>
      </c>
      <c r="AM371" t="s">
        <v>129</v>
      </c>
      <c r="AN371" t="s">
        <v>130</v>
      </c>
      <c r="AO371" t="s">
        <v>40</v>
      </c>
      <c r="AP371" t="s">
        <v>41</v>
      </c>
      <c r="AZ371" t="s">
        <v>51</v>
      </c>
      <c r="BA371" t="s">
        <v>52</v>
      </c>
    </row>
    <row r="372" spans="1:69" x14ac:dyDescent="0.2">
      <c r="A372" t="s">
        <v>1237</v>
      </c>
      <c r="B372" t="s">
        <v>1674</v>
      </c>
      <c r="C372" t="s">
        <v>1669</v>
      </c>
      <c r="D372" t="s">
        <v>215</v>
      </c>
      <c r="E372" t="s">
        <v>1084</v>
      </c>
      <c r="F372" t="s">
        <v>118</v>
      </c>
      <c r="G372" t="str">
        <f>HYPERLINK("https://vk.com/wall-27863223_292439?reply=292455")</f>
        <v>https://vk.com/wall-27863223_292439?reply=292455</v>
      </c>
      <c r="H372" t="s">
        <v>119</v>
      </c>
      <c r="I372" t="s">
        <v>284</v>
      </c>
      <c r="J372" t="str">
        <f>HYPERLINK("http://vk.com/id11221120")</f>
        <v>http://vk.com/id11221120</v>
      </c>
      <c r="K372">
        <v>511</v>
      </c>
      <c r="L372" t="s">
        <v>151</v>
      </c>
      <c r="N372" t="s">
        <v>122</v>
      </c>
      <c r="O372" t="s">
        <v>175</v>
      </c>
      <c r="P372" t="str">
        <f t="shared" si="4"/>
        <v>http://vk.com/club27863223</v>
      </c>
      <c r="Q372">
        <v>134698</v>
      </c>
      <c r="R372" t="s">
        <v>124</v>
      </c>
      <c r="S372" t="s">
        <v>125</v>
      </c>
      <c r="T372" t="s">
        <v>137</v>
      </c>
      <c r="U372" t="s">
        <v>137</v>
      </c>
      <c r="W372">
        <v>0</v>
      </c>
      <c r="X372">
        <v>0</v>
      </c>
      <c r="AM372" t="s">
        <v>129</v>
      </c>
      <c r="AN372" t="s">
        <v>130</v>
      </c>
      <c r="AO372" t="s">
        <v>40</v>
      </c>
      <c r="AP372" t="s">
        <v>41</v>
      </c>
      <c r="AZ372" t="s">
        <v>51</v>
      </c>
      <c r="BA372" t="s">
        <v>52</v>
      </c>
    </row>
    <row r="373" spans="1:69" x14ac:dyDescent="0.2">
      <c r="A373" t="s">
        <v>1237</v>
      </c>
      <c r="B373" t="s">
        <v>562</v>
      </c>
      <c r="C373" t="s">
        <v>1675</v>
      </c>
      <c r="D373" t="s">
        <v>215</v>
      </c>
      <c r="E373" t="s">
        <v>1676</v>
      </c>
      <c r="F373" t="s">
        <v>118</v>
      </c>
      <c r="G373" t="str">
        <f>HYPERLINK("https://vk.com/wall-27863223_292439?reply=292454")</f>
        <v>https://vk.com/wall-27863223_292439?reply=292454</v>
      </c>
      <c r="H373" t="s">
        <v>119</v>
      </c>
      <c r="I373" t="s">
        <v>1677</v>
      </c>
      <c r="J373" t="str">
        <f>HYPERLINK("http://vk.com/id50059590")</f>
        <v>http://vk.com/id50059590</v>
      </c>
      <c r="K373">
        <v>166</v>
      </c>
      <c r="L373" t="s">
        <v>151</v>
      </c>
      <c r="M373">
        <v>41</v>
      </c>
      <c r="N373" t="s">
        <v>122</v>
      </c>
      <c r="O373" t="s">
        <v>175</v>
      </c>
      <c r="P373" t="str">
        <f t="shared" si="4"/>
        <v>http://vk.com/club27863223</v>
      </c>
      <c r="Q373">
        <v>134698</v>
      </c>
      <c r="R373" t="s">
        <v>124</v>
      </c>
      <c r="S373" t="s">
        <v>125</v>
      </c>
      <c r="T373" t="s">
        <v>169</v>
      </c>
      <c r="U373" t="s">
        <v>169</v>
      </c>
      <c r="W373">
        <v>0</v>
      </c>
      <c r="X373">
        <v>0</v>
      </c>
      <c r="AM373" t="s">
        <v>129</v>
      </c>
      <c r="AN373" t="s">
        <v>130</v>
      </c>
      <c r="AO373" t="s">
        <v>40</v>
      </c>
      <c r="AP373" t="s">
        <v>41</v>
      </c>
      <c r="AZ373" t="s">
        <v>51</v>
      </c>
      <c r="BA373" t="s">
        <v>52</v>
      </c>
    </row>
    <row r="374" spans="1:69" x14ac:dyDescent="0.2">
      <c r="A374" t="s">
        <v>1237</v>
      </c>
      <c r="B374" t="s">
        <v>1678</v>
      </c>
      <c r="C374" t="s">
        <v>1675</v>
      </c>
      <c r="D374" t="s">
        <v>215</v>
      </c>
      <c r="E374" t="s">
        <v>1084</v>
      </c>
      <c r="F374" t="s">
        <v>118</v>
      </c>
      <c r="G374" t="str">
        <f>HYPERLINK("https://vk.com/wall-27863223_292439?reply=292453")</f>
        <v>https://vk.com/wall-27863223_292439?reply=292453</v>
      </c>
      <c r="H374" t="s">
        <v>119</v>
      </c>
      <c r="I374" t="s">
        <v>1679</v>
      </c>
      <c r="J374" t="str">
        <f>HYPERLINK("http://vk.com/id4014917")</f>
        <v>http://vk.com/id4014917</v>
      </c>
      <c r="K374">
        <v>238</v>
      </c>
      <c r="L374" t="s">
        <v>151</v>
      </c>
      <c r="M374">
        <v>30</v>
      </c>
      <c r="N374" t="s">
        <v>122</v>
      </c>
      <c r="O374" t="s">
        <v>175</v>
      </c>
      <c r="P374" t="str">
        <f t="shared" si="4"/>
        <v>http://vk.com/club27863223</v>
      </c>
      <c r="Q374">
        <v>134698</v>
      </c>
      <c r="R374" t="s">
        <v>124</v>
      </c>
      <c r="S374" t="s">
        <v>125</v>
      </c>
      <c r="T374" t="s">
        <v>169</v>
      </c>
      <c r="U374" t="s">
        <v>169</v>
      </c>
      <c r="W374">
        <v>0</v>
      </c>
      <c r="X374">
        <v>0</v>
      </c>
      <c r="AM374" t="s">
        <v>129</v>
      </c>
      <c r="AN374" t="s">
        <v>130</v>
      </c>
      <c r="AO374" t="s">
        <v>40</v>
      </c>
      <c r="AP374" t="s">
        <v>41</v>
      </c>
      <c r="AZ374" t="s">
        <v>51</v>
      </c>
      <c r="BA374" t="s">
        <v>52</v>
      </c>
    </row>
    <row r="375" spans="1:69" x14ac:dyDescent="0.2">
      <c r="A375" t="s">
        <v>1237</v>
      </c>
      <c r="B375" t="s">
        <v>1680</v>
      </c>
      <c r="C375" t="s">
        <v>1681</v>
      </c>
      <c r="D375" t="s">
        <v>175</v>
      </c>
      <c r="E375" t="s">
        <v>1682</v>
      </c>
      <c r="F375" t="s">
        <v>180</v>
      </c>
      <c r="G375" t="str">
        <f>HYPERLINK("https://yandex.ru/maps/org/92001759989#4GSVMUTmagDwtdt7o_7s6lBPVruk0t")</f>
        <v>https://yandex.ru/maps/org/92001759989#4GSVMUTmagDwtdt7o_7s6lBPVruk0t</v>
      </c>
      <c r="H375" t="s">
        <v>181</v>
      </c>
      <c r="I375" t="s">
        <v>1683</v>
      </c>
      <c r="J375" t="str">
        <f>HYPERLINK("https://yandex.ru/user/k55tkuur5wp27yjjhm8gqrur0w")</f>
        <v>https://yandex.ru/user/k55tkuur5wp27yjjhm8gqrur0w</v>
      </c>
      <c r="L375" t="s">
        <v>121</v>
      </c>
      <c r="N375" t="s">
        <v>236</v>
      </c>
      <c r="O375" t="s">
        <v>175</v>
      </c>
      <c r="P375" t="str">
        <f>HYPERLINK("https://yandex.ru/maps/org/92001759989")</f>
        <v>https://yandex.ru/maps/org/92001759989</v>
      </c>
      <c r="R375" t="s">
        <v>184</v>
      </c>
      <c r="S375" t="s">
        <v>125</v>
      </c>
      <c r="T375" t="s">
        <v>1684</v>
      </c>
      <c r="U375" t="s">
        <v>1685</v>
      </c>
      <c r="W375">
        <v>0</v>
      </c>
      <c r="X375">
        <v>0</v>
      </c>
      <c r="AH375">
        <v>5</v>
      </c>
      <c r="AM375" t="s">
        <v>129</v>
      </c>
      <c r="AN375" t="s">
        <v>130</v>
      </c>
      <c r="AP375" t="s">
        <v>41</v>
      </c>
      <c r="AX375" t="s">
        <v>49</v>
      </c>
      <c r="AZ375" t="s">
        <v>51</v>
      </c>
      <c r="BA375" t="s">
        <v>52</v>
      </c>
    </row>
    <row r="376" spans="1:69" x14ac:dyDescent="0.2">
      <c r="A376" t="s">
        <v>1237</v>
      </c>
      <c r="B376" t="s">
        <v>1686</v>
      </c>
      <c r="C376" t="s">
        <v>1675</v>
      </c>
      <c r="D376" t="s">
        <v>215</v>
      </c>
      <c r="E376" t="s">
        <v>1084</v>
      </c>
      <c r="F376" t="s">
        <v>118</v>
      </c>
      <c r="G376" t="str">
        <f>HYPERLINK("https://vk.com/wall-27863223_292439?reply=292452")</f>
        <v>https://vk.com/wall-27863223_292439?reply=292452</v>
      </c>
      <c r="H376" t="s">
        <v>119</v>
      </c>
      <c r="I376" t="s">
        <v>324</v>
      </c>
      <c r="J376" t="str">
        <f>HYPERLINK("http://vk.com/id23957717")</f>
        <v>http://vk.com/id23957717</v>
      </c>
      <c r="K376">
        <v>296</v>
      </c>
      <c r="L376" t="s">
        <v>121</v>
      </c>
      <c r="M376">
        <v>43</v>
      </c>
      <c r="N376" t="s">
        <v>122</v>
      </c>
      <c r="O376" t="s">
        <v>175</v>
      </c>
      <c r="P376" t="str">
        <f>HYPERLINK("http://vk.com/club27863223")</f>
        <v>http://vk.com/club27863223</v>
      </c>
      <c r="Q376">
        <v>134698</v>
      </c>
      <c r="R376" t="s">
        <v>124</v>
      </c>
      <c r="S376" t="s">
        <v>125</v>
      </c>
      <c r="T376" t="s">
        <v>325</v>
      </c>
      <c r="U376" t="s">
        <v>326</v>
      </c>
      <c r="W376">
        <v>0</v>
      </c>
      <c r="X376">
        <v>0</v>
      </c>
      <c r="AM376" t="s">
        <v>129</v>
      </c>
      <c r="AN376" t="s">
        <v>130</v>
      </c>
      <c r="AO376" t="s">
        <v>40</v>
      </c>
      <c r="AP376" t="s">
        <v>41</v>
      </c>
      <c r="AZ376" t="s">
        <v>51</v>
      </c>
      <c r="BA376" t="s">
        <v>52</v>
      </c>
    </row>
    <row r="377" spans="1:69" x14ac:dyDescent="0.2">
      <c r="A377" t="s">
        <v>1237</v>
      </c>
      <c r="B377" t="s">
        <v>577</v>
      </c>
      <c r="C377" t="s">
        <v>1687</v>
      </c>
      <c r="D377" t="s">
        <v>204</v>
      </c>
      <c r="E377" t="s">
        <v>1688</v>
      </c>
      <c r="F377" t="s">
        <v>180</v>
      </c>
      <c r="G377" t="str">
        <f>HYPERLINK("https://play.google.com/store/apps/details?id=ru.iflex.android.a3colortv&amp;reviewId=gp:AOqpTOH9nI09yNBWPcZZm2oZ_lC-g9iauBoe20RiXFrqBiEZEY_3bvehJPGxH57RKWPzB37XBxt473nV-4j8TA")</f>
        <v>https://play.google.com/store/apps/details?id=ru.iflex.android.a3colortv&amp;reviewId=gp:AOqpTOH9nI09yNBWPcZZm2oZ_lC-g9iauBoe20RiXFrqBiEZEY_3bvehJPGxH57RKWPzB37XBxt473nV-4j8TA</v>
      </c>
      <c r="H377" t="s">
        <v>228</v>
      </c>
      <c r="I377" t="s">
        <v>1689</v>
      </c>
      <c r="J377" t="str">
        <f>HYPERLINK("https://plus.google.com/110708709067016583352")</f>
        <v>https://plus.google.com/110708709067016583352</v>
      </c>
      <c r="N377" t="s">
        <v>207</v>
      </c>
      <c r="O377" t="s">
        <v>204</v>
      </c>
      <c r="P377" t="str">
        <f>HYPERLINK("https://play.google.com/store/apps/details?id=ru.iflex.android.a3colortv&amp;hl=ru")</f>
        <v>https://play.google.com/store/apps/details?id=ru.iflex.android.a3colortv&amp;hl=ru</v>
      </c>
      <c r="R377" t="s">
        <v>184</v>
      </c>
      <c r="S377" t="s">
        <v>125</v>
      </c>
      <c r="W377">
        <v>0</v>
      </c>
      <c r="X377">
        <v>0</v>
      </c>
      <c r="AH377">
        <v>1</v>
      </c>
      <c r="AM377" t="s">
        <v>129</v>
      </c>
      <c r="AN377" t="s">
        <v>130</v>
      </c>
      <c r="AP377" t="s">
        <v>41</v>
      </c>
      <c r="AT377" t="s">
        <v>45</v>
      </c>
      <c r="AU377" t="s">
        <v>46</v>
      </c>
      <c r="AW377" t="s">
        <v>48</v>
      </c>
      <c r="AX377" t="s">
        <v>49</v>
      </c>
      <c r="AY377" t="s">
        <v>50</v>
      </c>
      <c r="AZ377" t="s">
        <v>51</v>
      </c>
      <c r="BA377" t="s">
        <v>52</v>
      </c>
      <c r="BQ377" t="s">
        <v>68</v>
      </c>
    </row>
    <row r="378" spans="1:69" x14ac:dyDescent="0.2">
      <c r="A378" t="s">
        <v>1237</v>
      </c>
      <c r="B378" t="s">
        <v>1690</v>
      </c>
      <c r="C378" t="s">
        <v>1691</v>
      </c>
      <c r="D378" t="s">
        <v>1692</v>
      </c>
      <c r="E378" t="s">
        <v>1693</v>
      </c>
      <c r="F378" t="s">
        <v>180</v>
      </c>
      <c r="G378" t="str">
        <f>HYPERLINK("https://4pda.to/forum/index.php?showtopic=777248&amp;st=56080#entry108289360")</f>
        <v>https://4pda.to/forum/index.php?showtopic=777248&amp;st=56080#entry108289360</v>
      </c>
      <c r="H378" t="s">
        <v>119</v>
      </c>
      <c r="I378" t="s">
        <v>1694</v>
      </c>
      <c r="J378" t="str">
        <f>HYPERLINK("https://4pda.to/forum/index.php?showuser=1825625")</f>
        <v>https://4pda.to/forum/index.php?showuser=1825625</v>
      </c>
      <c r="N378" t="s">
        <v>293</v>
      </c>
      <c r="O378" t="s">
        <v>1695</v>
      </c>
      <c r="P378" t="str">
        <f>HYPERLINK("https://4pda.to/forum/index.php?showforum=640")</f>
        <v>https://4pda.to/forum/index.php?showforum=640</v>
      </c>
      <c r="R378" t="s">
        <v>295</v>
      </c>
      <c r="S378" t="s">
        <v>125</v>
      </c>
      <c r="AM378" t="s">
        <v>129</v>
      </c>
      <c r="AN378" t="s">
        <v>130</v>
      </c>
      <c r="AP378" t="s">
        <v>41</v>
      </c>
      <c r="AT378" t="s">
        <v>45</v>
      </c>
      <c r="AU378" t="s">
        <v>46</v>
      </c>
      <c r="AW378" t="s">
        <v>48</v>
      </c>
      <c r="AZ378" t="s">
        <v>51</v>
      </c>
      <c r="BA378" t="s">
        <v>52</v>
      </c>
      <c r="BM378" t="s">
        <v>64</v>
      </c>
    </row>
    <row r="379" spans="1:69" x14ac:dyDescent="0.2">
      <c r="A379" t="s">
        <v>1237</v>
      </c>
      <c r="B379" t="s">
        <v>1696</v>
      </c>
      <c r="C379" t="s">
        <v>1407</v>
      </c>
      <c r="D379" t="s">
        <v>1697</v>
      </c>
      <c r="E379" t="s">
        <v>1698</v>
      </c>
      <c r="F379" t="s">
        <v>180</v>
      </c>
      <c r="G379" t="str">
        <f>HYPERLINK("https://apps.apple.com/ru/app/мой-триколор/id1204321194#7630547622")</f>
        <v>https://apps.apple.com/ru/app/мой-триколор/id1204321194#7630547622</v>
      </c>
      <c r="H379" t="s">
        <v>181</v>
      </c>
      <c r="I379" t="s">
        <v>1699</v>
      </c>
      <c r="J379" t="str">
        <f>HYPERLINK("https://itunes.apple.com/reviews?userProfileId=586098222")</f>
        <v>https://itunes.apple.com/reviews?userProfileId=586098222</v>
      </c>
      <c r="N379" t="s">
        <v>1411</v>
      </c>
      <c r="O379" t="s">
        <v>1697</v>
      </c>
      <c r="P379" t="str">
        <f>HYPERLINK("https://apps.apple.com/ru/app/мой-триколор/id1204321194")</f>
        <v>https://apps.apple.com/ru/app/мой-триколор/id1204321194</v>
      </c>
      <c r="R379" t="s">
        <v>184</v>
      </c>
      <c r="S379" t="s">
        <v>125</v>
      </c>
      <c r="AH379">
        <v>5</v>
      </c>
      <c r="AM379" t="s">
        <v>129</v>
      </c>
      <c r="AN379" t="s">
        <v>130</v>
      </c>
      <c r="AP379" t="s">
        <v>41</v>
      </c>
      <c r="AZ379" t="s">
        <v>51</v>
      </c>
      <c r="BA379" t="s">
        <v>52</v>
      </c>
      <c r="BQ379" t="s">
        <v>68</v>
      </c>
    </row>
    <row r="380" spans="1:69" x14ac:dyDescent="0.2">
      <c r="A380" t="s">
        <v>1237</v>
      </c>
      <c r="B380" t="s">
        <v>1700</v>
      </c>
      <c r="C380" t="s">
        <v>1701</v>
      </c>
      <c r="D380" t="s">
        <v>1615</v>
      </c>
      <c r="E380" t="s">
        <v>1702</v>
      </c>
      <c r="F380" t="s">
        <v>118</v>
      </c>
      <c r="G380" t="str">
        <f>HYPERLINK("https://vk.com/wall-27863223_292193?reply=292450")</f>
        <v>https://vk.com/wall-27863223_292193?reply=292450</v>
      </c>
      <c r="H380" t="s">
        <v>119</v>
      </c>
      <c r="I380" t="s">
        <v>1703</v>
      </c>
      <c r="J380" t="str">
        <f>HYPERLINK("http://vk.com/id658398121")</f>
        <v>http://vk.com/id658398121</v>
      </c>
      <c r="K380">
        <v>2</v>
      </c>
      <c r="L380" t="s">
        <v>121</v>
      </c>
      <c r="M380">
        <v>28</v>
      </c>
      <c r="N380" t="s">
        <v>122</v>
      </c>
      <c r="O380" t="s">
        <v>175</v>
      </c>
      <c r="P380" t="str">
        <f>HYPERLINK("http://vk.com/club27863223")</f>
        <v>http://vk.com/club27863223</v>
      </c>
      <c r="Q380">
        <v>134698</v>
      </c>
      <c r="R380" t="s">
        <v>124</v>
      </c>
      <c r="W380">
        <v>0</v>
      </c>
      <c r="X380">
        <v>0</v>
      </c>
      <c r="AM380" t="s">
        <v>129</v>
      </c>
      <c r="AN380" t="s">
        <v>130</v>
      </c>
      <c r="AP380" t="s">
        <v>41</v>
      </c>
      <c r="AZ380" t="s">
        <v>51</v>
      </c>
      <c r="BA380" t="s">
        <v>52</v>
      </c>
      <c r="BL380" t="s">
        <v>63</v>
      </c>
    </row>
    <row r="381" spans="1:69" x14ac:dyDescent="0.2">
      <c r="A381" t="s">
        <v>1237</v>
      </c>
      <c r="B381" t="s">
        <v>1700</v>
      </c>
      <c r="C381" t="s">
        <v>1701</v>
      </c>
      <c r="D381" t="s">
        <v>215</v>
      </c>
      <c r="E381" t="s">
        <v>1658</v>
      </c>
      <c r="F381" t="s">
        <v>118</v>
      </c>
      <c r="G381" t="str">
        <f>HYPERLINK("https://vk.com/wall-27863223_292439?reply=292449")</f>
        <v>https://vk.com/wall-27863223_292439?reply=292449</v>
      </c>
      <c r="H381" t="s">
        <v>119</v>
      </c>
      <c r="I381" t="s">
        <v>642</v>
      </c>
      <c r="J381" t="str">
        <f>HYPERLINK("http://vk.com/id179499241")</f>
        <v>http://vk.com/id179499241</v>
      </c>
      <c r="K381">
        <v>196</v>
      </c>
      <c r="L381" t="s">
        <v>151</v>
      </c>
      <c r="M381">
        <v>37</v>
      </c>
      <c r="N381" t="s">
        <v>122</v>
      </c>
      <c r="O381" t="s">
        <v>175</v>
      </c>
      <c r="P381" t="str">
        <f>HYPERLINK("http://vk.com/club27863223")</f>
        <v>http://vk.com/club27863223</v>
      </c>
      <c r="Q381">
        <v>134698</v>
      </c>
      <c r="R381" t="s">
        <v>124</v>
      </c>
      <c r="S381" t="s">
        <v>125</v>
      </c>
      <c r="T381" t="s">
        <v>153</v>
      </c>
      <c r="U381" t="s">
        <v>643</v>
      </c>
      <c r="W381">
        <v>0</v>
      </c>
      <c r="X381">
        <v>0</v>
      </c>
      <c r="AM381" t="s">
        <v>129</v>
      </c>
      <c r="AN381" t="s">
        <v>130</v>
      </c>
      <c r="AO381" t="s">
        <v>40</v>
      </c>
      <c r="AP381" t="s">
        <v>41</v>
      </c>
      <c r="AZ381" t="s">
        <v>51</v>
      </c>
      <c r="BA381" t="s">
        <v>52</v>
      </c>
    </row>
    <row r="382" spans="1:69" x14ac:dyDescent="0.2">
      <c r="A382" t="s">
        <v>1237</v>
      </c>
      <c r="B382" t="s">
        <v>1704</v>
      </c>
      <c r="C382" t="s">
        <v>1705</v>
      </c>
      <c r="D382" t="s">
        <v>1706</v>
      </c>
      <c r="E382" t="s">
        <v>1707</v>
      </c>
      <c r="F382" t="s">
        <v>180</v>
      </c>
      <c r="G382" t="str">
        <f>HYPERLINK("http://www.advertology.ru/article152078.htm")</f>
        <v>http://www.advertology.ru/article152078.htm</v>
      </c>
      <c r="H382" t="s">
        <v>119</v>
      </c>
      <c r="N382" t="s">
        <v>1708</v>
      </c>
      <c r="R382" t="s">
        <v>785</v>
      </c>
      <c r="S382" t="s">
        <v>125</v>
      </c>
      <c r="AJ382" t="s">
        <v>1052</v>
      </c>
      <c r="AK382" t="s">
        <v>129</v>
      </c>
      <c r="AL382" t="str">
        <f>HYPERLINK("http://www.advertology.ru/img_resize.php?h=240&amp;in=/images/content/aimages/2021/07/29/81fdce.jpg")</f>
        <v>http://www.advertology.ru/img_resize.php?h=240&amp;in=/images/content/aimages/2021/07/29/81fdce.jpg</v>
      </c>
      <c r="AM382" t="s">
        <v>129</v>
      </c>
      <c r="AN382" t="s">
        <v>130</v>
      </c>
      <c r="AV382" t="s">
        <v>47</v>
      </c>
    </row>
    <row r="383" spans="1:69" x14ac:dyDescent="0.2">
      <c r="A383" t="s">
        <v>1237</v>
      </c>
      <c r="B383" t="s">
        <v>1709</v>
      </c>
      <c r="C383" t="s">
        <v>1701</v>
      </c>
      <c r="D383" t="s">
        <v>215</v>
      </c>
      <c r="E383" t="s">
        <v>1658</v>
      </c>
      <c r="F383" t="s">
        <v>118</v>
      </c>
      <c r="G383" t="str">
        <f>HYPERLINK("https://vk.com/wall-27863223_292439?reply=292448")</f>
        <v>https://vk.com/wall-27863223_292439?reply=292448</v>
      </c>
      <c r="H383" t="s">
        <v>119</v>
      </c>
      <c r="I383" t="s">
        <v>661</v>
      </c>
      <c r="J383" t="str">
        <f>HYPERLINK("http://vk.com/id271938611")</f>
        <v>http://vk.com/id271938611</v>
      </c>
      <c r="K383">
        <v>73</v>
      </c>
      <c r="L383" t="s">
        <v>121</v>
      </c>
      <c r="N383" t="s">
        <v>122</v>
      </c>
      <c r="O383" t="s">
        <v>175</v>
      </c>
      <c r="P383" t="str">
        <f>HYPERLINK("http://vk.com/club27863223")</f>
        <v>http://vk.com/club27863223</v>
      </c>
      <c r="Q383">
        <v>134698</v>
      </c>
      <c r="R383" t="s">
        <v>124</v>
      </c>
      <c r="S383" t="s">
        <v>125</v>
      </c>
      <c r="W383">
        <v>0</v>
      </c>
      <c r="X383">
        <v>0</v>
      </c>
      <c r="AM383" t="s">
        <v>129</v>
      </c>
      <c r="AN383" t="s">
        <v>130</v>
      </c>
      <c r="AO383" t="s">
        <v>40</v>
      </c>
      <c r="AP383" t="s">
        <v>41</v>
      </c>
      <c r="AZ383" t="s">
        <v>51</v>
      </c>
      <c r="BA383" t="s">
        <v>52</v>
      </c>
    </row>
    <row r="384" spans="1:69" x14ac:dyDescent="0.2">
      <c r="A384" t="s">
        <v>1237</v>
      </c>
      <c r="B384" t="s">
        <v>1710</v>
      </c>
      <c r="C384" t="s">
        <v>1711</v>
      </c>
      <c r="D384" t="s">
        <v>204</v>
      </c>
      <c r="E384" t="s">
        <v>1712</v>
      </c>
      <c r="F384" t="s">
        <v>180</v>
      </c>
      <c r="G384" t="str">
        <f>HYPERLINK("https://play.google.com/store/apps/details?id=ru.iflex.android.a3colortv&amp;reviewId=gp:AOqpTOFHfj2bjh9P5E7vS8X5kkLZByHjzH8WqS12sQC7e3dAts5uAvYcTKUdVLTY7VPUA4hwOSUAKcQuIkl39w")</f>
        <v>https://play.google.com/store/apps/details?id=ru.iflex.android.a3colortv&amp;reviewId=gp:AOqpTOFHfj2bjh9P5E7vS8X5kkLZByHjzH8WqS12sQC7e3dAts5uAvYcTKUdVLTY7VPUA4hwOSUAKcQuIkl39w</v>
      </c>
      <c r="H384" t="s">
        <v>181</v>
      </c>
      <c r="I384" t="s">
        <v>1713</v>
      </c>
      <c r="J384" t="str">
        <f>HYPERLINK("https://plus.google.com/101025712377811166989")</f>
        <v>https://plus.google.com/101025712377811166989</v>
      </c>
      <c r="L384" t="s">
        <v>121</v>
      </c>
      <c r="N384" t="s">
        <v>207</v>
      </c>
      <c r="O384" t="s">
        <v>204</v>
      </c>
      <c r="P384" t="str">
        <f>HYPERLINK("https://play.google.com/store/apps/details?id=ru.iflex.android.a3colortv&amp;hl=ru")</f>
        <v>https://play.google.com/store/apps/details?id=ru.iflex.android.a3colortv&amp;hl=ru</v>
      </c>
      <c r="R384" t="s">
        <v>184</v>
      </c>
      <c r="S384" t="s">
        <v>125</v>
      </c>
      <c r="W384">
        <v>0</v>
      </c>
      <c r="X384">
        <v>0</v>
      </c>
      <c r="AH384">
        <v>5</v>
      </c>
      <c r="AM384" t="s">
        <v>129</v>
      </c>
      <c r="AN384" t="s">
        <v>130</v>
      </c>
      <c r="AP384" t="s">
        <v>41</v>
      </c>
      <c r="AZ384" t="s">
        <v>51</v>
      </c>
      <c r="BA384" t="s">
        <v>52</v>
      </c>
      <c r="BQ384" t="s">
        <v>68</v>
      </c>
    </row>
    <row r="385" spans="1:65" x14ac:dyDescent="0.2">
      <c r="A385" t="s">
        <v>1237</v>
      </c>
      <c r="B385" t="s">
        <v>1714</v>
      </c>
      <c r="C385" t="s">
        <v>1715</v>
      </c>
      <c r="D385" t="s">
        <v>1716</v>
      </c>
      <c r="E385" t="s">
        <v>1717</v>
      </c>
      <c r="F385" t="s">
        <v>118</v>
      </c>
      <c r="G385" t="str">
        <f>HYPERLINK("https://telegram.me/Keenetic_ru/228954")</f>
        <v>https://telegram.me/Keenetic_ru/228954</v>
      </c>
      <c r="H385" t="s">
        <v>228</v>
      </c>
      <c r="I385" t="s">
        <v>1718</v>
      </c>
      <c r="J385" t="str">
        <f>HYPERLINK("https://telegram.me/avoronkov")</f>
        <v>https://telegram.me/avoronkov</v>
      </c>
      <c r="L385" t="s">
        <v>121</v>
      </c>
      <c r="N385" t="s">
        <v>143</v>
      </c>
      <c r="O385" t="s">
        <v>1719</v>
      </c>
      <c r="P385" t="str">
        <f>HYPERLINK("https://telegram.me/keenetic_ru")</f>
        <v>https://telegram.me/keenetic_ru</v>
      </c>
      <c r="Q385">
        <v>3087</v>
      </c>
      <c r="R385" t="s">
        <v>145</v>
      </c>
      <c r="AM385" t="s">
        <v>129</v>
      </c>
      <c r="AN385" t="s">
        <v>130</v>
      </c>
      <c r="AP385" t="s">
        <v>41</v>
      </c>
      <c r="AU385" t="s">
        <v>46</v>
      </c>
      <c r="AZ385" t="s">
        <v>51</v>
      </c>
      <c r="BA385" t="s">
        <v>52</v>
      </c>
    </row>
    <row r="386" spans="1:65" x14ac:dyDescent="0.2">
      <c r="A386" t="s">
        <v>1237</v>
      </c>
      <c r="B386" t="s">
        <v>614</v>
      </c>
      <c r="C386" t="s">
        <v>1720</v>
      </c>
      <c r="D386" t="s">
        <v>1377</v>
      </c>
      <c r="E386" t="s">
        <v>1721</v>
      </c>
      <c r="F386" t="s">
        <v>118</v>
      </c>
      <c r="G386" t="str">
        <f>HYPERLINK("https://vk.com/wall-22935147_368668?reply=368700&amp;thread=368669")</f>
        <v>https://vk.com/wall-22935147_368668?reply=368700&amp;thread=368669</v>
      </c>
      <c r="H386" t="s">
        <v>119</v>
      </c>
      <c r="I386" t="s">
        <v>1722</v>
      </c>
      <c r="J386" t="str">
        <f>HYPERLINK("http://vk.com/id240644107")</f>
        <v>http://vk.com/id240644107</v>
      </c>
      <c r="K386">
        <v>33</v>
      </c>
      <c r="L386" t="s">
        <v>121</v>
      </c>
      <c r="N386" t="s">
        <v>122</v>
      </c>
      <c r="O386" t="s">
        <v>1093</v>
      </c>
      <c r="P386" t="str">
        <f>HYPERLINK("http://vk.com/club22935147")</f>
        <v>http://vk.com/club22935147</v>
      </c>
      <c r="Q386">
        <v>8943</v>
      </c>
      <c r="R386" t="s">
        <v>124</v>
      </c>
      <c r="S386" t="s">
        <v>125</v>
      </c>
      <c r="T386" t="s">
        <v>169</v>
      </c>
      <c r="U386" t="s">
        <v>169</v>
      </c>
      <c r="AM386" t="s">
        <v>129</v>
      </c>
      <c r="AN386" t="s">
        <v>130</v>
      </c>
      <c r="AP386" t="s">
        <v>41</v>
      </c>
      <c r="AT386" t="s">
        <v>45</v>
      </c>
      <c r="AZ386" t="s">
        <v>51</v>
      </c>
      <c r="BA386" t="s">
        <v>52</v>
      </c>
      <c r="BL386" t="s">
        <v>63</v>
      </c>
    </row>
    <row r="387" spans="1:65" x14ac:dyDescent="0.2">
      <c r="A387" t="s">
        <v>1237</v>
      </c>
      <c r="B387" t="s">
        <v>1723</v>
      </c>
      <c r="C387" t="s">
        <v>1720</v>
      </c>
      <c r="D387" t="s">
        <v>1377</v>
      </c>
      <c r="E387" t="s">
        <v>1724</v>
      </c>
      <c r="F387" t="s">
        <v>118</v>
      </c>
      <c r="G387" t="str">
        <f>HYPERLINK("https://vk.com/wall-22935147_368668?reply=368699&amp;thread=368682")</f>
        <v>https://vk.com/wall-22935147_368668?reply=368699&amp;thread=368682</v>
      </c>
      <c r="H387" t="s">
        <v>119</v>
      </c>
      <c r="I387" t="s">
        <v>1722</v>
      </c>
      <c r="J387" t="str">
        <f>HYPERLINK("http://vk.com/id240644107")</f>
        <v>http://vk.com/id240644107</v>
      </c>
      <c r="K387">
        <v>33</v>
      </c>
      <c r="L387" t="s">
        <v>121</v>
      </c>
      <c r="N387" t="s">
        <v>122</v>
      </c>
      <c r="O387" t="s">
        <v>1093</v>
      </c>
      <c r="P387" t="str">
        <f>HYPERLINK("http://vk.com/club22935147")</f>
        <v>http://vk.com/club22935147</v>
      </c>
      <c r="Q387">
        <v>8943</v>
      </c>
      <c r="R387" t="s">
        <v>124</v>
      </c>
      <c r="S387" t="s">
        <v>125</v>
      </c>
      <c r="T387" t="s">
        <v>169</v>
      </c>
      <c r="U387" t="s">
        <v>169</v>
      </c>
      <c r="AM387" t="s">
        <v>129</v>
      </c>
      <c r="AN387" t="s">
        <v>130</v>
      </c>
      <c r="AP387" t="s">
        <v>41</v>
      </c>
      <c r="AT387" t="s">
        <v>45</v>
      </c>
      <c r="AZ387" t="s">
        <v>51</v>
      </c>
      <c r="BA387" t="s">
        <v>52</v>
      </c>
      <c r="BL387" t="s">
        <v>63</v>
      </c>
    </row>
    <row r="388" spans="1:65" x14ac:dyDescent="0.2">
      <c r="A388" t="s">
        <v>1237</v>
      </c>
      <c r="B388" t="s">
        <v>1725</v>
      </c>
      <c r="C388" t="s">
        <v>1726</v>
      </c>
      <c r="D388" t="s">
        <v>1727</v>
      </c>
      <c r="E388" t="s">
        <v>1728</v>
      </c>
      <c r="F388" t="s">
        <v>180</v>
      </c>
      <c r="G388" t="str">
        <f>HYPERLINK("https://www.ozon.ru/context/detail/id/248909251/#62888023")</f>
        <v>https://www.ozon.ru/context/detail/id/248909251/#62888023</v>
      </c>
      <c r="H388" t="s">
        <v>181</v>
      </c>
      <c r="I388" t="s">
        <v>512</v>
      </c>
      <c r="J388" t="str">
        <f>HYPERLINK("https://www.ozon.ru/context/client_opinion/ClientGuid//")</f>
        <v>https://www.ozon.ru/context/client_opinion/ClientGuid//</v>
      </c>
      <c r="N388" t="s">
        <v>183</v>
      </c>
      <c r="O388" t="s">
        <v>1729</v>
      </c>
      <c r="P388" t="str">
        <f>HYPERLINK("https://www.ozon.ru/context/detail/id/248909251/")</f>
        <v>https://www.ozon.ru/context/detail/id/248909251/</v>
      </c>
      <c r="R388" t="s">
        <v>184</v>
      </c>
      <c r="S388" t="s">
        <v>125</v>
      </c>
      <c r="W388">
        <v>0</v>
      </c>
      <c r="X388">
        <v>0</v>
      </c>
      <c r="AH388">
        <v>5</v>
      </c>
      <c r="AM388" t="s">
        <v>129</v>
      </c>
      <c r="AN388" t="s">
        <v>130</v>
      </c>
      <c r="AP388" t="s">
        <v>41</v>
      </c>
      <c r="AT388" t="s">
        <v>45</v>
      </c>
      <c r="AZ388" t="s">
        <v>51</v>
      </c>
      <c r="BB388" t="s">
        <v>53</v>
      </c>
      <c r="BL388" t="s">
        <v>63</v>
      </c>
    </row>
    <row r="389" spans="1:65" x14ac:dyDescent="0.2">
      <c r="A389" t="s">
        <v>1237</v>
      </c>
      <c r="B389" t="s">
        <v>1730</v>
      </c>
      <c r="C389" t="s">
        <v>1731</v>
      </c>
      <c r="D389" t="s">
        <v>1444</v>
      </c>
      <c r="E389" t="s">
        <v>1732</v>
      </c>
      <c r="F389" t="s">
        <v>118</v>
      </c>
      <c r="G389" t="str">
        <f>HYPERLINK("https://vk.com/wall-27863223_292411?reply=292442")</f>
        <v>https://vk.com/wall-27863223_292411?reply=292442</v>
      </c>
      <c r="H389" t="s">
        <v>119</v>
      </c>
      <c r="I389" t="s">
        <v>396</v>
      </c>
      <c r="J389" t="str">
        <f>HYPERLINK("http://vk.com/id660994595")</f>
        <v>http://vk.com/id660994595</v>
      </c>
      <c r="K389">
        <v>0</v>
      </c>
      <c r="L389" t="s">
        <v>121</v>
      </c>
      <c r="M389">
        <v>18</v>
      </c>
      <c r="N389" t="s">
        <v>122</v>
      </c>
      <c r="O389" t="s">
        <v>175</v>
      </c>
      <c r="P389" t="str">
        <f>HYPERLINK("http://vk.com/club27863223")</f>
        <v>http://vk.com/club27863223</v>
      </c>
      <c r="Q389">
        <v>134698</v>
      </c>
      <c r="R389" t="s">
        <v>124</v>
      </c>
      <c r="W389">
        <v>0</v>
      </c>
      <c r="X389">
        <v>0</v>
      </c>
      <c r="AM389" t="s">
        <v>129</v>
      </c>
      <c r="AN389" t="s">
        <v>130</v>
      </c>
      <c r="AP389" t="s">
        <v>41</v>
      </c>
      <c r="AU389" t="s">
        <v>46</v>
      </c>
      <c r="AZ389" t="s">
        <v>51</v>
      </c>
      <c r="BA389" t="s">
        <v>52</v>
      </c>
    </row>
    <row r="390" spans="1:65" x14ac:dyDescent="0.2">
      <c r="A390" t="s">
        <v>1237</v>
      </c>
      <c r="B390" t="s">
        <v>1733</v>
      </c>
      <c r="C390" t="s">
        <v>1734</v>
      </c>
      <c r="D390" t="s">
        <v>129</v>
      </c>
      <c r="E390" t="s">
        <v>1735</v>
      </c>
      <c r="F390" t="s">
        <v>180</v>
      </c>
      <c r="G390" t="str">
        <f>HYPERLINK("https://vk.com/wall-42402221_236229")</f>
        <v>https://vk.com/wall-42402221_236229</v>
      </c>
      <c r="H390" t="s">
        <v>119</v>
      </c>
      <c r="I390" t="s">
        <v>1264</v>
      </c>
      <c r="J390" t="str">
        <f>HYPERLINK("http://vk.com/club42402221")</f>
        <v>http://vk.com/club42402221</v>
      </c>
      <c r="K390">
        <v>546</v>
      </c>
      <c r="L390" t="s">
        <v>340</v>
      </c>
      <c r="N390" t="s">
        <v>122</v>
      </c>
      <c r="O390" t="s">
        <v>1264</v>
      </c>
      <c r="P390" t="str">
        <f>HYPERLINK("http://vk.com/club42402221")</f>
        <v>http://vk.com/club42402221</v>
      </c>
      <c r="Q390">
        <v>546</v>
      </c>
      <c r="R390" t="s">
        <v>124</v>
      </c>
      <c r="W390">
        <v>0</v>
      </c>
      <c r="X390">
        <v>0</v>
      </c>
      <c r="AE390">
        <v>0</v>
      </c>
      <c r="AF390">
        <v>0</v>
      </c>
      <c r="AG390">
        <v>5</v>
      </c>
      <c r="AM390" t="s">
        <v>129</v>
      </c>
      <c r="AN390" t="s">
        <v>130</v>
      </c>
      <c r="AP390" t="s">
        <v>41</v>
      </c>
      <c r="AT390" t="s">
        <v>45</v>
      </c>
      <c r="AW390" t="s">
        <v>48</v>
      </c>
      <c r="AZ390" t="s">
        <v>51</v>
      </c>
      <c r="BA390" t="s">
        <v>52</v>
      </c>
    </row>
    <row r="391" spans="1:65" x14ac:dyDescent="0.2">
      <c r="A391" t="s">
        <v>1237</v>
      </c>
      <c r="B391" t="s">
        <v>1736</v>
      </c>
      <c r="C391" t="s">
        <v>1737</v>
      </c>
      <c r="D391" t="s">
        <v>215</v>
      </c>
      <c r="E391" t="s">
        <v>1738</v>
      </c>
      <c r="F391" t="s">
        <v>118</v>
      </c>
      <c r="G391" t="str">
        <f>HYPERLINK("https://vk.com/wall-27863223_292439?reply=292440")</f>
        <v>https://vk.com/wall-27863223_292439?reply=292440</v>
      </c>
      <c r="H391" t="s">
        <v>119</v>
      </c>
      <c r="I391" t="s">
        <v>1739</v>
      </c>
      <c r="J391" t="str">
        <f>HYPERLINK("http://vk.com/id625732526")</f>
        <v>http://vk.com/id625732526</v>
      </c>
      <c r="K391">
        <v>3</v>
      </c>
      <c r="L391" t="s">
        <v>121</v>
      </c>
      <c r="M391">
        <v>28</v>
      </c>
      <c r="N391" t="s">
        <v>122</v>
      </c>
      <c r="O391" t="s">
        <v>175</v>
      </c>
      <c r="P391" t="str">
        <f>HYPERLINK("http://vk.com/club27863223")</f>
        <v>http://vk.com/club27863223</v>
      </c>
      <c r="Q391">
        <v>134698</v>
      </c>
      <c r="R391" t="s">
        <v>124</v>
      </c>
      <c r="S391" t="s">
        <v>125</v>
      </c>
      <c r="T391" t="s">
        <v>169</v>
      </c>
      <c r="U391" t="s">
        <v>169</v>
      </c>
      <c r="AM391" t="s">
        <v>129</v>
      </c>
      <c r="AN391" t="s">
        <v>130</v>
      </c>
      <c r="AP391" t="s">
        <v>41</v>
      </c>
      <c r="AU391" t="s">
        <v>46</v>
      </c>
      <c r="AZ391" t="s">
        <v>51</v>
      </c>
      <c r="BA391" t="s">
        <v>52</v>
      </c>
    </row>
    <row r="392" spans="1:65" x14ac:dyDescent="0.2">
      <c r="A392" t="s">
        <v>1237</v>
      </c>
      <c r="B392" t="s">
        <v>1740</v>
      </c>
      <c r="C392" t="s">
        <v>1741</v>
      </c>
      <c r="D392" t="s">
        <v>1742</v>
      </c>
      <c r="E392" t="s">
        <v>1743</v>
      </c>
      <c r="F392" t="s">
        <v>180</v>
      </c>
      <c r="G392" t="str">
        <f>HYPERLINK("https://www.google.com/maps/reviews/data=!4m5!14m4!1m3!1m2!1s101987235109517718362!2s0x0:0x74248b628f8e197b?hl=en-NL")</f>
        <v>https://www.google.com/maps/reviews/data=!4m5!14m4!1m3!1m2!1s101987235109517718362!2s0x0:0x74248b628f8e197b?hl=en-NL</v>
      </c>
      <c r="H392" t="s">
        <v>181</v>
      </c>
      <c r="I392" t="s">
        <v>1744</v>
      </c>
      <c r="J392" t="str">
        <f>HYPERLINK("https://maps.google.com/maps/contrib/101987235109517718362")</f>
        <v>https://maps.google.com/maps/contrib/101987235109517718362</v>
      </c>
      <c r="L392" t="s">
        <v>151</v>
      </c>
      <c r="N392" t="s">
        <v>673</v>
      </c>
      <c r="O392" t="s">
        <v>1742</v>
      </c>
      <c r="P392" t="str">
        <f>HYPERLINK("https://maps.google.com/maps/place/data=!3m1!4b1!4m5!3m4!1s0x0:0x74248b628f8e197b!8m2!3d55.781240!4d49.113200")</f>
        <v>https://maps.google.com/maps/place/data=!3m1!4b1!4m5!3m4!1s0x0:0x74248b628f8e197b!8m2!3d55.781240!4d49.113200</v>
      </c>
      <c r="R392" t="s">
        <v>184</v>
      </c>
      <c r="S392" t="s">
        <v>125</v>
      </c>
      <c r="T392" t="s">
        <v>1027</v>
      </c>
      <c r="U392" t="s">
        <v>1028</v>
      </c>
      <c r="W392">
        <v>0</v>
      </c>
      <c r="X392">
        <v>0</v>
      </c>
      <c r="AH392">
        <v>5</v>
      </c>
      <c r="AM392" t="s">
        <v>129</v>
      </c>
      <c r="AN392" t="s">
        <v>130</v>
      </c>
      <c r="AP392" t="s">
        <v>41</v>
      </c>
      <c r="AX392" t="s">
        <v>49</v>
      </c>
      <c r="AZ392" t="s">
        <v>51</v>
      </c>
      <c r="BA392" t="s">
        <v>52</v>
      </c>
    </row>
    <row r="393" spans="1:65" x14ac:dyDescent="0.2">
      <c r="A393" t="s">
        <v>1237</v>
      </c>
      <c r="B393" t="s">
        <v>639</v>
      </c>
      <c r="C393" t="s">
        <v>1745</v>
      </c>
      <c r="D393" t="s">
        <v>1444</v>
      </c>
      <c r="E393" t="s">
        <v>1746</v>
      </c>
      <c r="F393" t="s">
        <v>118</v>
      </c>
      <c r="G393" t="str">
        <f>HYPERLINK("https://vk.com/wall-27863223_292411?w=wall-27863223_292411_r292436")</f>
        <v>https://vk.com/wall-27863223_292411?w=wall-27863223_292411_r292436</v>
      </c>
      <c r="H393" t="s">
        <v>119</v>
      </c>
      <c r="I393" t="s">
        <v>396</v>
      </c>
      <c r="J393" t="str">
        <f>HYPERLINK("http://vk.com/id660994595")</f>
        <v>http://vk.com/id660994595</v>
      </c>
      <c r="K393">
        <v>0</v>
      </c>
      <c r="L393" t="s">
        <v>121</v>
      </c>
      <c r="M393">
        <v>18</v>
      </c>
      <c r="N393" t="s">
        <v>122</v>
      </c>
      <c r="O393" t="s">
        <v>175</v>
      </c>
      <c r="P393" t="str">
        <f>HYPERLINK("http://vk.com/club27863223")</f>
        <v>http://vk.com/club27863223</v>
      </c>
      <c r="Q393">
        <v>134698</v>
      </c>
      <c r="R393" t="s">
        <v>124</v>
      </c>
      <c r="W393">
        <v>0</v>
      </c>
      <c r="X393">
        <v>0</v>
      </c>
      <c r="AM393" t="s">
        <v>129</v>
      </c>
      <c r="AN393" t="s">
        <v>130</v>
      </c>
      <c r="AP393" t="s">
        <v>41</v>
      </c>
      <c r="AU393" t="s">
        <v>46</v>
      </c>
      <c r="AZ393" t="s">
        <v>51</v>
      </c>
      <c r="BA393" t="s">
        <v>52</v>
      </c>
    </row>
    <row r="394" spans="1:65" x14ac:dyDescent="0.2">
      <c r="A394" t="s">
        <v>1237</v>
      </c>
      <c r="B394" t="s">
        <v>1747</v>
      </c>
      <c r="C394" t="s">
        <v>1745</v>
      </c>
      <c r="D394" t="s">
        <v>1444</v>
      </c>
      <c r="E394" t="s">
        <v>1748</v>
      </c>
      <c r="F394" t="s">
        <v>118</v>
      </c>
      <c r="G394" t="str">
        <f>HYPERLINK("https://vk.com/wall-27863223_292411?w=wall-27863223_292411_r292434")</f>
        <v>https://vk.com/wall-27863223_292411?w=wall-27863223_292411_r292434</v>
      </c>
      <c r="H394" t="s">
        <v>119</v>
      </c>
      <c r="I394" t="s">
        <v>396</v>
      </c>
      <c r="J394" t="str">
        <f>HYPERLINK("http://vk.com/id660994595")</f>
        <v>http://vk.com/id660994595</v>
      </c>
      <c r="K394">
        <v>0</v>
      </c>
      <c r="L394" t="s">
        <v>121</v>
      </c>
      <c r="M394">
        <v>18</v>
      </c>
      <c r="N394" t="s">
        <v>122</v>
      </c>
      <c r="O394" t="s">
        <v>175</v>
      </c>
      <c r="P394" t="str">
        <f>HYPERLINK("http://vk.com/club27863223")</f>
        <v>http://vk.com/club27863223</v>
      </c>
      <c r="Q394">
        <v>134698</v>
      </c>
      <c r="R394" t="s">
        <v>124</v>
      </c>
      <c r="W394">
        <v>0</v>
      </c>
      <c r="X394">
        <v>0</v>
      </c>
      <c r="AM394" t="s">
        <v>129</v>
      </c>
      <c r="AN394" t="s">
        <v>130</v>
      </c>
      <c r="AP394" t="s">
        <v>41</v>
      </c>
      <c r="AU394" t="s">
        <v>46</v>
      </c>
      <c r="AZ394" t="s">
        <v>51</v>
      </c>
      <c r="BA394" t="s">
        <v>52</v>
      </c>
      <c r="BM394" t="s">
        <v>64</v>
      </c>
    </row>
    <row r="395" spans="1:65" x14ac:dyDescent="0.2">
      <c r="A395" t="s">
        <v>1237</v>
      </c>
      <c r="B395" t="s">
        <v>1749</v>
      </c>
      <c r="C395" t="s">
        <v>1750</v>
      </c>
      <c r="D395" t="s">
        <v>1751</v>
      </c>
      <c r="E395" t="s">
        <v>1752</v>
      </c>
      <c r="F395" t="s">
        <v>118</v>
      </c>
      <c r="G395" t="str">
        <f>HYPERLINK("https://vk.com/wall-1246863_300020?reply=300022")</f>
        <v>https://vk.com/wall-1246863_300020?reply=300022</v>
      </c>
      <c r="H395" t="s">
        <v>119</v>
      </c>
      <c r="I395" t="s">
        <v>1753</v>
      </c>
      <c r="J395" t="str">
        <f>HYPERLINK("http://vk.com/id469253931")</f>
        <v>http://vk.com/id469253931</v>
      </c>
      <c r="K395">
        <v>73</v>
      </c>
      <c r="L395" t="s">
        <v>121</v>
      </c>
      <c r="M395">
        <v>39</v>
      </c>
      <c r="N395" t="s">
        <v>122</v>
      </c>
      <c r="O395" t="s">
        <v>1754</v>
      </c>
      <c r="P395" t="str">
        <f>HYPERLINK("http://vk.com/club1246863")</f>
        <v>http://vk.com/club1246863</v>
      </c>
      <c r="Q395">
        <v>18781</v>
      </c>
      <c r="R395" t="s">
        <v>124</v>
      </c>
      <c r="S395" t="s">
        <v>125</v>
      </c>
      <c r="T395" t="s">
        <v>759</v>
      </c>
      <c r="U395" t="s">
        <v>1755</v>
      </c>
      <c r="AM395" t="s">
        <v>129</v>
      </c>
      <c r="AN395" t="s">
        <v>130</v>
      </c>
      <c r="AP395" t="s">
        <v>41</v>
      </c>
      <c r="AZ395" t="s">
        <v>51</v>
      </c>
      <c r="BA395" t="s">
        <v>52</v>
      </c>
    </row>
    <row r="396" spans="1:65" x14ac:dyDescent="0.2">
      <c r="A396" t="s">
        <v>1237</v>
      </c>
      <c r="B396" t="s">
        <v>1756</v>
      </c>
      <c r="C396" t="s">
        <v>1750</v>
      </c>
      <c r="D396" t="s">
        <v>1031</v>
      </c>
      <c r="E396" t="s">
        <v>1757</v>
      </c>
      <c r="F396" t="s">
        <v>118</v>
      </c>
      <c r="G396" t="str">
        <f>HYPERLINK("https://vk.com/wall-27863223_292230?w=wall-27863223_292230_r292432")</f>
        <v>https://vk.com/wall-27863223_292230?w=wall-27863223_292230_r292432</v>
      </c>
      <c r="H396" t="s">
        <v>181</v>
      </c>
      <c r="I396" t="s">
        <v>642</v>
      </c>
      <c r="J396" t="str">
        <f>HYPERLINK("http://vk.com/id179499241")</f>
        <v>http://vk.com/id179499241</v>
      </c>
      <c r="K396">
        <v>196</v>
      </c>
      <c r="L396" t="s">
        <v>151</v>
      </c>
      <c r="M396">
        <v>37</v>
      </c>
      <c r="N396" t="s">
        <v>122</v>
      </c>
      <c r="O396" t="s">
        <v>175</v>
      </c>
      <c r="P396" t="str">
        <f>HYPERLINK("http://vk.com/club27863223")</f>
        <v>http://vk.com/club27863223</v>
      </c>
      <c r="Q396">
        <v>134698</v>
      </c>
      <c r="R396" t="s">
        <v>124</v>
      </c>
      <c r="S396" t="s">
        <v>125</v>
      </c>
      <c r="T396" t="s">
        <v>153</v>
      </c>
      <c r="U396" t="s">
        <v>643</v>
      </c>
      <c r="W396">
        <v>0</v>
      </c>
      <c r="X396">
        <v>0</v>
      </c>
      <c r="AM396" t="s">
        <v>129</v>
      </c>
      <c r="AN396" t="s">
        <v>130</v>
      </c>
      <c r="AP396" t="s">
        <v>41</v>
      </c>
      <c r="AZ396" t="s">
        <v>51</v>
      </c>
      <c r="BA396" t="s">
        <v>52</v>
      </c>
    </row>
    <row r="397" spans="1:65" x14ac:dyDescent="0.2">
      <c r="A397" t="s">
        <v>1237</v>
      </c>
      <c r="B397" t="s">
        <v>1758</v>
      </c>
      <c r="C397" t="s">
        <v>1759</v>
      </c>
      <c r="D397" t="s">
        <v>1760</v>
      </c>
      <c r="E397" t="s">
        <v>1761</v>
      </c>
      <c r="F397" t="s">
        <v>118</v>
      </c>
      <c r="G397" t="str">
        <f>HYPERLINK("http://forum.ixbt.com/topic.cgi?id=60:4980-36#post13")</f>
        <v>http://forum.ixbt.com/topic.cgi?id=60:4980-36#post13</v>
      </c>
      <c r="H397" t="s">
        <v>119</v>
      </c>
      <c r="I397" t="s">
        <v>1762</v>
      </c>
      <c r="J397" t="str">
        <f>HYPERLINK("http://forum.ixbt.com/topic.cgi?id=60:4980-36#post13")</f>
        <v>http://forum.ixbt.com/topic.cgi?id=60:4980-36#post13</v>
      </c>
      <c r="N397" t="s">
        <v>1763</v>
      </c>
      <c r="O397" t="s">
        <v>1764</v>
      </c>
      <c r="P397" t="str">
        <f>HYPERLINK("https://forum.ixbt.com/?id=60")</f>
        <v>https://forum.ixbt.com/?id=60</v>
      </c>
      <c r="R397" t="s">
        <v>295</v>
      </c>
      <c r="S397" t="s">
        <v>125</v>
      </c>
      <c r="AM397" t="s">
        <v>129</v>
      </c>
      <c r="AN397" t="s">
        <v>130</v>
      </c>
      <c r="AP397" t="s">
        <v>41</v>
      </c>
      <c r="AT397" t="s">
        <v>45</v>
      </c>
      <c r="AY397" t="s">
        <v>50</v>
      </c>
      <c r="AZ397" t="s">
        <v>51</v>
      </c>
      <c r="BA397" t="s">
        <v>52</v>
      </c>
      <c r="BL397" t="s">
        <v>63</v>
      </c>
    </row>
    <row r="398" spans="1:65" x14ac:dyDescent="0.2">
      <c r="A398" t="s">
        <v>1237</v>
      </c>
      <c r="B398" t="s">
        <v>1765</v>
      </c>
      <c r="C398" t="s">
        <v>1750</v>
      </c>
      <c r="D398" t="s">
        <v>1031</v>
      </c>
      <c r="E398" t="s">
        <v>1766</v>
      </c>
      <c r="F398" t="s">
        <v>118</v>
      </c>
      <c r="G398" t="str">
        <f>HYPERLINK("https://vk.com/wall-27863223_292230?reply=292430")</f>
        <v>https://vk.com/wall-27863223_292230?reply=292430</v>
      </c>
      <c r="H398" t="s">
        <v>119</v>
      </c>
      <c r="I398" t="s">
        <v>642</v>
      </c>
      <c r="J398" t="str">
        <f>HYPERLINK("http://vk.com/id179499241")</f>
        <v>http://vk.com/id179499241</v>
      </c>
      <c r="K398">
        <v>196</v>
      </c>
      <c r="L398" t="s">
        <v>151</v>
      </c>
      <c r="M398">
        <v>37</v>
      </c>
      <c r="N398" t="s">
        <v>122</v>
      </c>
      <c r="O398" t="s">
        <v>175</v>
      </c>
      <c r="P398" t="str">
        <f>HYPERLINK("http://vk.com/club27863223")</f>
        <v>http://vk.com/club27863223</v>
      </c>
      <c r="Q398">
        <v>134698</v>
      </c>
      <c r="R398" t="s">
        <v>124</v>
      </c>
      <c r="S398" t="s">
        <v>125</v>
      </c>
      <c r="T398" t="s">
        <v>153</v>
      </c>
      <c r="U398" t="s">
        <v>643</v>
      </c>
      <c r="W398">
        <v>0</v>
      </c>
      <c r="X398">
        <v>0</v>
      </c>
      <c r="AM398" t="s">
        <v>129</v>
      </c>
      <c r="AN398" t="s">
        <v>130</v>
      </c>
      <c r="AP398" t="s">
        <v>41</v>
      </c>
      <c r="AZ398" t="s">
        <v>51</v>
      </c>
      <c r="BA398" t="s">
        <v>52</v>
      </c>
    </row>
    <row r="399" spans="1:65" x14ac:dyDescent="0.2">
      <c r="A399" t="s">
        <v>1237</v>
      </c>
      <c r="B399" t="s">
        <v>1767</v>
      </c>
      <c r="C399" t="s">
        <v>1750</v>
      </c>
      <c r="D399" t="s">
        <v>1031</v>
      </c>
      <c r="E399" t="s">
        <v>1768</v>
      </c>
      <c r="F399" t="s">
        <v>118</v>
      </c>
      <c r="G399" t="str">
        <f>HYPERLINK("https://vk.com/wall-27863223_292230?reply=292429")</f>
        <v>https://vk.com/wall-27863223_292230?reply=292429</v>
      </c>
      <c r="H399" t="s">
        <v>119</v>
      </c>
      <c r="I399" t="s">
        <v>642</v>
      </c>
      <c r="J399" t="str">
        <f>HYPERLINK("http://vk.com/id179499241")</f>
        <v>http://vk.com/id179499241</v>
      </c>
      <c r="K399">
        <v>196</v>
      </c>
      <c r="L399" t="s">
        <v>151</v>
      </c>
      <c r="M399">
        <v>37</v>
      </c>
      <c r="N399" t="s">
        <v>122</v>
      </c>
      <c r="O399" t="s">
        <v>175</v>
      </c>
      <c r="P399" t="str">
        <f>HYPERLINK("http://vk.com/club27863223")</f>
        <v>http://vk.com/club27863223</v>
      </c>
      <c r="Q399">
        <v>134698</v>
      </c>
      <c r="R399" t="s">
        <v>124</v>
      </c>
      <c r="S399" t="s">
        <v>125</v>
      </c>
      <c r="T399" t="s">
        <v>153</v>
      </c>
      <c r="U399" t="s">
        <v>643</v>
      </c>
      <c r="W399">
        <v>0</v>
      </c>
      <c r="X399">
        <v>0</v>
      </c>
      <c r="AM399" t="s">
        <v>129</v>
      </c>
      <c r="AN399" t="s">
        <v>130</v>
      </c>
      <c r="AP399" t="s">
        <v>41</v>
      </c>
      <c r="AZ399" t="s">
        <v>51</v>
      </c>
      <c r="BA399" t="s">
        <v>52</v>
      </c>
    </row>
    <row r="400" spans="1:65" x14ac:dyDescent="0.2">
      <c r="A400" t="s">
        <v>1237</v>
      </c>
      <c r="B400" t="s">
        <v>1769</v>
      </c>
      <c r="C400" t="s">
        <v>1770</v>
      </c>
      <c r="D400" t="s">
        <v>129</v>
      </c>
      <c r="E400" t="s">
        <v>1771</v>
      </c>
      <c r="F400" t="s">
        <v>180</v>
      </c>
      <c r="G400" t="str">
        <f>HYPERLINK("https://vk.com/wall-136652197_119267")</f>
        <v>https://vk.com/wall-136652197_119267</v>
      </c>
      <c r="H400" t="s">
        <v>119</v>
      </c>
      <c r="I400" t="s">
        <v>1772</v>
      </c>
      <c r="J400" t="str">
        <f>HYPERLINK("http://vk.com/id12502916")</f>
        <v>http://vk.com/id12502916</v>
      </c>
      <c r="K400">
        <v>39</v>
      </c>
      <c r="L400" t="s">
        <v>121</v>
      </c>
      <c r="M400">
        <v>50</v>
      </c>
      <c r="N400" t="s">
        <v>122</v>
      </c>
      <c r="O400" t="s">
        <v>1773</v>
      </c>
      <c r="P400" t="str">
        <f>HYPERLINK("http://vk.com/club136652197")</f>
        <v>http://vk.com/club136652197</v>
      </c>
      <c r="Q400">
        <v>8504</v>
      </c>
      <c r="R400" t="s">
        <v>124</v>
      </c>
      <c r="S400" t="s">
        <v>125</v>
      </c>
      <c r="T400" t="s">
        <v>767</v>
      </c>
      <c r="U400" t="s">
        <v>1531</v>
      </c>
      <c r="W400">
        <v>10</v>
      </c>
      <c r="X400">
        <v>10</v>
      </c>
      <c r="AE400">
        <v>5</v>
      </c>
      <c r="AF400">
        <v>1</v>
      </c>
      <c r="AG400">
        <v>2424</v>
      </c>
      <c r="AM400" t="s">
        <v>129</v>
      </c>
      <c r="AN400" t="s">
        <v>130</v>
      </c>
      <c r="AP400" t="s">
        <v>41</v>
      </c>
      <c r="AZ400" t="s">
        <v>51</v>
      </c>
      <c r="BA400" t="s">
        <v>52</v>
      </c>
    </row>
    <row r="401" spans="1:69" x14ac:dyDescent="0.2">
      <c r="A401" t="s">
        <v>1237</v>
      </c>
      <c r="B401" t="s">
        <v>1774</v>
      </c>
      <c r="C401" t="s">
        <v>1775</v>
      </c>
      <c r="D401" t="s">
        <v>1776</v>
      </c>
      <c r="E401" t="s">
        <v>1777</v>
      </c>
      <c r="F401" t="s">
        <v>180</v>
      </c>
      <c r="G401" t="str">
        <f>HYPERLINK("https://www.ozon.ru/context/detail/id/252457596/#62866037")</f>
        <v>https://www.ozon.ru/context/detail/id/252457596/#62866037</v>
      </c>
      <c r="H401" t="s">
        <v>181</v>
      </c>
      <c r="I401" t="s">
        <v>1778</v>
      </c>
      <c r="J401" t="str">
        <f>HYPERLINK("https://www.ozon.ru/context/client_opinion/ClientGuid/754b2a5b-13d6-429a-b946-7479bf06766d/")</f>
        <v>https://www.ozon.ru/context/client_opinion/ClientGuid/754b2a5b-13d6-429a-b946-7479bf06766d/</v>
      </c>
      <c r="L401" t="s">
        <v>151</v>
      </c>
      <c r="N401" t="s">
        <v>183</v>
      </c>
      <c r="O401" t="s">
        <v>1776</v>
      </c>
      <c r="P401" t="str">
        <f>HYPERLINK("https://www.ozon.ru/context/detail/id/252457596/")</f>
        <v>https://www.ozon.ru/context/detail/id/252457596/</v>
      </c>
      <c r="R401" t="s">
        <v>184</v>
      </c>
      <c r="S401" t="s">
        <v>125</v>
      </c>
      <c r="W401">
        <v>0</v>
      </c>
      <c r="X401">
        <v>0</v>
      </c>
      <c r="AH401">
        <v>5</v>
      </c>
      <c r="AM401" t="s">
        <v>129</v>
      </c>
      <c r="AN401" t="s">
        <v>130</v>
      </c>
      <c r="AP401" t="s">
        <v>41</v>
      </c>
      <c r="AZ401" t="s">
        <v>51</v>
      </c>
      <c r="BA401" t="s">
        <v>52</v>
      </c>
      <c r="BK401" t="s">
        <v>62</v>
      </c>
      <c r="BL401" t="s">
        <v>63</v>
      </c>
    </row>
    <row r="402" spans="1:69" x14ac:dyDescent="0.2">
      <c r="A402" t="s">
        <v>1237</v>
      </c>
      <c r="B402" t="s">
        <v>1779</v>
      </c>
      <c r="C402" t="s">
        <v>1549</v>
      </c>
      <c r="D402" t="s">
        <v>955</v>
      </c>
      <c r="E402" t="s">
        <v>1780</v>
      </c>
      <c r="F402" t="s">
        <v>180</v>
      </c>
      <c r="G402" t="str">
        <f>HYPERLINK("https://www.wildberries.ru/catalog/16559824/detail.aspx?targetUrl=ES#Comments")</f>
        <v>https://www.wildberries.ru/catalog/16559824/detail.aspx?targetUrl=ES#Comments</v>
      </c>
      <c r="H402" t="s">
        <v>181</v>
      </c>
      <c r="I402" t="s">
        <v>1781</v>
      </c>
      <c r="J402" t="str">
        <f>HYPERLINK("https://www.wildberries.ru/profile/w7TDssOkw7PCu8KywrLCtMK4wrnCtMKxwrE=")</f>
        <v>https://www.wildberries.ru/profile/w7TDssOkw7PCu8KywrLCtMK4wrnCtMKxwrE=</v>
      </c>
      <c r="L402" t="s">
        <v>151</v>
      </c>
      <c r="N402" t="s">
        <v>534</v>
      </c>
      <c r="O402" t="s">
        <v>955</v>
      </c>
      <c r="P402" t="str">
        <f>HYPERLINK("https://www.wildberries.ru/catalog/12339622/detail.aspx")</f>
        <v>https://www.wildberries.ru/catalog/12339622/detail.aspx</v>
      </c>
      <c r="R402" t="s">
        <v>184</v>
      </c>
      <c r="S402" t="s">
        <v>125</v>
      </c>
      <c r="W402">
        <v>0</v>
      </c>
      <c r="X402">
        <v>0</v>
      </c>
      <c r="AH402">
        <v>5</v>
      </c>
      <c r="AM402" t="s">
        <v>129</v>
      </c>
      <c r="AN402" t="s">
        <v>130</v>
      </c>
      <c r="AP402" t="s">
        <v>41</v>
      </c>
      <c r="AT402" t="s">
        <v>45</v>
      </c>
      <c r="AZ402" t="s">
        <v>51</v>
      </c>
      <c r="BA402" t="s">
        <v>52</v>
      </c>
    </row>
    <row r="403" spans="1:69" x14ac:dyDescent="0.2">
      <c r="A403" t="s">
        <v>1237</v>
      </c>
      <c r="B403" t="s">
        <v>669</v>
      </c>
      <c r="C403" t="s">
        <v>1210</v>
      </c>
      <c r="D403" t="s">
        <v>476</v>
      </c>
      <c r="E403" t="s">
        <v>1782</v>
      </c>
      <c r="F403" t="s">
        <v>180</v>
      </c>
      <c r="G403" t="str">
        <f>HYPERLINK("https://www.ozon.ru/context/detail/id/261611432/#62859724")</f>
        <v>https://www.ozon.ru/context/detail/id/261611432/#62859724</v>
      </c>
      <c r="H403" t="s">
        <v>181</v>
      </c>
      <c r="I403" t="s">
        <v>1783</v>
      </c>
      <c r="J403" t="str">
        <f>HYPERLINK("https://www.ozon.ru/context/client_opinion/ClientGuid/6d5d99c0-ec8c-4aed-94bf-b260f0ff8bb6/")</f>
        <v>https://www.ozon.ru/context/client_opinion/ClientGuid/6d5d99c0-ec8c-4aed-94bf-b260f0ff8bb6/</v>
      </c>
      <c r="L403" t="s">
        <v>121</v>
      </c>
      <c r="N403" t="s">
        <v>183</v>
      </c>
      <c r="O403" t="s">
        <v>476</v>
      </c>
      <c r="P403" t="str">
        <f>HYPERLINK("https://www.ozon.ru/context/detail/id/261611432/")</f>
        <v>https://www.ozon.ru/context/detail/id/261611432/</v>
      </c>
      <c r="R403" t="s">
        <v>184</v>
      </c>
      <c r="S403" t="s">
        <v>125</v>
      </c>
      <c r="W403">
        <v>0</v>
      </c>
      <c r="X403">
        <v>0</v>
      </c>
      <c r="AH403">
        <v>5</v>
      </c>
      <c r="AM403" t="s">
        <v>129</v>
      </c>
      <c r="AN403" t="s">
        <v>130</v>
      </c>
      <c r="AP403" t="s">
        <v>41</v>
      </c>
      <c r="AT403" t="s">
        <v>45</v>
      </c>
      <c r="AZ403" t="s">
        <v>51</v>
      </c>
      <c r="BA403" t="s">
        <v>52</v>
      </c>
    </row>
    <row r="404" spans="1:69" x14ac:dyDescent="0.2">
      <c r="A404" t="s">
        <v>1237</v>
      </c>
      <c r="B404" t="s">
        <v>669</v>
      </c>
      <c r="C404" t="s">
        <v>1784</v>
      </c>
      <c r="D404" t="s">
        <v>898</v>
      </c>
      <c r="E404" t="s">
        <v>1785</v>
      </c>
      <c r="F404" t="s">
        <v>180</v>
      </c>
      <c r="G404" t="str">
        <f>HYPERLINK("https://4pda.to/forum/index.php?showtopic=987287&amp;st=440#entry108286565")</f>
        <v>https://4pda.to/forum/index.php?showtopic=987287&amp;st=440#entry108286565</v>
      </c>
      <c r="H404" t="s">
        <v>119</v>
      </c>
      <c r="I404" t="s">
        <v>1786</v>
      </c>
      <c r="J404" t="str">
        <f>HYPERLINK("https://4pda.to/forum/index.php?showuser=1754539")</f>
        <v>https://4pda.to/forum/index.php?showuser=1754539</v>
      </c>
      <c r="N404" t="s">
        <v>293</v>
      </c>
      <c r="O404" t="s">
        <v>901</v>
      </c>
      <c r="P404" t="str">
        <f>HYPERLINK("https://4pda.to/forum/index.php?showforum=876")</f>
        <v>https://4pda.to/forum/index.php?showforum=876</v>
      </c>
      <c r="R404" t="s">
        <v>295</v>
      </c>
      <c r="S404" t="s">
        <v>125</v>
      </c>
      <c r="AM404" t="s">
        <v>129</v>
      </c>
      <c r="AN404" t="s">
        <v>130</v>
      </c>
      <c r="AP404" t="s">
        <v>41</v>
      </c>
      <c r="AZ404" t="s">
        <v>51</v>
      </c>
      <c r="BA404" t="s">
        <v>52</v>
      </c>
      <c r="BM404" t="s">
        <v>64</v>
      </c>
      <c r="BQ404" t="s">
        <v>68</v>
      </c>
    </row>
    <row r="405" spans="1:69" x14ac:dyDescent="0.2">
      <c r="A405" t="s">
        <v>1237</v>
      </c>
      <c r="B405" t="s">
        <v>669</v>
      </c>
      <c r="C405" t="s">
        <v>1787</v>
      </c>
      <c r="D405" t="s">
        <v>907</v>
      </c>
      <c r="E405" t="s">
        <v>1788</v>
      </c>
      <c r="F405" t="s">
        <v>180</v>
      </c>
      <c r="G405" t="str">
        <f>HYPERLINK("https://telesputnik.ru/forum/viewtopic.php?f=36&amp;t=42382&amp;start=37840#p2482901")</f>
        <v>https://telesputnik.ru/forum/viewtopic.php?f=36&amp;t=42382&amp;start=37840#p2482901</v>
      </c>
      <c r="H405" t="s">
        <v>119</v>
      </c>
      <c r="I405" t="s">
        <v>1789</v>
      </c>
      <c r="J405" t="str">
        <f>HYPERLINK("https://telesputnik.ru/forum/memberlist.php?mode=viewprofile&amp;u=50240")</f>
        <v>https://telesputnik.ru/forum/memberlist.php?mode=viewprofile&amp;u=50240</v>
      </c>
      <c r="N405" t="s">
        <v>335</v>
      </c>
      <c r="O405" t="s">
        <v>909</v>
      </c>
      <c r="P405" t="str">
        <f>HYPERLINK("https://telesputnik.ru/forum/viewforum.php?f=36")</f>
        <v>https://telesputnik.ru/forum/viewforum.php?f=36</v>
      </c>
      <c r="R405" t="s">
        <v>295</v>
      </c>
      <c r="S405" t="s">
        <v>125</v>
      </c>
      <c r="AM405" t="s">
        <v>129</v>
      </c>
      <c r="AN405" t="s">
        <v>130</v>
      </c>
      <c r="AP405" t="s">
        <v>41</v>
      </c>
      <c r="AY405" t="s">
        <v>50</v>
      </c>
      <c r="AZ405" t="s">
        <v>51</v>
      </c>
      <c r="BA405" t="s">
        <v>52</v>
      </c>
    </row>
    <row r="406" spans="1:69" x14ac:dyDescent="0.2">
      <c r="A406" t="s">
        <v>1237</v>
      </c>
      <c r="B406" t="s">
        <v>1790</v>
      </c>
      <c r="C406" t="s">
        <v>1791</v>
      </c>
      <c r="D406" t="s">
        <v>204</v>
      </c>
      <c r="E406" t="s">
        <v>1792</v>
      </c>
      <c r="F406" t="s">
        <v>180</v>
      </c>
      <c r="G406" t="str">
        <f>HYPERLINK("https://play.google.com/store/apps/details?id=ru.iflex.android.a3colortv&amp;reviewId=gp:AOqpTOHopY_lRcEPq1LMf1lyWqfo6JTKHPydoCeDcuICgl_rYd1H0afm3eDVX4i3zW-yTWoJWKQWkf4-7gM2sw")</f>
        <v>https://play.google.com/store/apps/details?id=ru.iflex.android.a3colortv&amp;reviewId=gp:AOqpTOHopY_lRcEPq1LMf1lyWqfo6JTKHPydoCeDcuICgl_rYd1H0afm3eDVX4i3zW-yTWoJWKQWkf4-7gM2sw</v>
      </c>
      <c r="H406" t="s">
        <v>181</v>
      </c>
      <c r="I406" t="s">
        <v>1793</v>
      </c>
      <c r="J406" t="str">
        <f>HYPERLINK("https://plus.google.com/117306676620510038303")</f>
        <v>https://plus.google.com/117306676620510038303</v>
      </c>
      <c r="K406">
        <v>0</v>
      </c>
      <c r="L406" t="s">
        <v>121</v>
      </c>
      <c r="N406" t="s">
        <v>207</v>
      </c>
      <c r="O406" t="s">
        <v>204</v>
      </c>
      <c r="P406" t="str">
        <f>HYPERLINK("https://play.google.com/store/apps/details?id=ru.iflex.android.a3colortv&amp;hl=ru")</f>
        <v>https://play.google.com/store/apps/details?id=ru.iflex.android.a3colortv&amp;hl=ru</v>
      </c>
      <c r="R406" t="s">
        <v>184</v>
      </c>
      <c r="S406" t="s">
        <v>125</v>
      </c>
      <c r="W406">
        <v>0</v>
      </c>
      <c r="X406">
        <v>0</v>
      </c>
      <c r="AH406">
        <v>5</v>
      </c>
      <c r="AM406" t="s">
        <v>129</v>
      </c>
      <c r="AN406" t="s">
        <v>130</v>
      </c>
      <c r="AP406" t="s">
        <v>41</v>
      </c>
      <c r="AZ406" t="s">
        <v>51</v>
      </c>
      <c r="BA406" t="s">
        <v>52</v>
      </c>
      <c r="BQ406" t="s">
        <v>68</v>
      </c>
    </row>
    <row r="407" spans="1:69" x14ac:dyDescent="0.2">
      <c r="A407" t="s">
        <v>1237</v>
      </c>
      <c r="B407" t="s">
        <v>1794</v>
      </c>
      <c r="C407" t="s">
        <v>1795</v>
      </c>
      <c r="D407" t="s">
        <v>898</v>
      </c>
      <c r="E407" t="s">
        <v>1796</v>
      </c>
      <c r="F407" t="s">
        <v>180</v>
      </c>
      <c r="G407" t="str">
        <f>HYPERLINK("https://4pda.to/forum/index.php?showtopic=987287&amp;st=440#entry108286176")</f>
        <v>https://4pda.to/forum/index.php?showtopic=987287&amp;st=440#entry108286176</v>
      </c>
      <c r="H407" t="s">
        <v>228</v>
      </c>
      <c r="I407" t="s">
        <v>1594</v>
      </c>
      <c r="J407" t="str">
        <f>HYPERLINK("https://4pda.to/forum/index.php?showuser=3953320")</f>
        <v>https://4pda.to/forum/index.php?showuser=3953320</v>
      </c>
      <c r="N407" t="s">
        <v>293</v>
      </c>
      <c r="O407" t="s">
        <v>901</v>
      </c>
      <c r="P407" t="str">
        <f>HYPERLINK("https://4pda.to/forum/index.php?showforum=876")</f>
        <v>https://4pda.to/forum/index.php?showforum=876</v>
      </c>
      <c r="R407" t="s">
        <v>295</v>
      </c>
      <c r="S407" t="s">
        <v>125</v>
      </c>
      <c r="AM407" t="s">
        <v>129</v>
      </c>
      <c r="AN407" t="s">
        <v>130</v>
      </c>
      <c r="AP407" t="s">
        <v>41</v>
      </c>
      <c r="AT407" t="s">
        <v>45</v>
      </c>
      <c r="AZ407" t="s">
        <v>51</v>
      </c>
      <c r="BA407" t="s">
        <v>52</v>
      </c>
      <c r="BL407" t="s">
        <v>63</v>
      </c>
      <c r="BM407" t="s">
        <v>64</v>
      </c>
      <c r="BQ407" t="s">
        <v>68</v>
      </c>
    </row>
    <row r="408" spans="1:69" x14ac:dyDescent="0.2">
      <c r="A408" t="s">
        <v>1237</v>
      </c>
      <c r="B408" t="s">
        <v>1797</v>
      </c>
      <c r="C408" t="s">
        <v>1791</v>
      </c>
      <c r="D408" t="s">
        <v>204</v>
      </c>
      <c r="E408" t="s">
        <v>1798</v>
      </c>
      <c r="F408" t="s">
        <v>180</v>
      </c>
      <c r="G408" t="str">
        <f>HYPERLINK("https://play.google.com/store/apps/details?id=ru.iflex.android.a3colortv&amp;reviewId=gp:AOqpTOEYKPMyE47w5GYC1XSfcSg5YgIdbRIFSFNJv0Oz40gYLFCONo3Of6VMjwMjcdbOKz2CO8z5vZSpE-0hxg")</f>
        <v>https://play.google.com/store/apps/details?id=ru.iflex.android.a3colortv&amp;reviewId=gp:AOqpTOEYKPMyE47w5GYC1XSfcSg5YgIdbRIFSFNJv0Oz40gYLFCONo3Of6VMjwMjcdbOKz2CO8z5vZSpE-0hxg</v>
      </c>
      <c r="H408" t="s">
        <v>181</v>
      </c>
      <c r="I408" t="s">
        <v>1799</v>
      </c>
      <c r="J408" t="str">
        <f>HYPERLINK("https://plus.google.com/111901999291741888867")</f>
        <v>https://plus.google.com/111901999291741888867</v>
      </c>
      <c r="L408" t="s">
        <v>121</v>
      </c>
      <c r="N408" t="s">
        <v>207</v>
      </c>
      <c r="O408" t="s">
        <v>204</v>
      </c>
      <c r="P408" t="str">
        <f>HYPERLINK("https://play.google.com/store/apps/details?id=ru.iflex.android.a3colortv&amp;hl=ru")</f>
        <v>https://play.google.com/store/apps/details?id=ru.iflex.android.a3colortv&amp;hl=ru</v>
      </c>
      <c r="R408" t="s">
        <v>184</v>
      </c>
      <c r="S408" t="s">
        <v>125</v>
      </c>
      <c r="W408">
        <v>0</v>
      </c>
      <c r="X408">
        <v>0</v>
      </c>
      <c r="AH408">
        <v>5</v>
      </c>
      <c r="AM408" t="s">
        <v>129</v>
      </c>
      <c r="AN408" t="s">
        <v>130</v>
      </c>
      <c r="AP408" t="s">
        <v>41</v>
      </c>
      <c r="AY408" t="s">
        <v>50</v>
      </c>
      <c r="AZ408" t="s">
        <v>51</v>
      </c>
      <c r="BA408" t="s">
        <v>52</v>
      </c>
      <c r="BP408" t="s">
        <v>67</v>
      </c>
      <c r="BQ408" t="s">
        <v>68</v>
      </c>
    </row>
    <row r="409" spans="1:69" x14ac:dyDescent="0.2">
      <c r="A409" t="s">
        <v>1237</v>
      </c>
      <c r="B409" t="s">
        <v>1800</v>
      </c>
      <c r="C409" t="s">
        <v>1801</v>
      </c>
      <c r="D409" t="s">
        <v>1802</v>
      </c>
      <c r="E409" t="s">
        <v>1803</v>
      </c>
      <c r="F409" t="s">
        <v>180</v>
      </c>
      <c r="G409" t="str">
        <f>HYPERLINK("https://otvet.mail.ru/answer/1994677278")</f>
        <v>https://otvet.mail.ru/answer/1994677278</v>
      </c>
      <c r="H409" t="s">
        <v>119</v>
      </c>
      <c r="I409" t="s">
        <v>1804</v>
      </c>
      <c r="J409" t="str">
        <f>HYPERLINK("http://otvet.mail.ru/profile/id15279397")</f>
        <v>http://otvet.mail.ru/profile/id15279397</v>
      </c>
      <c r="L409" t="s">
        <v>121</v>
      </c>
      <c r="N409" t="s">
        <v>690</v>
      </c>
      <c r="O409" t="s">
        <v>1805</v>
      </c>
      <c r="P409" t="str">
        <f>HYPERLINK("https://otvet.mail.ru/community/")</f>
        <v>https://otvet.mail.ru/community/</v>
      </c>
      <c r="R409" t="s">
        <v>295</v>
      </c>
      <c r="S409" t="s">
        <v>125</v>
      </c>
      <c r="AM409" t="s">
        <v>129</v>
      </c>
      <c r="AN409" t="s">
        <v>130</v>
      </c>
      <c r="AP409" t="s">
        <v>41</v>
      </c>
      <c r="AY409" t="s">
        <v>50</v>
      </c>
      <c r="AZ409" t="s">
        <v>51</v>
      </c>
      <c r="BA409" t="s">
        <v>52</v>
      </c>
    </row>
    <row r="410" spans="1:69" x14ac:dyDescent="0.2">
      <c r="A410" t="s">
        <v>1237</v>
      </c>
      <c r="B410" t="s">
        <v>1806</v>
      </c>
      <c r="C410" t="s">
        <v>1608</v>
      </c>
      <c r="D410" t="s">
        <v>1807</v>
      </c>
      <c r="E410" t="s">
        <v>1808</v>
      </c>
      <c r="F410" t="s">
        <v>180</v>
      </c>
      <c r="G410" t="str">
        <f>HYPERLINK("https://4pda.to/forum/index.php?showtopic=208085&amp;st=110540#entry108285550")</f>
        <v>https://4pda.to/forum/index.php?showtopic=208085&amp;st=110540#entry108285550</v>
      </c>
      <c r="H410" t="s">
        <v>119</v>
      </c>
      <c r="I410" t="s">
        <v>1809</v>
      </c>
      <c r="J410" t="str">
        <f>HYPERLINK("https://4pda.to/forum/index.php?showuser=4330687")</f>
        <v>https://4pda.to/forum/index.php?showuser=4330687</v>
      </c>
      <c r="N410" t="s">
        <v>293</v>
      </c>
      <c r="O410" t="s">
        <v>1526</v>
      </c>
      <c r="P410" t="str">
        <f>HYPERLINK("https://4pda.to/forum/index.php?showforum=98")</f>
        <v>https://4pda.to/forum/index.php?showforum=98</v>
      </c>
      <c r="R410" t="s">
        <v>295</v>
      </c>
      <c r="S410" t="s">
        <v>125</v>
      </c>
      <c r="AM410" t="s">
        <v>129</v>
      </c>
      <c r="AN410" t="s">
        <v>130</v>
      </c>
      <c r="AP410" t="s">
        <v>41</v>
      </c>
      <c r="AT410" t="s">
        <v>45</v>
      </c>
      <c r="AZ410" t="s">
        <v>51</v>
      </c>
      <c r="BA410" t="s">
        <v>52</v>
      </c>
      <c r="BM410" t="s">
        <v>64</v>
      </c>
      <c r="BO410" t="s">
        <v>66</v>
      </c>
    </row>
    <row r="411" spans="1:69" x14ac:dyDescent="0.2">
      <c r="A411" t="s">
        <v>1237</v>
      </c>
      <c r="B411" t="s">
        <v>1810</v>
      </c>
      <c r="C411" t="s">
        <v>1811</v>
      </c>
      <c r="D411" t="s">
        <v>1448</v>
      </c>
      <c r="E411" t="s">
        <v>1812</v>
      </c>
      <c r="F411" t="s">
        <v>118</v>
      </c>
      <c r="G411" t="str">
        <f>HYPERLINK("https://vk.com/wall-59473612_703190?reply=703258")</f>
        <v>https://vk.com/wall-59473612_703190?reply=703258</v>
      </c>
      <c r="H411" t="s">
        <v>181</v>
      </c>
      <c r="I411" t="s">
        <v>1813</v>
      </c>
      <c r="J411" t="str">
        <f>HYPERLINK("http://vk.com/id48366542")</f>
        <v>http://vk.com/id48366542</v>
      </c>
      <c r="K411">
        <v>1100</v>
      </c>
      <c r="L411" t="s">
        <v>121</v>
      </c>
      <c r="N411" t="s">
        <v>122</v>
      </c>
      <c r="O411" t="s">
        <v>1451</v>
      </c>
      <c r="P411" t="str">
        <f>HYPERLINK("http://vk.com/club59473612")</f>
        <v>http://vk.com/club59473612</v>
      </c>
      <c r="Q411">
        <v>39490</v>
      </c>
      <c r="R411" t="s">
        <v>124</v>
      </c>
      <c r="S411" t="s">
        <v>125</v>
      </c>
      <c r="T411" t="s">
        <v>1027</v>
      </c>
      <c r="U411" t="s">
        <v>1028</v>
      </c>
      <c r="AM411" t="s">
        <v>129</v>
      </c>
      <c r="AN411" t="s">
        <v>130</v>
      </c>
      <c r="AP411" t="s">
        <v>41</v>
      </c>
      <c r="AU411" t="s">
        <v>46</v>
      </c>
      <c r="AY411" t="s">
        <v>50</v>
      </c>
      <c r="AZ411" t="s">
        <v>51</v>
      </c>
      <c r="BA411" t="s">
        <v>52</v>
      </c>
    </row>
    <row r="412" spans="1:69" x14ac:dyDescent="0.2">
      <c r="A412" t="s">
        <v>1237</v>
      </c>
      <c r="B412" t="s">
        <v>1814</v>
      </c>
      <c r="C412" t="s">
        <v>1815</v>
      </c>
      <c r="D412" t="s">
        <v>1816</v>
      </c>
      <c r="E412" t="s">
        <v>1817</v>
      </c>
      <c r="F412" t="s">
        <v>118</v>
      </c>
      <c r="G412" t="str">
        <f>HYPERLINK("https://vk.com/wall-22935147_368687?reply=368698")</f>
        <v>https://vk.com/wall-22935147_368687?reply=368698</v>
      </c>
      <c r="H412" t="s">
        <v>119</v>
      </c>
      <c r="I412" t="s">
        <v>1818</v>
      </c>
      <c r="J412" t="str">
        <f>HYPERLINK("http://vk.com/id199511638")</f>
        <v>http://vk.com/id199511638</v>
      </c>
      <c r="K412">
        <v>176</v>
      </c>
      <c r="L412" t="s">
        <v>121</v>
      </c>
      <c r="M412">
        <v>45</v>
      </c>
      <c r="N412" t="s">
        <v>122</v>
      </c>
      <c r="O412" t="s">
        <v>1093</v>
      </c>
      <c r="P412" t="str">
        <f>HYPERLINK("http://vk.com/club22935147")</f>
        <v>http://vk.com/club22935147</v>
      </c>
      <c r="Q412">
        <v>8943</v>
      </c>
      <c r="R412" t="s">
        <v>124</v>
      </c>
      <c r="S412" t="s">
        <v>125</v>
      </c>
      <c r="T412" t="s">
        <v>1819</v>
      </c>
      <c r="U412" t="s">
        <v>1820</v>
      </c>
      <c r="W412">
        <v>1</v>
      </c>
      <c r="X412">
        <v>1</v>
      </c>
      <c r="AM412" t="s">
        <v>129</v>
      </c>
      <c r="AN412" t="s">
        <v>130</v>
      </c>
      <c r="AP412" t="s">
        <v>41</v>
      </c>
      <c r="AT412" t="s">
        <v>45</v>
      </c>
      <c r="AW412" t="s">
        <v>48</v>
      </c>
      <c r="AZ412" t="s">
        <v>51</v>
      </c>
      <c r="BA412" t="s">
        <v>52</v>
      </c>
      <c r="BL412" t="s">
        <v>63</v>
      </c>
      <c r="BM412" t="s">
        <v>64</v>
      </c>
    </row>
    <row r="413" spans="1:69" x14ac:dyDescent="0.2">
      <c r="A413" t="s">
        <v>1237</v>
      </c>
      <c r="B413" t="s">
        <v>700</v>
      </c>
      <c r="C413" t="s">
        <v>1821</v>
      </c>
      <c r="D413" t="s">
        <v>1822</v>
      </c>
      <c r="E413" t="s">
        <v>1823</v>
      </c>
      <c r="F413" t="s">
        <v>118</v>
      </c>
      <c r="G413" t="str">
        <f>HYPERLINK("https://vk.com/wall-61100487_219522?reply=219577")</f>
        <v>https://vk.com/wall-61100487_219522?reply=219577</v>
      </c>
      <c r="H413" t="s">
        <v>181</v>
      </c>
      <c r="I413" t="s">
        <v>1824</v>
      </c>
      <c r="J413" t="str">
        <f>HYPERLINK("http://vk.com/id89928194")</f>
        <v>http://vk.com/id89928194</v>
      </c>
      <c r="K413">
        <v>963</v>
      </c>
      <c r="L413" t="s">
        <v>121</v>
      </c>
      <c r="M413">
        <v>28</v>
      </c>
      <c r="N413" t="s">
        <v>122</v>
      </c>
      <c r="O413" t="s">
        <v>1825</v>
      </c>
      <c r="P413" t="str">
        <f>HYPERLINK("http://vk.com/club61100487")</f>
        <v>http://vk.com/club61100487</v>
      </c>
      <c r="Q413">
        <v>13290</v>
      </c>
      <c r="R413" t="s">
        <v>124</v>
      </c>
      <c r="S413" t="s">
        <v>125</v>
      </c>
      <c r="T413" t="s">
        <v>487</v>
      </c>
      <c r="U413" t="s">
        <v>1826</v>
      </c>
      <c r="AM413" t="s">
        <v>129</v>
      </c>
      <c r="AN413" t="s">
        <v>130</v>
      </c>
      <c r="AP413" t="s">
        <v>41</v>
      </c>
      <c r="AZ413" t="s">
        <v>51</v>
      </c>
      <c r="BA413" t="s">
        <v>52</v>
      </c>
    </row>
    <row r="414" spans="1:69" x14ac:dyDescent="0.2">
      <c r="A414" t="s">
        <v>1237</v>
      </c>
      <c r="B414" t="s">
        <v>1827</v>
      </c>
      <c r="C414" t="s">
        <v>1828</v>
      </c>
      <c r="D414" t="s">
        <v>1829</v>
      </c>
      <c r="E414" t="s">
        <v>1830</v>
      </c>
      <c r="F414" t="s">
        <v>118</v>
      </c>
      <c r="G414" t="str">
        <f>HYPERLINK("https://vk.com/wall-27863223_292322?w=wall-27863223_292322_r292427")</f>
        <v>https://vk.com/wall-27863223_292322?w=wall-27863223_292322_r292427</v>
      </c>
      <c r="H414" t="s">
        <v>119</v>
      </c>
      <c r="I414" t="s">
        <v>1831</v>
      </c>
      <c r="J414" t="str">
        <f>HYPERLINK("http://vk.com/id71254667")</f>
        <v>http://vk.com/id71254667</v>
      </c>
      <c r="K414">
        <v>263</v>
      </c>
      <c r="L414" t="s">
        <v>121</v>
      </c>
      <c r="N414" t="s">
        <v>122</v>
      </c>
      <c r="O414" t="s">
        <v>175</v>
      </c>
      <c r="P414" t="str">
        <f>HYPERLINK("http://vk.com/club27863223")</f>
        <v>http://vk.com/club27863223</v>
      </c>
      <c r="Q414">
        <v>134698</v>
      </c>
      <c r="R414" t="s">
        <v>124</v>
      </c>
      <c r="S414" t="s">
        <v>125</v>
      </c>
      <c r="T414" t="s">
        <v>1832</v>
      </c>
      <c r="U414" t="s">
        <v>1833</v>
      </c>
      <c r="W414">
        <v>0</v>
      </c>
      <c r="X414">
        <v>0</v>
      </c>
      <c r="AM414" t="s">
        <v>129</v>
      </c>
      <c r="AN414" t="s">
        <v>130</v>
      </c>
      <c r="AP414" t="s">
        <v>41</v>
      </c>
      <c r="AU414" t="s">
        <v>46</v>
      </c>
      <c r="AZ414" t="s">
        <v>51</v>
      </c>
      <c r="BA414" t="s">
        <v>52</v>
      </c>
    </row>
    <row r="415" spans="1:69" x14ac:dyDescent="0.2">
      <c r="A415" t="s">
        <v>1237</v>
      </c>
      <c r="B415" t="s">
        <v>1834</v>
      </c>
      <c r="C415" t="s">
        <v>1835</v>
      </c>
      <c r="D415" t="s">
        <v>1836</v>
      </c>
      <c r="E415" t="s">
        <v>1837</v>
      </c>
      <c r="F415" t="s">
        <v>118</v>
      </c>
      <c r="G415" t="str">
        <f>HYPERLINK("https://www.youtube.com/watch?v=kW9nw3SaVCY&amp;lc=UgzW0fXAOl2J3-tCHQ14AaABAg.9QMJ8FGwl-m9QMKsSgAYzi")</f>
        <v>https://www.youtube.com/watch?v=kW9nw3SaVCY&amp;lc=UgzW0fXAOl2J3-tCHQ14AaABAg.9QMJ8FGwl-m9QMKsSgAYzi</v>
      </c>
      <c r="H415" t="s">
        <v>119</v>
      </c>
      <c r="I415" t="s">
        <v>1838</v>
      </c>
      <c r="J415" t="str">
        <f>HYPERLINK("https://www.youtube.com/channel/UCEioXjRGFLTTJUnyqliPTjQ")</f>
        <v>https://www.youtube.com/channel/UCEioXjRGFLTTJUnyqliPTjQ</v>
      </c>
      <c r="K415">
        <v>102</v>
      </c>
      <c r="N415" t="s">
        <v>248</v>
      </c>
      <c r="O415" t="s">
        <v>1838</v>
      </c>
      <c r="P415" t="str">
        <f>HYPERLINK("https://www.youtube.com/channel/UCEioXjRGFLTTJUnyqliPTjQ")</f>
        <v>https://www.youtube.com/channel/UCEioXjRGFLTTJUnyqliPTjQ</v>
      </c>
      <c r="Q415">
        <v>102</v>
      </c>
      <c r="R415" t="s">
        <v>124</v>
      </c>
      <c r="S415" t="s">
        <v>125</v>
      </c>
      <c r="W415">
        <v>0</v>
      </c>
      <c r="X415">
        <v>0</v>
      </c>
      <c r="AM415" t="s">
        <v>129</v>
      </c>
      <c r="AN415" t="s">
        <v>130</v>
      </c>
      <c r="AP415" t="s">
        <v>41</v>
      </c>
      <c r="AT415" t="s">
        <v>45</v>
      </c>
      <c r="AZ415" t="s">
        <v>51</v>
      </c>
      <c r="BA415" t="s">
        <v>52</v>
      </c>
      <c r="BL415" t="s">
        <v>63</v>
      </c>
    </row>
    <row r="416" spans="1:69" x14ac:dyDescent="0.2">
      <c r="A416" t="s">
        <v>1237</v>
      </c>
      <c r="B416" t="s">
        <v>1839</v>
      </c>
      <c r="C416" t="s">
        <v>1835</v>
      </c>
      <c r="D416" t="s">
        <v>1836</v>
      </c>
      <c r="E416" t="s">
        <v>1840</v>
      </c>
      <c r="F416" t="s">
        <v>118</v>
      </c>
      <c r="G416" t="str">
        <f>HYPERLINK("https://www.youtube.com/watch?v=kW9nw3SaVCY&amp;lc=UgzW0fXAOl2J3-tCHQ14AaABAg")</f>
        <v>https://www.youtube.com/watch?v=kW9nw3SaVCY&amp;lc=UgzW0fXAOl2J3-tCHQ14AaABAg</v>
      </c>
      <c r="H416" t="s">
        <v>119</v>
      </c>
      <c r="I416" t="s">
        <v>1841</v>
      </c>
      <c r="J416" t="str">
        <f>HYPERLINK("https://www.youtube.com/channel/UCyaxfZMrc3FqBPCpQNwj0Lw")</f>
        <v>https://www.youtube.com/channel/UCyaxfZMrc3FqBPCpQNwj0Lw</v>
      </c>
      <c r="K416">
        <v>3</v>
      </c>
      <c r="N416" t="s">
        <v>248</v>
      </c>
      <c r="O416" t="s">
        <v>1838</v>
      </c>
      <c r="P416" t="str">
        <f>HYPERLINK("https://www.youtube.com/channel/UCEioXjRGFLTTJUnyqliPTjQ")</f>
        <v>https://www.youtube.com/channel/UCEioXjRGFLTTJUnyqliPTjQ</v>
      </c>
      <c r="Q416">
        <v>102</v>
      </c>
      <c r="R416" t="s">
        <v>124</v>
      </c>
      <c r="S416" t="s">
        <v>125</v>
      </c>
      <c r="W416">
        <v>0</v>
      </c>
      <c r="X416">
        <v>0</v>
      </c>
      <c r="AE416">
        <v>2</v>
      </c>
      <c r="AM416" t="s">
        <v>129</v>
      </c>
      <c r="AN416" t="s">
        <v>130</v>
      </c>
      <c r="AP416" t="s">
        <v>41</v>
      </c>
      <c r="AT416" t="s">
        <v>45</v>
      </c>
      <c r="AZ416" t="s">
        <v>51</v>
      </c>
      <c r="BA416" t="s">
        <v>52</v>
      </c>
    </row>
    <row r="417" spans="1:69" x14ac:dyDescent="0.2">
      <c r="A417" t="s">
        <v>1237</v>
      </c>
      <c r="B417" t="s">
        <v>1842</v>
      </c>
      <c r="C417" t="s">
        <v>1843</v>
      </c>
      <c r="D417" t="s">
        <v>1444</v>
      </c>
      <c r="E417" t="s">
        <v>1844</v>
      </c>
      <c r="F417" t="s">
        <v>118</v>
      </c>
      <c r="G417" t="str">
        <f>HYPERLINK("https://vk.com/wall-27863223_292411?reply=292425&amp;thread=292412")</f>
        <v>https://vk.com/wall-27863223_292411?reply=292425&amp;thread=292412</v>
      </c>
      <c r="H417" t="s">
        <v>119</v>
      </c>
      <c r="I417" t="s">
        <v>1845</v>
      </c>
      <c r="J417" t="str">
        <f>HYPERLINK("http://vk.com/id30493165")</f>
        <v>http://vk.com/id30493165</v>
      </c>
      <c r="K417">
        <v>75</v>
      </c>
      <c r="L417" t="s">
        <v>121</v>
      </c>
      <c r="M417">
        <v>29</v>
      </c>
      <c r="N417" t="s">
        <v>122</v>
      </c>
      <c r="O417" t="s">
        <v>175</v>
      </c>
      <c r="P417" t="str">
        <f>HYPERLINK("http://vk.com/club27863223")</f>
        <v>http://vk.com/club27863223</v>
      </c>
      <c r="Q417">
        <v>134698</v>
      </c>
      <c r="R417" t="s">
        <v>124</v>
      </c>
      <c r="S417" t="s">
        <v>125</v>
      </c>
      <c r="T417" t="s">
        <v>169</v>
      </c>
      <c r="U417" t="s">
        <v>169</v>
      </c>
      <c r="AM417" t="s">
        <v>129</v>
      </c>
      <c r="AN417" t="s">
        <v>130</v>
      </c>
      <c r="AP417" t="s">
        <v>41</v>
      </c>
      <c r="AU417" t="s">
        <v>46</v>
      </c>
      <c r="AY417" t="s">
        <v>50</v>
      </c>
      <c r="BA417" t="s">
        <v>52</v>
      </c>
      <c r="BE417" t="s">
        <v>56</v>
      </c>
    </row>
    <row r="418" spans="1:69" x14ac:dyDescent="0.2">
      <c r="A418" t="s">
        <v>1846</v>
      </c>
      <c r="B418" t="s">
        <v>1847</v>
      </c>
      <c r="C418" t="s">
        <v>1848</v>
      </c>
      <c r="D418" t="s">
        <v>175</v>
      </c>
      <c r="E418" t="s">
        <v>1849</v>
      </c>
      <c r="F418" t="s">
        <v>180</v>
      </c>
      <c r="G418" t="str">
        <f>HYPERLINK("https://yandex.ru/maps/org/50111583107#gK3GNaDrLbqSlzClwRsJTIEy9zjkc-HQ")</f>
        <v>https://yandex.ru/maps/org/50111583107#gK3GNaDrLbqSlzClwRsJTIEy9zjkc-HQ</v>
      </c>
      <c r="H418" t="s">
        <v>181</v>
      </c>
      <c r="I418" t="s">
        <v>1850</v>
      </c>
      <c r="J418" t="str">
        <f>HYPERLINK("https://yandex.ru/user/1040xjfep6p7b0u1g6aaybdnz0")</f>
        <v>https://yandex.ru/user/1040xjfep6p7b0u1g6aaybdnz0</v>
      </c>
      <c r="L418" t="s">
        <v>121</v>
      </c>
      <c r="N418" t="s">
        <v>236</v>
      </c>
      <c r="O418" t="s">
        <v>175</v>
      </c>
      <c r="P418" t="str">
        <f>HYPERLINK("https://yandex.ru/maps/org/50111583107")</f>
        <v>https://yandex.ru/maps/org/50111583107</v>
      </c>
      <c r="R418" t="s">
        <v>184</v>
      </c>
      <c r="S418" t="s">
        <v>125</v>
      </c>
      <c r="T418" t="s">
        <v>153</v>
      </c>
      <c r="U418" t="s">
        <v>1851</v>
      </c>
      <c r="W418">
        <v>0</v>
      </c>
      <c r="X418">
        <v>0</v>
      </c>
      <c r="AH418">
        <v>5</v>
      </c>
      <c r="AM418" t="s">
        <v>129</v>
      </c>
      <c r="AN418" t="s">
        <v>130</v>
      </c>
      <c r="AP418" t="s">
        <v>41</v>
      </c>
      <c r="AX418" t="s">
        <v>49</v>
      </c>
      <c r="AZ418" t="s">
        <v>51</v>
      </c>
      <c r="BA418" t="s">
        <v>52</v>
      </c>
    </row>
    <row r="419" spans="1:69" x14ac:dyDescent="0.2">
      <c r="A419" t="s">
        <v>1846</v>
      </c>
      <c r="B419" t="s">
        <v>1852</v>
      </c>
      <c r="C419" t="s">
        <v>1853</v>
      </c>
      <c r="D419" t="s">
        <v>1444</v>
      </c>
      <c r="E419" t="s">
        <v>1854</v>
      </c>
      <c r="F419" t="s">
        <v>118</v>
      </c>
      <c r="G419" t="str">
        <f>HYPERLINK("https://vk.com/wall-27863223_292411?w=wall-27863223_292411_r292424")</f>
        <v>https://vk.com/wall-27863223_292411?w=wall-27863223_292411_r292424</v>
      </c>
      <c r="H419" t="s">
        <v>119</v>
      </c>
      <c r="I419" t="s">
        <v>1855</v>
      </c>
      <c r="J419" t="str">
        <f>HYPERLINK("http://vk.com/id61524401")</f>
        <v>http://vk.com/id61524401</v>
      </c>
      <c r="K419">
        <v>153</v>
      </c>
      <c r="L419" t="s">
        <v>121</v>
      </c>
      <c r="N419" t="s">
        <v>122</v>
      </c>
      <c r="O419" t="s">
        <v>175</v>
      </c>
      <c r="P419" t="str">
        <f>HYPERLINK("http://vk.com/club27863223")</f>
        <v>http://vk.com/club27863223</v>
      </c>
      <c r="Q419">
        <v>134698</v>
      </c>
      <c r="R419" t="s">
        <v>124</v>
      </c>
      <c r="S419" t="s">
        <v>1856</v>
      </c>
      <c r="T419" t="s">
        <v>1857</v>
      </c>
      <c r="U419" t="s">
        <v>1858</v>
      </c>
      <c r="W419">
        <v>0</v>
      </c>
      <c r="X419">
        <v>0</v>
      </c>
      <c r="AM419" t="s">
        <v>129</v>
      </c>
      <c r="AN419" t="s">
        <v>130</v>
      </c>
      <c r="AP419" t="s">
        <v>41</v>
      </c>
      <c r="AY419" t="s">
        <v>50</v>
      </c>
      <c r="AZ419" t="s">
        <v>51</v>
      </c>
      <c r="BA419" t="s">
        <v>52</v>
      </c>
    </row>
    <row r="420" spans="1:69" x14ac:dyDescent="0.2">
      <c r="A420" t="s">
        <v>1846</v>
      </c>
      <c r="B420" t="s">
        <v>1859</v>
      </c>
      <c r="C420" t="s">
        <v>1853</v>
      </c>
      <c r="D420" t="s">
        <v>1444</v>
      </c>
      <c r="E420" t="s">
        <v>1860</v>
      </c>
      <c r="F420" t="s">
        <v>118</v>
      </c>
      <c r="G420" t="str">
        <f>HYPERLINK("https://vk.com/wall-27863223_292411?w=wall-27863223_292411_r292422")</f>
        <v>https://vk.com/wall-27863223_292411?w=wall-27863223_292411_r292422</v>
      </c>
      <c r="H420" t="s">
        <v>119</v>
      </c>
      <c r="I420" t="s">
        <v>1855</v>
      </c>
      <c r="J420" t="str">
        <f>HYPERLINK("http://vk.com/id61524401")</f>
        <v>http://vk.com/id61524401</v>
      </c>
      <c r="K420">
        <v>153</v>
      </c>
      <c r="L420" t="s">
        <v>121</v>
      </c>
      <c r="N420" t="s">
        <v>122</v>
      </c>
      <c r="O420" t="s">
        <v>175</v>
      </c>
      <c r="P420" t="str">
        <f>HYPERLINK("http://vk.com/club27863223")</f>
        <v>http://vk.com/club27863223</v>
      </c>
      <c r="Q420">
        <v>134698</v>
      </c>
      <c r="R420" t="s">
        <v>124</v>
      </c>
      <c r="S420" t="s">
        <v>1856</v>
      </c>
      <c r="T420" t="s">
        <v>1857</v>
      </c>
      <c r="U420" t="s">
        <v>1858</v>
      </c>
      <c r="W420">
        <v>0</v>
      </c>
      <c r="X420">
        <v>0</v>
      </c>
      <c r="AM420" t="s">
        <v>129</v>
      </c>
      <c r="AN420" t="s">
        <v>130</v>
      </c>
      <c r="AP420" t="s">
        <v>41</v>
      </c>
      <c r="AU420" t="s">
        <v>46</v>
      </c>
      <c r="AZ420" t="s">
        <v>51</v>
      </c>
      <c r="BA420" t="s">
        <v>52</v>
      </c>
    </row>
    <row r="421" spans="1:69" x14ac:dyDescent="0.2">
      <c r="A421" t="s">
        <v>1846</v>
      </c>
      <c r="B421" t="s">
        <v>1861</v>
      </c>
      <c r="C421" t="s">
        <v>1862</v>
      </c>
      <c r="D421" t="s">
        <v>1074</v>
      </c>
      <c r="E421" t="s">
        <v>1863</v>
      </c>
      <c r="F421" t="s">
        <v>118</v>
      </c>
      <c r="G421" t="str">
        <f>HYPERLINK("https://vk.com/wall-80149142_348548?reply=349195&amp;thread=348594")</f>
        <v>https://vk.com/wall-80149142_348548?reply=349195&amp;thread=348594</v>
      </c>
      <c r="H421" t="s">
        <v>228</v>
      </c>
      <c r="I421" t="s">
        <v>1864</v>
      </c>
      <c r="J421" t="str">
        <f>HYPERLINK("http://vk.com/id544381932")</f>
        <v>http://vk.com/id544381932</v>
      </c>
      <c r="K421">
        <v>20</v>
      </c>
      <c r="L421" t="s">
        <v>121</v>
      </c>
      <c r="M421">
        <v>46</v>
      </c>
      <c r="N421" t="s">
        <v>122</v>
      </c>
      <c r="O421" t="s">
        <v>1076</v>
      </c>
      <c r="P421" t="str">
        <f>HYPERLINK("http://vk.com/club80149142")</f>
        <v>http://vk.com/club80149142</v>
      </c>
      <c r="Q421">
        <v>59466</v>
      </c>
      <c r="R421" t="s">
        <v>124</v>
      </c>
      <c r="S421" t="s">
        <v>125</v>
      </c>
      <c r="T421" t="s">
        <v>667</v>
      </c>
      <c r="U421" t="s">
        <v>668</v>
      </c>
      <c r="AM421" t="s">
        <v>129</v>
      </c>
      <c r="AN421" t="s">
        <v>130</v>
      </c>
      <c r="AP421" t="s">
        <v>41</v>
      </c>
      <c r="AY421" t="s">
        <v>50</v>
      </c>
      <c r="AZ421" t="s">
        <v>51</v>
      </c>
      <c r="BA421" t="s">
        <v>52</v>
      </c>
      <c r="BL421" t="s">
        <v>63</v>
      </c>
    </row>
    <row r="422" spans="1:69" x14ac:dyDescent="0.2">
      <c r="A422" t="s">
        <v>1846</v>
      </c>
      <c r="B422" t="s">
        <v>761</v>
      </c>
      <c r="C422" t="s">
        <v>1865</v>
      </c>
      <c r="D422" t="s">
        <v>1866</v>
      </c>
      <c r="E422" t="s">
        <v>1867</v>
      </c>
      <c r="F422" t="s">
        <v>118</v>
      </c>
      <c r="G422" t="str">
        <f>HYPERLINK("https://vk.com/wall-59463040_1474139?reply=1474251")</f>
        <v>https://vk.com/wall-59463040_1474139?reply=1474251</v>
      </c>
      <c r="H422" t="s">
        <v>119</v>
      </c>
      <c r="I422" t="s">
        <v>1868</v>
      </c>
      <c r="J422" t="str">
        <f>HYPERLINK("http://vk.com/id6630836")</f>
        <v>http://vk.com/id6630836</v>
      </c>
      <c r="K422">
        <v>941</v>
      </c>
      <c r="L422" t="s">
        <v>121</v>
      </c>
      <c r="N422" t="s">
        <v>122</v>
      </c>
      <c r="O422" t="s">
        <v>1869</v>
      </c>
      <c r="P422" t="str">
        <f>HYPERLINK("http://vk.com/club59463040")</f>
        <v>http://vk.com/club59463040</v>
      </c>
      <c r="Q422">
        <v>54138</v>
      </c>
      <c r="R422" t="s">
        <v>124</v>
      </c>
      <c r="S422" t="s">
        <v>125</v>
      </c>
      <c r="T422" t="s">
        <v>1027</v>
      </c>
      <c r="U422" t="s">
        <v>1870</v>
      </c>
      <c r="AM422" t="s">
        <v>129</v>
      </c>
      <c r="AN422" t="s">
        <v>130</v>
      </c>
      <c r="AP422" t="s">
        <v>41</v>
      </c>
      <c r="AZ422" t="s">
        <v>51</v>
      </c>
      <c r="BA422" t="s">
        <v>52</v>
      </c>
    </row>
    <row r="423" spans="1:69" x14ac:dyDescent="0.2">
      <c r="A423" t="s">
        <v>1846</v>
      </c>
      <c r="B423" t="s">
        <v>1871</v>
      </c>
      <c r="C423" t="s">
        <v>1872</v>
      </c>
      <c r="D423" t="s">
        <v>1816</v>
      </c>
      <c r="E423" t="s">
        <v>1873</v>
      </c>
      <c r="F423" t="s">
        <v>118</v>
      </c>
      <c r="G423" t="str">
        <f>HYPERLINK("https://vk.com/wall-22935147_368687?reply=368697")</f>
        <v>https://vk.com/wall-22935147_368687?reply=368697</v>
      </c>
      <c r="H423" t="s">
        <v>119</v>
      </c>
      <c r="I423" t="s">
        <v>1580</v>
      </c>
      <c r="J423" t="str">
        <f>HYPERLINK("http://vk.com/id412163002")</f>
        <v>http://vk.com/id412163002</v>
      </c>
      <c r="K423">
        <v>38</v>
      </c>
      <c r="L423" t="s">
        <v>121</v>
      </c>
      <c r="N423" t="s">
        <v>122</v>
      </c>
      <c r="O423" t="s">
        <v>1093</v>
      </c>
      <c r="P423" t="str">
        <f>HYPERLINK("http://vk.com/club22935147")</f>
        <v>http://vk.com/club22935147</v>
      </c>
      <c r="Q423">
        <v>8943</v>
      </c>
      <c r="R423" t="s">
        <v>124</v>
      </c>
      <c r="S423" t="s">
        <v>125</v>
      </c>
      <c r="T423" t="s">
        <v>1466</v>
      </c>
      <c r="U423" t="s">
        <v>1467</v>
      </c>
      <c r="W423">
        <v>0</v>
      </c>
      <c r="X423">
        <v>0</v>
      </c>
      <c r="AM423" t="s">
        <v>129</v>
      </c>
      <c r="AN423" t="s">
        <v>130</v>
      </c>
      <c r="AP423" t="s">
        <v>41</v>
      </c>
      <c r="AZ423" t="s">
        <v>51</v>
      </c>
      <c r="BA423" t="s">
        <v>52</v>
      </c>
      <c r="BM423" t="s">
        <v>64</v>
      </c>
    </row>
    <row r="424" spans="1:69" x14ac:dyDescent="0.2">
      <c r="A424" t="s">
        <v>1846</v>
      </c>
      <c r="B424" t="s">
        <v>773</v>
      </c>
      <c r="C424" t="s">
        <v>1874</v>
      </c>
      <c r="D424" t="s">
        <v>1875</v>
      </c>
      <c r="E424" t="s">
        <v>1876</v>
      </c>
      <c r="F424" t="s">
        <v>118</v>
      </c>
      <c r="G424" t="str">
        <f>HYPERLINK("https://vk.com/wall-63122402_3830?reply=3835")</f>
        <v>https://vk.com/wall-63122402_3830?reply=3835</v>
      </c>
      <c r="H424" t="s">
        <v>228</v>
      </c>
      <c r="I424" t="s">
        <v>1877</v>
      </c>
      <c r="J424" t="str">
        <f>HYPERLINK("http://vk.com/id27926570")</f>
        <v>http://vk.com/id27926570</v>
      </c>
      <c r="K424">
        <v>200</v>
      </c>
      <c r="L424" t="s">
        <v>121</v>
      </c>
      <c r="N424" t="s">
        <v>122</v>
      </c>
      <c r="O424" t="s">
        <v>1878</v>
      </c>
      <c r="P424" t="str">
        <f>HYPERLINK("http://vk.com/club63122402")</f>
        <v>http://vk.com/club63122402</v>
      </c>
      <c r="Q424">
        <v>363</v>
      </c>
      <c r="R424" t="s">
        <v>124</v>
      </c>
      <c r="S424" t="s">
        <v>125</v>
      </c>
      <c r="AM424" t="s">
        <v>129</v>
      </c>
      <c r="AN424" t="s">
        <v>130</v>
      </c>
      <c r="AP424" t="s">
        <v>41</v>
      </c>
      <c r="AZ424" t="s">
        <v>51</v>
      </c>
      <c r="BA424" t="s">
        <v>52</v>
      </c>
      <c r="BL424" t="s">
        <v>63</v>
      </c>
    </row>
    <row r="425" spans="1:69" x14ac:dyDescent="0.2">
      <c r="A425" t="s">
        <v>1846</v>
      </c>
      <c r="B425" t="s">
        <v>1879</v>
      </c>
      <c r="C425" t="s">
        <v>1880</v>
      </c>
      <c r="D425" t="s">
        <v>1881</v>
      </c>
      <c r="E425" t="s">
        <v>1882</v>
      </c>
      <c r="F425" t="s">
        <v>118</v>
      </c>
      <c r="G425" t="str">
        <f>HYPERLINK("https://vk.com/wall-22935147_368688?w=wall-22935147_368688_r368694")</f>
        <v>https://vk.com/wall-22935147_368688?w=wall-22935147_368688_r368694</v>
      </c>
      <c r="H425" t="s">
        <v>119</v>
      </c>
      <c r="I425" t="s">
        <v>1883</v>
      </c>
      <c r="J425" t="str">
        <f>HYPERLINK("http://vk.com/id320622694")</f>
        <v>http://vk.com/id320622694</v>
      </c>
      <c r="K425">
        <v>142</v>
      </c>
      <c r="L425" t="s">
        <v>121</v>
      </c>
      <c r="M425">
        <v>41</v>
      </c>
      <c r="N425" t="s">
        <v>122</v>
      </c>
      <c r="O425" t="s">
        <v>1093</v>
      </c>
      <c r="P425" t="str">
        <f>HYPERLINK("http://vk.com/club22935147")</f>
        <v>http://vk.com/club22935147</v>
      </c>
      <c r="Q425">
        <v>8943</v>
      </c>
      <c r="R425" t="s">
        <v>124</v>
      </c>
      <c r="S425" t="s">
        <v>1884</v>
      </c>
      <c r="T425" t="s">
        <v>1885</v>
      </c>
      <c r="U425" t="s">
        <v>1885</v>
      </c>
      <c r="W425">
        <v>0</v>
      </c>
      <c r="X425">
        <v>0</v>
      </c>
      <c r="AM425" t="s">
        <v>129</v>
      </c>
      <c r="AN425" t="s">
        <v>130</v>
      </c>
      <c r="AP425" t="s">
        <v>41</v>
      </c>
      <c r="AZ425" t="s">
        <v>51</v>
      </c>
      <c r="BB425" t="s">
        <v>53</v>
      </c>
    </row>
    <row r="426" spans="1:69" x14ac:dyDescent="0.2">
      <c r="A426" t="s">
        <v>1846</v>
      </c>
      <c r="B426" t="s">
        <v>1886</v>
      </c>
      <c r="C426" t="s">
        <v>1887</v>
      </c>
      <c r="D426" t="s">
        <v>1888</v>
      </c>
      <c r="E426" t="s">
        <v>1889</v>
      </c>
      <c r="F426" t="s">
        <v>118</v>
      </c>
      <c r="G426" t="str">
        <f>HYPERLINK("https://telegram.me/JkBrigantina/115885")</f>
        <v>https://telegram.me/JkBrigantina/115885</v>
      </c>
      <c r="H426" t="s">
        <v>119</v>
      </c>
      <c r="I426" t="s">
        <v>1890</v>
      </c>
      <c r="J426" t="str">
        <f>HYPERLINK("https://telegram.me/mctev")</f>
        <v>https://telegram.me/mctev</v>
      </c>
      <c r="L426" t="s">
        <v>121</v>
      </c>
      <c r="N426" t="s">
        <v>143</v>
      </c>
      <c r="O426" t="s">
        <v>1891</v>
      </c>
      <c r="P426" t="str">
        <f>HYPERLINK("https://telegram.me/jkbrigantina")</f>
        <v>https://telegram.me/jkbrigantina</v>
      </c>
      <c r="Q426">
        <v>1561</v>
      </c>
      <c r="R426" t="s">
        <v>145</v>
      </c>
      <c r="AM426" t="s">
        <v>129</v>
      </c>
      <c r="AN426" t="s">
        <v>130</v>
      </c>
      <c r="AP426" t="s">
        <v>41</v>
      </c>
      <c r="AU426" t="s">
        <v>46</v>
      </c>
      <c r="AY426" t="s">
        <v>50</v>
      </c>
      <c r="AZ426" t="s">
        <v>51</v>
      </c>
      <c r="BA426" t="s">
        <v>52</v>
      </c>
      <c r="BM426" t="s">
        <v>64</v>
      </c>
    </row>
    <row r="427" spans="1:69" x14ac:dyDescent="0.2">
      <c r="A427" t="s">
        <v>1846</v>
      </c>
      <c r="B427" t="s">
        <v>1892</v>
      </c>
      <c r="C427" t="s">
        <v>1887</v>
      </c>
      <c r="D427" t="s">
        <v>1893</v>
      </c>
      <c r="E427" t="s">
        <v>1888</v>
      </c>
      <c r="F427" t="s">
        <v>118</v>
      </c>
      <c r="G427" t="str">
        <f>HYPERLINK("https://telegram.me/JkBrigantina/115882")</f>
        <v>https://telegram.me/JkBrigantina/115882</v>
      </c>
      <c r="H427" t="s">
        <v>119</v>
      </c>
      <c r="I427" t="s">
        <v>1894</v>
      </c>
      <c r="J427" t="str">
        <f>HYPERLINK("https://telegram.me/488383139")</f>
        <v>https://telegram.me/488383139</v>
      </c>
      <c r="L427" t="s">
        <v>151</v>
      </c>
      <c r="N427" t="s">
        <v>143</v>
      </c>
      <c r="O427" t="s">
        <v>1891</v>
      </c>
      <c r="P427" t="str">
        <f>HYPERLINK("https://telegram.me/jkbrigantina")</f>
        <v>https://telegram.me/jkbrigantina</v>
      </c>
      <c r="Q427">
        <v>1561</v>
      </c>
      <c r="R427" t="s">
        <v>145</v>
      </c>
      <c r="AM427" t="s">
        <v>129</v>
      </c>
      <c r="AN427" t="s">
        <v>130</v>
      </c>
      <c r="AP427" t="s">
        <v>41</v>
      </c>
      <c r="AY427" t="s">
        <v>50</v>
      </c>
      <c r="AZ427" t="s">
        <v>51</v>
      </c>
      <c r="BA427" t="s">
        <v>52</v>
      </c>
      <c r="BL427" t="s">
        <v>63</v>
      </c>
    </row>
    <row r="428" spans="1:69" x14ac:dyDescent="0.2">
      <c r="A428" t="s">
        <v>1846</v>
      </c>
      <c r="B428" t="s">
        <v>170</v>
      </c>
      <c r="C428" t="s">
        <v>1887</v>
      </c>
      <c r="D428" t="s">
        <v>1895</v>
      </c>
      <c r="E428" t="s">
        <v>1896</v>
      </c>
      <c r="F428" t="s">
        <v>118</v>
      </c>
      <c r="G428" t="str">
        <f>HYPERLINK("https://telegram.me/JkBrigantina/115881")</f>
        <v>https://telegram.me/JkBrigantina/115881</v>
      </c>
      <c r="H428" t="s">
        <v>119</v>
      </c>
      <c r="I428" t="s">
        <v>1890</v>
      </c>
      <c r="J428" t="str">
        <f>HYPERLINK("https://telegram.me/mctev")</f>
        <v>https://telegram.me/mctev</v>
      </c>
      <c r="L428" t="s">
        <v>121</v>
      </c>
      <c r="N428" t="s">
        <v>143</v>
      </c>
      <c r="O428" t="s">
        <v>1891</v>
      </c>
      <c r="P428" t="str">
        <f>HYPERLINK("https://telegram.me/jkbrigantina")</f>
        <v>https://telegram.me/jkbrigantina</v>
      </c>
      <c r="Q428">
        <v>1561</v>
      </c>
      <c r="R428" t="s">
        <v>145</v>
      </c>
      <c r="AM428" t="s">
        <v>129</v>
      </c>
      <c r="AN428" t="s">
        <v>130</v>
      </c>
      <c r="AP428" t="s">
        <v>41</v>
      </c>
      <c r="AZ428" t="s">
        <v>51</v>
      </c>
      <c r="BA428" t="s">
        <v>52</v>
      </c>
      <c r="BL428" t="s">
        <v>63</v>
      </c>
      <c r="BM428" t="s">
        <v>64</v>
      </c>
    </row>
    <row r="429" spans="1:69" x14ac:dyDescent="0.2">
      <c r="A429" t="s">
        <v>1846</v>
      </c>
      <c r="B429" t="s">
        <v>1306</v>
      </c>
      <c r="C429" t="s">
        <v>1897</v>
      </c>
      <c r="D429" t="s">
        <v>1898</v>
      </c>
      <c r="E429" t="s">
        <v>1899</v>
      </c>
      <c r="F429" t="s">
        <v>118</v>
      </c>
      <c r="G429" t="str">
        <f>HYPERLINK("https://pikabu.ru/story/otvet_tekhpodderzhke_8368249?cid=207459966")</f>
        <v>https://pikabu.ru/story/otvet_tekhpodderzhke_8368249?cid=207459966</v>
      </c>
      <c r="H429" t="s">
        <v>119</v>
      </c>
      <c r="I429" t="s">
        <v>1900</v>
      </c>
      <c r="J429" t="str">
        <f>HYPERLINK("http://pikabu.ru/profile/ChizuruAoi")</f>
        <v>http://pikabu.ru/profile/ChizuruAoi</v>
      </c>
      <c r="N429" t="s">
        <v>402</v>
      </c>
      <c r="O429" t="s">
        <v>1901</v>
      </c>
      <c r="P429" t="str">
        <f>HYPERLINK("http://pikabu.ru/profile/AndrewTaylor")</f>
        <v>http://pikabu.ru/profile/AndrewTaylor</v>
      </c>
      <c r="R429" t="s">
        <v>404</v>
      </c>
      <c r="AM429" t="s">
        <v>129</v>
      </c>
      <c r="AN429" t="s">
        <v>130</v>
      </c>
      <c r="AP429" t="s">
        <v>41</v>
      </c>
      <c r="AY429" t="s">
        <v>50</v>
      </c>
      <c r="AZ429" t="s">
        <v>51</v>
      </c>
      <c r="BA429" t="s">
        <v>52</v>
      </c>
      <c r="BM429" t="s">
        <v>64</v>
      </c>
    </row>
    <row r="430" spans="1:69" x14ac:dyDescent="0.2">
      <c r="A430" t="s">
        <v>1846</v>
      </c>
      <c r="B430" t="s">
        <v>1902</v>
      </c>
      <c r="C430" t="s">
        <v>1903</v>
      </c>
      <c r="D430" t="s">
        <v>204</v>
      </c>
      <c r="E430" t="s">
        <v>1904</v>
      </c>
      <c r="F430" t="s">
        <v>180</v>
      </c>
      <c r="G430" t="str">
        <f>HYPERLINK("https://play.google.com/store/apps/details?id=ru.iflex.android.a3colortv&amp;reviewId=gp:AOqpTOHxkzLnlGtKbU1RX7JDBIDwFLj11mgpelOIyC_lIF8Kq1zNhMindYd4wXa_c2JMqqRM606Le4ucNIzSDw")</f>
        <v>https://play.google.com/store/apps/details?id=ru.iflex.android.a3colortv&amp;reviewId=gp:AOqpTOHxkzLnlGtKbU1RX7JDBIDwFLj11mgpelOIyC_lIF8Kq1zNhMindYd4wXa_c2JMqqRM606Le4ucNIzSDw</v>
      </c>
      <c r="H430" t="s">
        <v>228</v>
      </c>
      <c r="I430" t="s">
        <v>1905</v>
      </c>
      <c r="J430" t="str">
        <f>HYPERLINK("https://plus.google.com/110624827236951569674")</f>
        <v>https://plus.google.com/110624827236951569674</v>
      </c>
      <c r="L430" t="s">
        <v>121</v>
      </c>
      <c r="N430" t="s">
        <v>207</v>
      </c>
      <c r="O430" t="s">
        <v>204</v>
      </c>
      <c r="P430" t="str">
        <f>HYPERLINK("https://play.google.com/store/apps/details?id=ru.iflex.android.a3colortv&amp;hl=ru")</f>
        <v>https://play.google.com/store/apps/details?id=ru.iflex.android.a3colortv&amp;hl=ru</v>
      </c>
      <c r="R430" t="s">
        <v>184</v>
      </c>
      <c r="S430" t="s">
        <v>125</v>
      </c>
      <c r="W430">
        <v>0</v>
      </c>
      <c r="X430">
        <v>0</v>
      </c>
      <c r="AH430">
        <v>1</v>
      </c>
      <c r="AM430" t="s">
        <v>129</v>
      </c>
      <c r="AN430" t="s">
        <v>130</v>
      </c>
      <c r="AP430" t="s">
        <v>41</v>
      </c>
      <c r="AU430" t="s">
        <v>46</v>
      </c>
      <c r="AY430" t="s">
        <v>50</v>
      </c>
      <c r="AZ430" t="s">
        <v>51</v>
      </c>
      <c r="BA430" t="s">
        <v>52</v>
      </c>
      <c r="BQ430" t="s">
        <v>68</v>
      </c>
    </row>
    <row r="431" spans="1:69" x14ac:dyDescent="0.2">
      <c r="A431" t="s">
        <v>1846</v>
      </c>
      <c r="B431" t="s">
        <v>1313</v>
      </c>
      <c r="C431" t="s">
        <v>1906</v>
      </c>
      <c r="D431" t="s">
        <v>1907</v>
      </c>
      <c r="E431" t="s">
        <v>1908</v>
      </c>
      <c r="F431" t="s">
        <v>118</v>
      </c>
      <c r="G431" t="str">
        <f>HYPERLINK("https://www.youtube.com/watch?v=j9UetrOwrbw&amp;lc=UgyLM_v-49TN7QGBp9R4AaABAg")</f>
        <v>https://www.youtube.com/watch?v=j9UetrOwrbw&amp;lc=UgyLM_v-49TN7QGBp9R4AaABAg</v>
      </c>
      <c r="H431" t="s">
        <v>181</v>
      </c>
      <c r="I431" t="s">
        <v>1909</v>
      </c>
      <c r="J431" t="str">
        <f>HYPERLINK("https://www.youtube.com/channel/UCFHsPFdh3fZH6BU7Gd2AtmA")</f>
        <v>https://www.youtube.com/channel/UCFHsPFdh3fZH6BU7Gd2AtmA</v>
      </c>
      <c r="K431">
        <v>0</v>
      </c>
      <c r="L431" t="s">
        <v>121</v>
      </c>
      <c r="N431" t="s">
        <v>248</v>
      </c>
      <c r="O431" t="s">
        <v>1910</v>
      </c>
      <c r="P431" t="str">
        <f>HYPERLINK("https://www.youtube.com/channel/UCQgd9Ks9oBckRf9hadmZFdA")</f>
        <v>https://www.youtube.com/channel/UCQgd9Ks9oBckRf9hadmZFdA</v>
      </c>
      <c r="Q431">
        <v>66700</v>
      </c>
      <c r="R431" t="s">
        <v>124</v>
      </c>
      <c r="S431" t="s">
        <v>125</v>
      </c>
      <c r="W431">
        <v>0</v>
      </c>
      <c r="X431">
        <v>0</v>
      </c>
      <c r="AE431">
        <v>0</v>
      </c>
      <c r="AM431" t="s">
        <v>129</v>
      </c>
      <c r="AN431" t="s">
        <v>130</v>
      </c>
      <c r="AP431" t="s">
        <v>41</v>
      </c>
      <c r="AY431" t="s">
        <v>50</v>
      </c>
      <c r="AZ431" t="s">
        <v>51</v>
      </c>
      <c r="BB431" t="s">
        <v>53</v>
      </c>
    </row>
    <row r="432" spans="1:69" x14ac:dyDescent="0.2">
      <c r="A432" t="s">
        <v>1846</v>
      </c>
      <c r="B432" t="s">
        <v>1313</v>
      </c>
      <c r="C432" t="s">
        <v>1911</v>
      </c>
      <c r="D432" t="s">
        <v>1912</v>
      </c>
      <c r="E432" t="s">
        <v>1913</v>
      </c>
      <c r="F432" t="s">
        <v>180</v>
      </c>
      <c r="G432" t="str">
        <f>HYPERLINK("https://www.wildberries.ru/catalog/10284734/detail.aspx?targetUrl=ES#Comments")</f>
        <v>https://www.wildberries.ru/catalog/10284734/detail.aspx?targetUrl=ES#Comments</v>
      </c>
      <c r="H432" t="s">
        <v>181</v>
      </c>
      <c r="I432" t="s">
        <v>1914</v>
      </c>
      <c r="J432" t="str">
        <f>HYPERLINK("https://www.wildberries.ru/profile/w7TDssOkw7PCu8KzwrfCtMK2wrnCucKzwrQ=")</f>
        <v>https://www.wildberries.ru/profile/w7TDssOkw7PCu8KzwrfCtMK2wrnCucKzwrQ=</v>
      </c>
      <c r="L432" t="s">
        <v>151</v>
      </c>
      <c r="N432" t="s">
        <v>534</v>
      </c>
      <c r="O432" t="s">
        <v>1912</v>
      </c>
      <c r="P432" t="str">
        <f>HYPERLINK("https://www.wildberries.ru/catalog/7813911/detail.aspx")</f>
        <v>https://www.wildberries.ru/catalog/7813911/detail.aspx</v>
      </c>
      <c r="R432" t="s">
        <v>184</v>
      </c>
      <c r="S432" t="s">
        <v>125</v>
      </c>
      <c r="W432">
        <v>0</v>
      </c>
      <c r="X432">
        <v>0</v>
      </c>
      <c r="AH432">
        <v>5</v>
      </c>
      <c r="AM432" t="s">
        <v>129</v>
      </c>
      <c r="AN432" t="s">
        <v>130</v>
      </c>
      <c r="AP432" t="s">
        <v>41</v>
      </c>
      <c r="AZ432" t="s">
        <v>51</v>
      </c>
      <c r="BA432" t="s">
        <v>52</v>
      </c>
      <c r="BL432" t="s">
        <v>63</v>
      </c>
    </row>
    <row r="433" spans="1:100" x14ac:dyDescent="0.2">
      <c r="A433" t="s">
        <v>1846</v>
      </c>
      <c r="B433" t="s">
        <v>812</v>
      </c>
      <c r="C433" t="s">
        <v>1915</v>
      </c>
      <c r="D433" t="s">
        <v>1816</v>
      </c>
      <c r="E433" t="s">
        <v>1916</v>
      </c>
      <c r="F433" t="s">
        <v>118</v>
      </c>
      <c r="G433" t="str">
        <f>HYPERLINK("https://vk.com/wall-22935147_368687?reply=368689")</f>
        <v>https://vk.com/wall-22935147_368687?reply=368689</v>
      </c>
      <c r="H433" t="s">
        <v>119</v>
      </c>
      <c r="I433" t="s">
        <v>1375</v>
      </c>
      <c r="J433" t="str">
        <f>HYPERLINK("http://vk.com/club46412285")</f>
        <v>http://vk.com/club46412285</v>
      </c>
      <c r="K433">
        <v>1373</v>
      </c>
      <c r="L433" t="s">
        <v>340</v>
      </c>
      <c r="N433" t="s">
        <v>122</v>
      </c>
      <c r="O433" t="s">
        <v>1093</v>
      </c>
      <c r="P433" t="str">
        <f>HYPERLINK("http://vk.com/club22935147")</f>
        <v>http://vk.com/club22935147</v>
      </c>
      <c r="Q433">
        <v>8943</v>
      </c>
      <c r="R433" t="s">
        <v>124</v>
      </c>
      <c r="S433" t="s">
        <v>125</v>
      </c>
      <c r="W433">
        <v>0</v>
      </c>
      <c r="X433">
        <v>0</v>
      </c>
      <c r="AM433" t="s">
        <v>129</v>
      </c>
      <c r="AN433" t="s">
        <v>130</v>
      </c>
      <c r="AP433" t="s">
        <v>41</v>
      </c>
      <c r="AZ433" t="s">
        <v>51</v>
      </c>
      <c r="BA433" t="s">
        <v>52</v>
      </c>
      <c r="BM433" t="s">
        <v>64</v>
      </c>
    </row>
    <row r="434" spans="1:100" x14ac:dyDescent="0.2">
      <c r="A434" t="s">
        <v>1846</v>
      </c>
      <c r="B434" t="s">
        <v>1917</v>
      </c>
      <c r="C434" t="s">
        <v>1915</v>
      </c>
      <c r="D434" t="s">
        <v>129</v>
      </c>
      <c r="E434" t="s">
        <v>1918</v>
      </c>
      <c r="F434" t="s">
        <v>180</v>
      </c>
      <c r="G434" t="str">
        <f>HYPERLINK("https://vk.com/wall-22935147_368688")</f>
        <v>https://vk.com/wall-22935147_368688</v>
      </c>
      <c r="H434" t="s">
        <v>119</v>
      </c>
      <c r="I434" t="s">
        <v>1883</v>
      </c>
      <c r="J434" t="str">
        <f>HYPERLINK("http://vk.com/id320622694")</f>
        <v>http://vk.com/id320622694</v>
      </c>
      <c r="K434">
        <v>142</v>
      </c>
      <c r="L434" t="s">
        <v>121</v>
      </c>
      <c r="M434">
        <v>41</v>
      </c>
      <c r="N434" t="s">
        <v>122</v>
      </c>
      <c r="O434" t="s">
        <v>1093</v>
      </c>
      <c r="P434" t="str">
        <f>HYPERLINK("http://vk.com/club22935147")</f>
        <v>http://vk.com/club22935147</v>
      </c>
      <c r="Q434">
        <v>8943</v>
      </c>
      <c r="R434" t="s">
        <v>124</v>
      </c>
      <c r="S434" t="s">
        <v>1884</v>
      </c>
      <c r="T434" t="s">
        <v>1885</v>
      </c>
      <c r="U434" t="s">
        <v>1885</v>
      </c>
      <c r="W434">
        <v>7</v>
      </c>
      <c r="X434">
        <v>7</v>
      </c>
      <c r="AE434">
        <v>5</v>
      </c>
      <c r="AF434">
        <v>0</v>
      </c>
      <c r="AG434">
        <v>1728</v>
      </c>
      <c r="AM434" t="s">
        <v>129</v>
      </c>
      <c r="AN434" t="s">
        <v>130</v>
      </c>
      <c r="AP434" t="s">
        <v>41</v>
      </c>
      <c r="AZ434" t="s">
        <v>51</v>
      </c>
      <c r="BA434" t="s">
        <v>52</v>
      </c>
      <c r="BL434" t="s">
        <v>63</v>
      </c>
      <c r="CO434" t="s">
        <v>92</v>
      </c>
    </row>
    <row r="435" spans="1:100" x14ac:dyDescent="0.2">
      <c r="A435" t="s">
        <v>1846</v>
      </c>
      <c r="B435" t="s">
        <v>1917</v>
      </c>
      <c r="C435" t="s">
        <v>1915</v>
      </c>
      <c r="D435" t="s">
        <v>129</v>
      </c>
      <c r="E435" t="s">
        <v>1816</v>
      </c>
      <c r="F435" t="s">
        <v>180</v>
      </c>
      <c r="G435" t="str">
        <f>HYPERLINK("https://vk.com/wall-22935147_368687")</f>
        <v>https://vk.com/wall-22935147_368687</v>
      </c>
      <c r="H435" t="s">
        <v>119</v>
      </c>
      <c r="I435" t="s">
        <v>1919</v>
      </c>
      <c r="J435" t="str">
        <f>HYPERLINK("http://vk.com/id41576504")</f>
        <v>http://vk.com/id41576504</v>
      </c>
      <c r="K435">
        <v>507</v>
      </c>
      <c r="L435" t="s">
        <v>121</v>
      </c>
      <c r="M435">
        <v>34</v>
      </c>
      <c r="N435" t="s">
        <v>122</v>
      </c>
      <c r="O435" t="s">
        <v>1093</v>
      </c>
      <c r="P435" t="str">
        <f>HYPERLINK("http://vk.com/club22935147")</f>
        <v>http://vk.com/club22935147</v>
      </c>
      <c r="Q435">
        <v>8943</v>
      </c>
      <c r="R435" t="s">
        <v>124</v>
      </c>
      <c r="S435" t="s">
        <v>125</v>
      </c>
      <c r="T435" t="s">
        <v>1283</v>
      </c>
      <c r="U435" t="s">
        <v>1284</v>
      </c>
      <c r="W435">
        <v>5</v>
      </c>
      <c r="X435">
        <v>5</v>
      </c>
      <c r="AE435">
        <v>6</v>
      </c>
      <c r="AF435">
        <v>0</v>
      </c>
      <c r="AG435">
        <v>1660</v>
      </c>
      <c r="AM435" t="s">
        <v>129</v>
      </c>
      <c r="AN435" t="s">
        <v>130</v>
      </c>
      <c r="AP435" t="s">
        <v>41</v>
      </c>
      <c r="AU435" t="s">
        <v>46</v>
      </c>
      <c r="AW435" t="s">
        <v>48</v>
      </c>
      <c r="AZ435" t="s">
        <v>51</v>
      </c>
      <c r="BA435" t="s">
        <v>52</v>
      </c>
    </row>
    <row r="436" spans="1:100" x14ac:dyDescent="0.2">
      <c r="A436" t="s">
        <v>1846</v>
      </c>
      <c r="B436" t="s">
        <v>1920</v>
      </c>
      <c r="C436" t="s">
        <v>1921</v>
      </c>
      <c r="D436" t="s">
        <v>1922</v>
      </c>
      <c r="E436" t="s">
        <v>1923</v>
      </c>
      <c r="F436" t="s">
        <v>180</v>
      </c>
      <c r="G436" t="str">
        <f>HYPERLINK("https://www.ozon.ru/context/detail/id/178969961/#62792372")</f>
        <v>https://www.ozon.ru/context/detail/id/178969961/#62792372</v>
      </c>
      <c r="H436" t="s">
        <v>119</v>
      </c>
      <c r="I436" t="s">
        <v>1924</v>
      </c>
      <c r="J436" t="str">
        <f>HYPERLINK("https://www.ozon.ru/context/client_opinion/ClientGuid/5457d655-5315-4e49-800c-70a9cc0cf08e/")</f>
        <v>https://www.ozon.ru/context/client_opinion/ClientGuid/5457d655-5315-4e49-800c-70a9cc0cf08e/</v>
      </c>
      <c r="L436" t="s">
        <v>151</v>
      </c>
      <c r="N436" t="s">
        <v>183</v>
      </c>
      <c r="O436" t="s">
        <v>1922</v>
      </c>
      <c r="P436" t="str">
        <f>HYPERLINK("https://www.ozon.ru/context/detail/id/178969961/")</f>
        <v>https://www.ozon.ru/context/detail/id/178969961/</v>
      </c>
      <c r="R436" t="s">
        <v>184</v>
      </c>
      <c r="S436" t="s">
        <v>125</v>
      </c>
      <c r="W436">
        <v>0</v>
      </c>
      <c r="X436">
        <v>0</v>
      </c>
      <c r="AH436">
        <v>4</v>
      </c>
      <c r="AM436" t="s">
        <v>129</v>
      </c>
      <c r="AN436" t="s">
        <v>130</v>
      </c>
      <c r="AP436" t="s">
        <v>41</v>
      </c>
      <c r="AT436" t="s">
        <v>45</v>
      </c>
      <c r="AY436" t="s">
        <v>50</v>
      </c>
      <c r="AZ436" t="s">
        <v>51</v>
      </c>
      <c r="BA436" t="s">
        <v>52</v>
      </c>
      <c r="BK436" t="s">
        <v>62</v>
      </c>
      <c r="BL436" t="s">
        <v>63</v>
      </c>
    </row>
    <row r="437" spans="1:100" x14ac:dyDescent="0.2">
      <c r="A437" t="s">
        <v>1846</v>
      </c>
      <c r="B437" t="s">
        <v>220</v>
      </c>
      <c r="C437" t="s">
        <v>1925</v>
      </c>
      <c r="D437" t="s">
        <v>1926</v>
      </c>
      <c r="E437" t="s">
        <v>1927</v>
      </c>
      <c r="F437" t="s">
        <v>118</v>
      </c>
      <c r="G437" t="str">
        <f>HYPERLINK("https://vk.com/wall-64239643_216062?reply=216915&amp;thread=216166")</f>
        <v>https://vk.com/wall-64239643_216062?reply=216915&amp;thread=216166</v>
      </c>
      <c r="H437" t="s">
        <v>119</v>
      </c>
      <c r="I437" t="s">
        <v>1928</v>
      </c>
      <c r="J437" t="str">
        <f>HYPERLINK("http://vk.com/id19446371")</f>
        <v>http://vk.com/id19446371</v>
      </c>
      <c r="K437">
        <v>376</v>
      </c>
      <c r="L437" t="s">
        <v>121</v>
      </c>
      <c r="N437" t="s">
        <v>122</v>
      </c>
      <c r="O437" t="s">
        <v>1929</v>
      </c>
      <c r="P437" t="str">
        <f>HYPERLINK("http://vk.com/club64239643")</f>
        <v>http://vk.com/club64239643</v>
      </c>
      <c r="Q437">
        <v>10621</v>
      </c>
      <c r="R437" t="s">
        <v>124</v>
      </c>
      <c r="S437" t="s">
        <v>125</v>
      </c>
      <c r="AM437" t="s">
        <v>129</v>
      </c>
      <c r="AN437" t="s">
        <v>130</v>
      </c>
      <c r="AP437" t="s">
        <v>41</v>
      </c>
      <c r="AZ437" t="s">
        <v>51</v>
      </c>
      <c r="BA437" t="s">
        <v>52</v>
      </c>
      <c r="BM437" t="s">
        <v>64</v>
      </c>
    </row>
    <row r="438" spans="1:100" x14ac:dyDescent="0.2">
      <c r="A438" t="s">
        <v>1846</v>
      </c>
      <c r="B438" t="s">
        <v>1930</v>
      </c>
      <c r="C438" t="s">
        <v>1931</v>
      </c>
      <c r="D438" t="s">
        <v>1932</v>
      </c>
      <c r="E438" t="s">
        <v>1933</v>
      </c>
      <c r="F438" t="s">
        <v>118</v>
      </c>
      <c r="G438" t="str">
        <f>HYPERLINK("https://vk.com/wall-64687543_362202?reply=362254")</f>
        <v>https://vk.com/wall-64687543_362202?reply=362254</v>
      </c>
      <c r="H438" t="s">
        <v>119</v>
      </c>
      <c r="I438" t="s">
        <v>1934</v>
      </c>
      <c r="J438" t="str">
        <f>HYPERLINK("http://vk.com/id597055476")</f>
        <v>http://vk.com/id597055476</v>
      </c>
      <c r="K438">
        <v>116</v>
      </c>
      <c r="L438" t="s">
        <v>121</v>
      </c>
      <c r="M438">
        <v>15</v>
      </c>
      <c r="N438" t="s">
        <v>122</v>
      </c>
      <c r="O438" t="s">
        <v>1935</v>
      </c>
      <c r="P438" t="str">
        <f>HYPERLINK("http://vk.com/club64687543")</f>
        <v>http://vk.com/club64687543</v>
      </c>
      <c r="Q438">
        <v>10034</v>
      </c>
      <c r="R438" t="s">
        <v>124</v>
      </c>
      <c r="S438" t="s">
        <v>125</v>
      </c>
      <c r="T438" t="s">
        <v>1401</v>
      </c>
      <c r="U438" t="s">
        <v>1936</v>
      </c>
      <c r="AM438" t="s">
        <v>129</v>
      </c>
      <c r="AN438" t="s">
        <v>130</v>
      </c>
      <c r="AP438" t="s">
        <v>41</v>
      </c>
      <c r="AZ438" t="s">
        <v>51</v>
      </c>
      <c r="BA438" t="s">
        <v>52</v>
      </c>
      <c r="BL438" t="s">
        <v>63</v>
      </c>
    </row>
    <row r="439" spans="1:100" x14ac:dyDescent="0.2">
      <c r="A439" t="s">
        <v>1846</v>
      </c>
      <c r="B439" t="s">
        <v>1937</v>
      </c>
      <c r="C439" t="s">
        <v>1938</v>
      </c>
      <c r="D439" t="s">
        <v>1939</v>
      </c>
      <c r="E439" t="s">
        <v>1940</v>
      </c>
      <c r="F439" t="s">
        <v>118</v>
      </c>
      <c r="G439" t="str">
        <f>HYPERLINK("https://vk.com/wall-8665910_1200611?reply=1204786&amp;thread=1200617")</f>
        <v>https://vk.com/wall-8665910_1200611?reply=1204786&amp;thread=1200617</v>
      </c>
      <c r="H439" t="s">
        <v>119</v>
      </c>
      <c r="I439" t="s">
        <v>1941</v>
      </c>
      <c r="J439" t="str">
        <f>HYPERLINK("http://vk.com/id634544231")</f>
        <v>http://vk.com/id634544231</v>
      </c>
      <c r="K439">
        <v>0</v>
      </c>
      <c r="L439" t="s">
        <v>121</v>
      </c>
      <c r="N439" t="s">
        <v>122</v>
      </c>
      <c r="O439" t="s">
        <v>1942</v>
      </c>
      <c r="P439" t="str">
        <f>HYPERLINK("http://vk.com/club8665910")</f>
        <v>http://vk.com/club8665910</v>
      </c>
      <c r="Q439">
        <v>253332</v>
      </c>
      <c r="R439" t="s">
        <v>124</v>
      </c>
      <c r="AM439" t="s">
        <v>129</v>
      </c>
      <c r="AN439" t="s">
        <v>130</v>
      </c>
      <c r="AP439" t="s">
        <v>41</v>
      </c>
      <c r="AU439" t="s">
        <v>46</v>
      </c>
      <c r="AZ439" t="s">
        <v>51</v>
      </c>
      <c r="BA439" t="s">
        <v>52</v>
      </c>
    </row>
    <row r="440" spans="1:100" x14ac:dyDescent="0.2">
      <c r="A440" t="s">
        <v>1846</v>
      </c>
      <c r="B440" t="s">
        <v>1943</v>
      </c>
      <c r="C440" t="s">
        <v>1944</v>
      </c>
      <c r="D440" t="s">
        <v>1355</v>
      </c>
      <c r="E440" t="s">
        <v>1945</v>
      </c>
      <c r="F440" t="s">
        <v>118</v>
      </c>
      <c r="G440" t="str">
        <f>HYPERLINK("https://vk.com/wall-199841915_214?reply=219")</f>
        <v>https://vk.com/wall-199841915_214?reply=219</v>
      </c>
      <c r="H440" t="s">
        <v>181</v>
      </c>
      <c r="I440" t="s">
        <v>1946</v>
      </c>
      <c r="J440" t="str">
        <f>HYPERLINK("http://vk.com/id500911743")</f>
        <v>http://vk.com/id500911743</v>
      </c>
      <c r="K440">
        <v>534</v>
      </c>
      <c r="L440" t="s">
        <v>121</v>
      </c>
      <c r="N440" t="s">
        <v>122</v>
      </c>
      <c r="O440" t="s">
        <v>1358</v>
      </c>
      <c r="P440" t="str">
        <f>HYPERLINK("http://vk.com/club199841915")</f>
        <v>http://vk.com/club199841915</v>
      </c>
      <c r="Q440">
        <v>28</v>
      </c>
      <c r="R440" t="s">
        <v>124</v>
      </c>
      <c r="S440" t="s">
        <v>125</v>
      </c>
      <c r="T440" t="s">
        <v>1947</v>
      </c>
      <c r="U440" t="s">
        <v>1948</v>
      </c>
      <c r="AM440" t="s">
        <v>129</v>
      </c>
      <c r="AN440" t="s">
        <v>130</v>
      </c>
      <c r="AP440" t="s">
        <v>41</v>
      </c>
      <c r="AZ440" t="s">
        <v>51</v>
      </c>
      <c r="BA440" t="s">
        <v>52</v>
      </c>
      <c r="BM440" t="s">
        <v>64</v>
      </c>
    </row>
    <row r="441" spans="1:100" x14ac:dyDescent="0.2">
      <c r="A441" t="s">
        <v>1846</v>
      </c>
      <c r="B441" t="s">
        <v>1949</v>
      </c>
      <c r="C441" t="s">
        <v>1950</v>
      </c>
      <c r="D441" t="s">
        <v>332</v>
      </c>
      <c r="E441" t="s">
        <v>1951</v>
      </c>
      <c r="F441" t="s">
        <v>180</v>
      </c>
      <c r="G441" t="str">
        <f>HYPERLINK("https://telesputnik.ru/forum/viewtopic.php?f=36&amp;t=42382&amp;start=37840#p2482923")</f>
        <v>https://telesputnik.ru/forum/viewtopic.php?f=36&amp;t=42382&amp;start=37840#p2482923</v>
      </c>
      <c r="H441" t="s">
        <v>119</v>
      </c>
      <c r="I441" t="s">
        <v>1789</v>
      </c>
      <c r="J441" t="str">
        <f>HYPERLINK("https://telesputnik.ru/forum/memberlist.php?mode=viewprofile&amp;u=50240")</f>
        <v>https://telesputnik.ru/forum/memberlist.php?mode=viewprofile&amp;u=50240</v>
      </c>
      <c r="N441" t="s">
        <v>335</v>
      </c>
      <c r="O441" t="s">
        <v>336</v>
      </c>
      <c r="P441" t="str">
        <f>HYPERLINK("https://telesputnik.ru/forum/viewforum.php?f=11")</f>
        <v>https://telesputnik.ru/forum/viewforum.php?f=11</v>
      </c>
      <c r="R441" t="s">
        <v>295</v>
      </c>
      <c r="S441" t="s">
        <v>125</v>
      </c>
      <c r="AM441" t="s">
        <v>129</v>
      </c>
      <c r="AN441" t="s">
        <v>130</v>
      </c>
      <c r="AP441" t="s">
        <v>41</v>
      </c>
      <c r="AY441" t="s">
        <v>50</v>
      </c>
      <c r="AZ441" t="s">
        <v>51</v>
      </c>
      <c r="BA441" t="s">
        <v>52</v>
      </c>
    </row>
    <row r="442" spans="1:100" x14ac:dyDescent="0.2">
      <c r="A442" t="s">
        <v>1846</v>
      </c>
      <c r="B442" t="s">
        <v>877</v>
      </c>
      <c r="C442" t="s">
        <v>1952</v>
      </c>
      <c r="D442" t="s">
        <v>1953</v>
      </c>
      <c r="E442" t="s">
        <v>1954</v>
      </c>
      <c r="F442" t="s">
        <v>180</v>
      </c>
      <c r="G442" t="str">
        <f>HYPERLINK("https://market.yandex.ru/product/914704371/reviews?id=135395544")</f>
        <v>https://market.yandex.ru/product/914704371/reviews?id=135395544</v>
      </c>
      <c r="H442" t="s">
        <v>181</v>
      </c>
      <c r="I442" t="s">
        <v>1955</v>
      </c>
      <c r="J442" t="str">
        <f>HYPERLINK("https://market.yandex.ru/user/bxu25u5cujuebbzdwf5x900k28/reviews")</f>
        <v>https://market.yandex.ru/user/bxu25u5cujuebbzdwf5x900k28/reviews</v>
      </c>
      <c r="L442" t="s">
        <v>121</v>
      </c>
      <c r="N442" t="s">
        <v>611</v>
      </c>
      <c r="O442" t="s">
        <v>1953</v>
      </c>
      <c r="P442" t="str">
        <f>HYPERLINK("https://market.yandex.ru/product/914704371")</f>
        <v>https://market.yandex.ru/product/914704371</v>
      </c>
      <c r="R442" t="s">
        <v>184</v>
      </c>
      <c r="S442" t="s">
        <v>125</v>
      </c>
      <c r="T442" t="s">
        <v>169</v>
      </c>
      <c r="U442" t="s">
        <v>169</v>
      </c>
      <c r="W442">
        <v>0</v>
      </c>
      <c r="X442">
        <v>0</v>
      </c>
      <c r="AH442">
        <v>5</v>
      </c>
      <c r="AM442" t="s">
        <v>129</v>
      </c>
      <c r="AN442" t="s">
        <v>130</v>
      </c>
      <c r="AP442" t="s">
        <v>41</v>
      </c>
      <c r="AZ442" t="s">
        <v>51</v>
      </c>
      <c r="BA442" t="s">
        <v>52</v>
      </c>
      <c r="BK442" t="s">
        <v>62</v>
      </c>
      <c r="BL442" t="s">
        <v>63</v>
      </c>
    </row>
    <row r="443" spans="1:100" x14ac:dyDescent="0.2">
      <c r="A443" t="s">
        <v>1846</v>
      </c>
      <c r="B443" t="s">
        <v>893</v>
      </c>
      <c r="C443" t="s">
        <v>1956</v>
      </c>
      <c r="D443" t="s">
        <v>1074</v>
      </c>
      <c r="E443" t="s">
        <v>1957</v>
      </c>
      <c r="F443" t="s">
        <v>118</v>
      </c>
      <c r="G443" t="str">
        <f>HYPERLINK("https://vk.com/wall-80149142_348548?reply=349086")</f>
        <v>https://vk.com/wall-80149142_348548?reply=349086</v>
      </c>
      <c r="H443" t="s">
        <v>228</v>
      </c>
      <c r="I443" t="s">
        <v>1958</v>
      </c>
      <c r="J443" t="str">
        <f>HYPERLINK("http://vk.com/id24068190")</f>
        <v>http://vk.com/id24068190</v>
      </c>
      <c r="K443">
        <v>96</v>
      </c>
      <c r="L443" t="s">
        <v>151</v>
      </c>
      <c r="N443" t="s">
        <v>122</v>
      </c>
      <c r="O443" t="s">
        <v>1076</v>
      </c>
      <c r="P443" t="str">
        <f>HYPERLINK("http://vk.com/club80149142")</f>
        <v>http://vk.com/club80149142</v>
      </c>
      <c r="Q443">
        <v>59466</v>
      </c>
      <c r="R443" t="s">
        <v>124</v>
      </c>
      <c r="S443" t="s">
        <v>125</v>
      </c>
      <c r="T443" t="s">
        <v>667</v>
      </c>
      <c r="U443" t="s">
        <v>1959</v>
      </c>
      <c r="AM443" t="s">
        <v>129</v>
      </c>
      <c r="AN443" t="s">
        <v>130</v>
      </c>
      <c r="AP443" t="s">
        <v>41</v>
      </c>
      <c r="AT443" t="s">
        <v>45</v>
      </c>
      <c r="AW443" t="s">
        <v>48</v>
      </c>
      <c r="AZ443" t="s">
        <v>51</v>
      </c>
      <c r="BA443" t="s">
        <v>52</v>
      </c>
      <c r="BL443" t="s">
        <v>63</v>
      </c>
      <c r="CV443" t="s">
        <v>99</v>
      </c>
    </row>
    <row r="444" spans="1:100" x14ac:dyDescent="0.2">
      <c r="A444" t="s">
        <v>1846</v>
      </c>
      <c r="B444" t="s">
        <v>1960</v>
      </c>
      <c r="C444" t="s">
        <v>1961</v>
      </c>
      <c r="D444" t="s">
        <v>1444</v>
      </c>
      <c r="E444" t="s">
        <v>1962</v>
      </c>
      <c r="F444" t="s">
        <v>118</v>
      </c>
      <c r="G444" t="str">
        <f>HYPERLINK("https://vk.com/wall-27863223_292411?w=wall-27863223_292411_r292419")</f>
        <v>https://vk.com/wall-27863223_292411?w=wall-27863223_292411_r292419</v>
      </c>
      <c r="H444" t="s">
        <v>119</v>
      </c>
      <c r="I444" t="s">
        <v>1963</v>
      </c>
      <c r="J444" t="str">
        <f>HYPERLINK("http://vk.com/id6849977")</f>
        <v>http://vk.com/id6849977</v>
      </c>
      <c r="K444">
        <v>57</v>
      </c>
      <c r="L444" t="s">
        <v>121</v>
      </c>
      <c r="M444">
        <v>32</v>
      </c>
      <c r="N444" t="s">
        <v>122</v>
      </c>
      <c r="O444" t="s">
        <v>175</v>
      </c>
      <c r="P444" t="str">
        <f>HYPERLINK("http://vk.com/club27863223")</f>
        <v>http://vk.com/club27863223</v>
      </c>
      <c r="Q444">
        <v>134698</v>
      </c>
      <c r="R444" t="s">
        <v>124</v>
      </c>
      <c r="S444" t="s">
        <v>125</v>
      </c>
      <c r="T444" t="s">
        <v>372</v>
      </c>
      <c r="U444" t="s">
        <v>1964</v>
      </c>
      <c r="W444">
        <v>1</v>
      </c>
      <c r="X444">
        <v>1</v>
      </c>
      <c r="AM444" t="s">
        <v>129</v>
      </c>
      <c r="AN444" t="s">
        <v>130</v>
      </c>
      <c r="AP444" t="s">
        <v>41</v>
      </c>
      <c r="AY444" t="s">
        <v>50</v>
      </c>
      <c r="BB444" t="s">
        <v>53</v>
      </c>
      <c r="BE444" t="s">
        <v>56</v>
      </c>
    </row>
    <row r="445" spans="1:100" x14ac:dyDescent="0.2">
      <c r="A445" t="s">
        <v>1846</v>
      </c>
      <c r="B445" t="s">
        <v>1960</v>
      </c>
      <c r="C445" t="s">
        <v>1950</v>
      </c>
      <c r="D445" t="s">
        <v>332</v>
      </c>
      <c r="E445" t="s">
        <v>1965</v>
      </c>
      <c r="F445" t="s">
        <v>180</v>
      </c>
      <c r="G445" t="str">
        <f>HYPERLINK("https://telesputnik.ru/forum/viewtopic.php?f=36&amp;t=42382&amp;start=37840#p2482921")</f>
        <v>https://telesputnik.ru/forum/viewtopic.php?f=36&amp;t=42382&amp;start=37840#p2482921</v>
      </c>
      <c r="H445" t="s">
        <v>119</v>
      </c>
      <c r="I445" t="s">
        <v>1966</v>
      </c>
      <c r="J445" t="str">
        <f>HYPERLINK("https://telesputnik.ru/forum/memberlist.php?mode=viewprofile&amp;u=23379")</f>
        <v>https://telesputnik.ru/forum/memberlist.php?mode=viewprofile&amp;u=23379</v>
      </c>
      <c r="N445" t="s">
        <v>335</v>
      </c>
      <c r="O445" t="s">
        <v>336</v>
      </c>
      <c r="P445" t="str">
        <f>HYPERLINK("https://telesputnik.ru/forum/viewforum.php?f=11")</f>
        <v>https://telesputnik.ru/forum/viewforum.php?f=11</v>
      </c>
      <c r="R445" t="s">
        <v>295</v>
      </c>
      <c r="S445" t="s">
        <v>125</v>
      </c>
      <c r="AM445" t="s">
        <v>129</v>
      </c>
      <c r="AN445" t="s">
        <v>130</v>
      </c>
      <c r="AP445" t="s">
        <v>41</v>
      </c>
      <c r="AT445" t="s">
        <v>45</v>
      </c>
      <c r="AX445" t="s">
        <v>49</v>
      </c>
      <c r="AZ445" t="s">
        <v>51</v>
      </c>
      <c r="BA445" t="s">
        <v>52</v>
      </c>
    </row>
    <row r="446" spans="1:100" x14ac:dyDescent="0.2">
      <c r="A446" t="s">
        <v>1846</v>
      </c>
      <c r="B446" t="s">
        <v>1967</v>
      </c>
      <c r="C446" t="s">
        <v>1961</v>
      </c>
      <c r="D446" t="s">
        <v>1444</v>
      </c>
      <c r="E446" t="s">
        <v>1968</v>
      </c>
      <c r="F446" t="s">
        <v>118</v>
      </c>
      <c r="G446" t="str">
        <f>HYPERLINK("https://vk.com/wall-27863223_292411?w=wall-27863223_292411_r292417")</f>
        <v>https://vk.com/wall-27863223_292411?w=wall-27863223_292411_r292417</v>
      </c>
      <c r="H446" t="s">
        <v>119</v>
      </c>
      <c r="I446" t="s">
        <v>1963</v>
      </c>
      <c r="J446" t="str">
        <f>HYPERLINK("http://vk.com/id6849977")</f>
        <v>http://vk.com/id6849977</v>
      </c>
      <c r="K446">
        <v>57</v>
      </c>
      <c r="L446" t="s">
        <v>121</v>
      </c>
      <c r="M446">
        <v>32</v>
      </c>
      <c r="N446" t="s">
        <v>122</v>
      </c>
      <c r="O446" t="s">
        <v>175</v>
      </c>
      <c r="P446" t="str">
        <f>HYPERLINK("http://vk.com/club27863223")</f>
        <v>http://vk.com/club27863223</v>
      </c>
      <c r="Q446">
        <v>134698</v>
      </c>
      <c r="R446" t="s">
        <v>124</v>
      </c>
      <c r="S446" t="s">
        <v>125</v>
      </c>
      <c r="T446" t="s">
        <v>372</v>
      </c>
      <c r="U446" t="s">
        <v>1964</v>
      </c>
      <c r="W446">
        <v>0</v>
      </c>
      <c r="X446">
        <v>0</v>
      </c>
      <c r="AM446" t="s">
        <v>129</v>
      </c>
      <c r="AN446" t="s">
        <v>130</v>
      </c>
      <c r="AP446" t="s">
        <v>41</v>
      </c>
      <c r="AU446" t="s">
        <v>46</v>
      </c>
      <c r="AY446" t="s">
        <v>50</v>
      </c>
      <c r="AZ446" t="s">
        <v>51</v>
      </c>
      <c r="BA446" t="s">
        <v>52</v>
      </c>
    </row>
    <row r="447" spans="1:100" x14ac:dyDescent="0.2">
      <c r="A447" t="s">
        <v>1846</v>
      </c>
      <c r="B447" t="s">
        <v>1969</v>
      </c>
      <c r="C447" t="s">
        <v>1970</v>
      </c>
      <c r="D447" t="s">
        <v>1444</v>
      </c>
      <c r="E447" t="s">
        <v>1971</v>
      </c>
      <c r="F447" t="s">
        <v>118</v>
      </c>
      <c r="G447" t="str">
        <f>HYPERLINK("https://vk.com/wall-27863223_292411?reply=292413")</f>
        <v>https://vk.com/wall-27863223_292411?reply=292413</v>
      </c>
      <c r="H447" t="s">
        <v>119</v>
      </c>
      <c r="I447" t="s">
        <v>1972</v>
      </c>
      <c r="J447" t="str">
        <f>HYPERLINK("http://vk.com/id238891005")</f>
        <v>http://vk.com/id238891005</v>
      </c>
      <c r="K447">
        <v>73</v>
      </c>
      <c r="L447" t="s">
        <v>151</v>
      </c>
      <c r="N447" t="s">
        <v>122</v>
      </c>
      <c r="O447" t="s">
        <v>175</v>
      </c>
      <c r="P447" t="str">
        <f>HYPERLINK("http://vk.com/club27863223")</f>
        <v>http://vk.com/club27863223</v>
      </c>
      <c r="Q447">
        <v>134698</v>
      </c>
      <c r="R447" t="s">
        <v>124</v>
      </c>
      <c r="S447" t="s">
        <v>125</v>
      </c>
      <c r="T447" t="s">
        <v>1275</v>
      </c>
      <c r="U447" t="s">
        <v>1973</v>
      </c>
      <c r="W447">
        <v>0</v>
      </c>
      <c r="X447">
        <v>0</v>
      </c>
      <c r="AM447" t="s">
        <v>129</v>
      </c>
      <c r="AN447" t="s">
        <v>130</v>
      </c>
      <c r="AP447" t="s">
        <v>41</v>
      </c>
      <c r="AU447" t="s">
        <v>46</v>
      </c>
      <c r="AY447" t="s">
        <v>50</v>
      </c>
      <c r="BA447" t="s">
        <v>52</v>
      </c>
      <c r="BE447" t="s">
        <v>56</v>
      </c>
    </row>
    <row r="448" spans="1:100" x14ac:dyDescent="0.2">
      <c r="A448" t="s">
        <v>1846</v>
      </c>
      <c r="B448" t="s">
        <v>1974</v>
      </c>
      <c r="C448" t="s">
        <v>1970</v>
      </c>
      <c r="D448" t="s">
        <v>1444</v>
      </c>
      <c r="E448" t="s">
        <v>1975</v>
      </c>
      <c r="F448" t="s">
        <v>118</v>
      </c>
      <c r="G448" t="str">
        <f>HYPERLINK("https://vk.com/wall-27863223_292411?reply=292412")</f>
        <v>https://vk.com/wall-27863223_292411?reply=292412</v>
      </c>
      <c r="H448" t="s">
        <v>228</v>
      </c>
      <c r="I448" t="s">
        <v>1963</v>
      </c>
      <c r="J448" t="str">
        <f>HYPERLINK("http://vk.com/id6849977")</f>
        <v>http://vk.com/id6849977</v>
      </c>
      <c r="K448">
        <v>57</v>
      </c>
      <c r="L448" t="s">
        <v>121</v>
      </c>
      <c r="M448">
        <v>32</v>
      </c>
      <c r="N448" t="s">
        <v>122</v>
      </c>
      <c r="O448" t="s">
        <v>175</v>
      </c>
      <c r="P448" t="str">
        <f>HYPERLINK("http://vk.com/club27863223")</f>
        <v>http://vk.com/club27863223</v>
      </c>
      <c r="Q448">
        <v>134698</v>
      </c>
      <c r="R448" t="s">
        <v>124</v>
      </c>
      <c r="S448" t="s">
        <v>125</v>
      </c>
      <c r="T448" t="s">
        <v>372</v>
      </c>
      <c r="U448" t="s">
        <v>1964</v>
      </c>
      <c r="W448">
        <v>0</v>
      </c>
      <c r="X448">
        <v>0</v>
      </c>
      <c r="AM448" t="s">
        <v>129</v>
      </c>
      <c r="AN448" t="s">
        <v>130</v>
      </c>
      <c r="AP448" t="s">
        <v>41</v>
      </c>
      <c r="AZ448" t="s">
        <v>51</v>
      </c>
      <c r="BA448" t="s">
        <v>52</v>
      </c>
    </row>
    <row r="449" spans="1:66" x14ac:dyDescent="0.2">
      <c r="A449" t="s">
        <v>1846</v>
      </c>
      <c r="B449" t="s">
        <v>1976</v>
      </c>
      <c r="C449" t="s">
        <v>1977</v>
      </c>
      <c r="D449" t="s">
        <v>129</v>
      </c>
      <c r="E449" t="s">
        <v>1978</v>
      </c>
      <c r="F449" t="s">
        <v>180</v>
      </c>
      <c r="G449" t="str">
        <f>HYPERLINK("https://vk.com/wall-59463040_1474139")</f>
        <v>https://vk.com/wall-59463040_1474139</v>
      </c>
      <c r="H449" t="s">
        <v>119</v>
      </c>
      <c r="I449" t="s">
        <v>1979</v>
      </c>
      <c r="J449" t="str">
        <f>HYPERLINK("http://vk.com/id367020315")</f>
        <v>http://vk.com/id367020315</v>
      </c>
      <c r="K449">
        <v>320</v>
      </c>
      <c r="L449" t="s">
        <v>121</v>
      </c>
      <c r="N449" t="s">
        <v>122</v>
      </c>
      <c r="O449" t="s">
        <v>1869</v>
      </c>
      <c r="P449" t="str">
        <f>HYPERLINK("http://vk.com/club59463040")</f>
        <v>http://vk.com/club59463040</v>
      </c>
      <c r="Q449">
        <v>54138</v>
      </c>
      <c r="R449" t="s">
        <v>124</v>
      </c>
      <c r="S449" t="s">
        <v>125</v>
      </c>
      <c r="T449" t="s">
        <v>1027</v>
      </c>
      <c r="U449" t="s">
        <v>1028</v>
      </c>
      <c r="W449">
        <v>1</v>
      </c>
      <c r="X449">
        <v>1</v>
      </c>
      <c r="AE449">
        <v>4</v>
      </c>
      <c r="AF449">
        <v>0</v>
      </c>
      <c r="AG449">
        <v>2873</v>
      </c>
      <c r="AM449" t="s">
        <v>129</v>
      </c>
      <c r="AN449" t="s">
        <v>130</v>
      </c>
      <c r="AP449" t="s">
        <v>41</v>
      </c>
      <c r="AU449" t="s">
        <v>46</v>
      </c>
      <c r="AZ449" t="s">
        <v>51</v>
      </c>
      <c r="BA449" t="s">
        <v>52</v>
      </c>
    </row>
    <row r="450" spans="1:66" x14ac:dyDescent="0.2">
      <c r="A450" t="s">
        <v>1846</v>
      </c>
      <c r="B450" t="s">
        <v>1980</v>
      </c>
      <c r="C450" t="s">
        <v>1981</v>
      </c>
      <c r="D450" t="s">
        <v>1444</v>
      </c>
      <c r="E450" t="s">
        <v>1982</v>
      </c>
      <c r="F450" t="s">
        <v>180</v>
      </c>
      <c r="G450" t="str">
        <f>HYPERLINK("https://ok.ru/group/51085510115462/topic/153498236396934")</f>
        <v>https://ok.ru/group/51085510115462/topic/153498236396934</v>
      </c>
      <c r="H450" t="s">
        <v>119</v>
      </c>
      <c r="I450" t="s">
        <v>175</v>
      </c>
      <c r="J450" t="str">
        <f>HYPERLINK("https://ok.ru/group/51085510115462")</f>
        <v>https://ok.ru/group/51085510115462</v>
      </c>
      <c r="K450">
        <v>94768</v>
      </c>
      <c r="L450" t="s">
        <v>340</v>
      </c>
      <c r="N450" t="s">
        <v>347</v>
      </c>
      <c r="O450" t="s">
        <v>175</v>
      </c>
      <c r="P450" t="str">
        <f>HYPERLINK("https://ok.ru/group/51085510115462")</f>
        <v>https://ok.ru/group/51085510115462</v>
      </c>
      <c r="Q450">
        <v>94768</v>
      </c>
      <c r="R450" t="s">
        <v>124</v>
      </c>
      <c r="W450">
        <v>31</v>
      </c>
      <c r="X450">
        <v>31</v>
      </c>
      <c r="Y450">
        <v>0</v>
      </c>
      <c r="Z450">
        <v>0</v>
      </c>
      <c r="AA450">
        <v>0</v>
      </c>
      <c r="AB450">
        <v>0</v>
      </c>
      <c r="AE450">
        <v>0</v>
      </c>
      <c r="AF450">
        <v>1</v>
      </c>
      <c r="AJ450" t="s">
        <v>588</v>
      </c>
      <c r="AK450" t="s">
        <v>1983</v>
      </c>
      <c r="AL450" t="str">
        <f>HYPERLINK("https://i.mycdn.me/image?id=918984994182&amp;t=20&amp;plc=API&amp;aid=1131601408&amp;tkn=*3rDanBVrzMK6HE4oFng4CsPiXDI")</f>
        <v>https://i.mycdn.me/image?id=918984994182&amp;t=20&amp;plc=API&amp;aid=1131601408&amp;tkn=*3rDanBVrzMK6HE4oFng4CsPiXDI</v>
      </c>
      <c r="AM450" t="s">
        <v>129</v>
      </c>
      <c r="AN450" t="s">
        <v>130</v>
      </c>
      <c r="BI450" t="s">
        <v>60</v>
      </c>
    </row>
    <row r="451" spans="1:66" x14ac:dyDescent="0.2">
      <c r="A451" t="s">
        <v>1846</v>
      </c>
      <c r="B451" t="s">
        <v>1984</v>
      </c>
      <c r="C451" t="s">
        <v>1985</v>
      </c>
      <c r="D451" t="s">
        <v>129</v>
      </c>
      <c r="E451" t="s">
        <v>1982</v>
      </c>
      <c r="F451" t="s">
        <v>180</v>
      </c>
      <c r="G451" t="str">
        <f>HYPERLINK("https://www.facebook.com/tricolortv/posts/4125196734201232")</f>
        <v>https://www.facebook.com/tricolortv/posts/4125196734201232</v>
      </c>
      <c r="H451" t="s">
        <v>119</v>
      </c>
      <c r="I451" t="s">
        <v>175</v>
      </c>
      <c r="J451" t="str">
        <f>HYPERLINK("https://www.facebook.com/206198386101106")</f>
        <v>https://www.facebook.com/206198386101106</v>
      </c>
      <c r="K451">
        <v>16432</v>
      </c>
      <c r="L451" t="s">
        <v>340</v>
      </c>
      <c r="N451" t="s">
        <v>305</v>
      </c>
      <c r="O451" t="s">
        <v>175</v>
      </c>
      <c r="P451" t="str">
        <f>HYPERLINK("https://www.facebook.com/206198386101106")</f>
        <v>https://www.facebook.com/206198386101106</v>
      </c>
      <c r="Q451">
        <v>16432</v>
      </c>
      <c r="R451" t="s">
        <v>124</v>
      </c>
      <c r="W451">
        <v>0</v>
      </c>
      <c r="X451">
        <v>0</v>
      </c>
      <c r="Y451">
        <v>0</v>
      </c>
      <c r="Z451">
        <v>0</v>
      </c>
      <c r="AA451">
        <v>0</v>
      </c>
      <c r="AB451">
        <v>0</v>
      </c>
      <c r="AC451">
        <v>0</v>
      </c>
      <c r="AE451">
        <v>0</v>
      </c>
      <c r="AF451">
        <v>0</v>
      </c>
      <c r="AJ451" t="s">
        <v>588</v>
      </c>
      <c r="AK451" t="s">
        <v>1983</v>
      </c>
      <c r="AL451" t="s">
        <v>1986</v>
      </c>
      <c r="AM451" t="s">
        <v>129</v>
      </c>
      <c r="AN451" t="s">
        <v>130</v>
      </c>
      <c r="BI451" t="s">
        <v>60</v>
      </c>
    </row>
    <row r="452" spans="1:66" x14ac:dyDescent="0.2">
      <c r="A452" t="s">
        <v>1846</v>
      </c>
      <c r="B452" t="s">
        <v>1987</v>
      </c>
      <c r="C452" t="s">
        <v>1988</v>
      </c>
      <c r="D452" t="s">
        <v>1989</v>
      </c>
      <c r="E452" t="s">
        <v>1990</v>
      </c>
      <c r="F452" t="s">
        <v>118</v>
      </c>
      <c r="G452" t="str">
        <f>HYPERLINK("https://vk.com/wall-385878_304121?reply=304324&amp;thread=304205")</f>
        <v>https://vk.com/wall-385878_304121?reply=304324&amp;thread=304205</v>
      </c>
      <c r="H452" t="s">
        <v>119</v>
      </c>
      <c r="I452" t="s">
        <v>1991</v>
      </c>
      <c r="J452" t="str">
        <f>HYPERLINK("http://vk.com/id17625219")</f>
        <v>http://vk.com/id17625219</v>
      </c>
      <c r="K452">
        <v>89</v>
      </c>
      <c r="L452" t="s">
        <v>121</v>
      </c>
      <c r="M452">
        <v>34</v>
      </c>
      <c r="N452" t="s">
        <v>122</v>
      </c>
      <c r="O452" t="s">
        <v>1992</v>
      </c>
      <c r="P452" t="str">
        <f>HYPERLINK("http://vk.com/club385878")</f>
        <v>http://vk.com/club385878</v>
      </c>
      <c r="Q452">
        <v>12352</v>
      </c>
      <c r="R452" t="s">
        <v>124</v>
      </c>
      <c r="S452" t="s">
        <v>125</v>
      </c>
      <c r="T452" t="s">
        <v>137</v>
      </c>
      <c r="U452" t="s">
        <v>137</v>
      </c>
      <c r="AM452" t="s">
        <v>129</v>
      </c>
      <c r="AN452" t="s">
        <v>130</v>
      </c>
      <c r="AP452" t="s">
        <v>41</v>
      </c>
      <c r="AT452" t="s">
        <v>45</v>
      </c>
      <c r="AZ452" t="s">
        <v>51</v>
      </c>
      <c r="BA452" t="s">
        <v>52</v>
      </c>
      <c r="BL452" t="s">
        <v>63</v>
      </c>
      <c r="BM452" t="s">
        <v>64</v>
      </c>
    </row>
    <row r="453" spans="1:66" x14ac:dyDescent="0.2">
      <c r="A453" t="s">
        <v>1846</v>
      </c>
      <c r="B453" t="s">
        <v>1993</v>
      </c>
      <c r="C453" t="s">
        <v>1994</v>
      </c>
      <c r="D453" t="s">
        <v>1995</v>
      </c>
      <c r="E453" t="s">
        <v>1996</v>
      </c>
      <c r="F453" t="s">
        <v>118</v>
      </c>
      <c r="G453" t="str">
        <f>HYPERLINK("https://vk.com/wall-64899895_750030?reply=750193")</f>
        <v>https://vk.com/wall-64899895_750030?reply=750193</v>
      </c>
      <c r="H453" t="s">
        <v>181</v>
      </c>
      <c r="I453" t="s">
        <v>1997</v>
      </c>
      <c r="J453" t="str">
        <f>HYPERLINK("http://vk.com/id146169246")</f>
        <v>http://vk.com/id146169246</v>
      </c>
      <c r="K453">
        <v>572</v>
      </c>
      <c r="L453" t="s">
        <v>121</v>
      </c>
      <c r="N453" t="s">
        <v>122</v>
      </c>
      <c r="O453" t="s">
        <v>1998</v>
      </c>
      <c r="P453" t="str">
        <f>HYPERLINK("http://vk.com/club64899895")</f>
        <v>http://vk.com/club64899895</v>
      </c>
      <c r="Q453">
        <v>29365</v>
      </c>
      <c r="R453" t="s">
        <v>124</v>
      </c>
      <c r="AM453" t="s">
        <v>129</v>
      </c>
      <c r="AN453" t="s">
        <v>130</v>
      </c>
      <c r="AP453" t="s">
        <v>41</v>
      </c>
      <c r="AY453" t="s">
        <v>50</v>
      </c>
      <c r="AZ453" t="s">
        <v>51</v>
      </c>
      <c r="BA453" t="s">
        <v>52</v>
      </c>
    </row>
    <row r="454" spans="1:66" x14ac:dyDescent="0.2">
      <c r="A454" t="s">
        <v>1846</v>
      </c>
      <c r="B454" t="s">
        <v>1999</v>
      </c>
      <c r="C454" t="s">
        <v>2000</v>
      </c>
      <c r="D454" t="s">
        <v>2001</v>
      </c>
      <c r="E454" t="s">
        <v>2002</v>
      </c>
      <c r="F454" t="s">
        <v>118</v>
      </c>
      <c r="G454" t="str">
        <f>HYPERLINK("https://ok.ru/group/51085510115462/topic/153461283857798#MTYyNzQ3OTc0MzM2ODotMzQ2NzoxNjI3NDc5NzQzMzY4OjE1MzQ2MTI4Mzg1Nzc5ODox")</f>
        <v>https://ok.ru/group/51085510115462/topic/153461283857798#MTYyNzQ3OTc0MzM2ODotMzQ2NzoxNjI3NDc5NzQzMzY4OjE1MzQ2MTI4Mzg1Nzc5ODox</v>
      </c>
      <c r="H454" t="s">
        <v>228</v>
      </c>
      <c r="I454" t="s">
        <v>2003</v>
      </c>
      <c r="J454" t="str">
        <f>HYPERLINK("https://ok.ru/profile/474559885817")</f>
        <v>https://ok.ru/profile/474559885817</v>
      </c>
      <c r="K454">
        <v>167</v>
      </c>
      <c r="L454" t="s">
        <v>151</v>
      </c>
      <c r="M454">
        <v>48</v>
      </c>
      <c r="N454" t="s">
        <v>347</v>
      </c>
      <c r="O454" t="s">
        <v>175</v>
      </c>
      <c r="P454" t="str">
        <f>HYPERLINK("https://ok.ru/group/51085510115462")</f>
        <v>https://ok.ru/group/51085510115462</v>
      </c>
      <c r="Q454">
        <v>94768</v>
      </c>
      <c r="R454" t="s">
        <v>124</v>
      </c>
      <c r="S454" t="s">
        <v>125</v>
      </c>
      <c r="T454" t="s">
        <v>601</v>
      </c>
      <c r="U454" t="s">
        <v>2004</v>
      </c>
      <c r="W454">
        <v>1</v>
      </c>
      <c r="X454">
        <v>1</v>
      </c>
      <c r="AM454" t="s">
        <v>129</v>
      </c>
      <c r="AN454" t="s">
        <v>130</v>
      </c>
      <c r="AP454" t="s">
        <v>41</v>
      </c>
      <c r="AW454" t="s">
        <v>48</v>
      </c>
      <c r="BA454" t="s">
        <v>52</v>
      </c>
      <c r="BF454" t="s">
        <v>57</v>
      </c>
      <c r="BL454" t="s">
        <v>63</v>
      </c>
      <c r="BN454" t="s">
        <v>65</v>
      </c>
    </row>
    <row r="455" spans="1:66" x14ac:dyDescent="0.2">
      <c r="A455" t="s">
        <v>1846</v>
      </c>
      <c r="B455" t="s">
        <v>2005</v>
      </c>
      <c r="C455" t="s">
        <v>2006</v>
      </c>
      <c r="D455" t="s">
        <v>1829</v>
      </c>
      <c r="E455" t="s">
        <v>2007</v>
      </c>
      <c r="F455" t="s">
        <v>118</v>
      </c>
      <c r="G455" t="str">
        <f>HYPERLINK("https://vk.com/wall-27863223_292322?reply=292406&amp;thread=292338")</f>
        <v>https://vk.com/wall-27863223_292322?reply=292406&amp;thread=292338</v>
      </c>
      <c r="H455" t="s">
        <v>119</v>
      </c>
      <c r="I455" t="s">
        <v>2008</v>
      </c>
      <c r="J455" t="str">
        <f>HYPERLINK("http://vk.com/id172907459")</f>
        <v>http://vk.com/id172907459</v>
      </c>
      <c r="K455">
        <v>75</v>
      </c>
      <c r="L455" t="s">
        <v>121</v>
      </c>
      <c r="N455" t="s">
        <v>122</v>
      </c>
      <c r="O455" t="s">
        <v>175</v>
      </c>
      <c r="P455" t="str">
        <f>HYPERLINK("http://vk.com/club27863223")</f>
        <v>http://vk.com/club27863223</v>
      </c>
      <c r="Q455">
        <v>134698</v>
      </c>
      <c r="R455" t="s">
        <v>124</v>
      </c>
      <c r="AM455" t="s">
        <v>129</v>
      </c>
      <c r="AN455" t="s">
        <v>130</v>
      </c>
      <c r="AP455" t="s">
        <v>41</v>
      </c>
      <c r="AU455" t="s">
        <v>46</v>
      </c>
      <c r="AY455" t="s">
        <v>50</v>
      </c>
      <c r="AZ455" t="s">
        <v>51</v>
      </c>
      <c r="BA455" t="s">
        <v>52</v>
      </c>
    </row>
    <row r="456" spans="1:66" x14ac:dyDescent="0.2">
      <c r="A456" t="s">
        <v>1846</v>
      </c>
      <c r="B456" t="s">
        <v>2009</v>
      </c>
      <c r="C456" t="s">
        <v>2010</v>
      </c>
      <c r="D456" t="s">
        <v>2011</v>
      </c>
      <c r="E456" t="s">
        <v>2012</v>
      </c>
      <c r="F456" t="s">
        <v>118</v>
      </c>
      <c r="G456" t="str">
        <f>HYPERLINK("https://telegram.me/kudrovotalk/62949")</f>
        <v>https://telegram.me/kudrovotalk/62949</v>
      </c>
      <c r="H456" t="s">
        <v>228</v>
      </c>
      <c r="I456" t="s">
        <v>2013</v>
      </c>
      <c r="J456" t="str">
        <f>HYPERLINK("https://telegram.me/sem_p_1")</f>
        <v>https://telegram.me/sem_p_1</v>
      </c>
      <c r="N456" t="s">
        <v>143</v>
      </c>
      <c r="O456" t="s">
        <v>2014</v>
      </c>
      <c r="P456" t="str">
        <f>HYPERLINK("https://telegram.me/kudrovotalk")</f>
        <v>https://telegram.me/kudrovotalk</v>
      </c>
      <c r="Q456">
        <v>671</v>
      </c>
      <c r="R456" t="s">
        <v>145</v>
      </c>
      <c r="AM456" t="s">
        <v>129</v>
      </c>
      <c r="AN456" t="s">
        <v>130</v>
      </c>
      <c r="AP456" t="s">
        <v>41</v>
      </c>
      <c r="AT456" t="s">
        <v>45</v>
      </c>
      <c r="AU456" t="s">
        <v>46</v>
      </c>
      <c r="AY456" t="s">
        <v>50</v>
      </c>
      <c r="AZ456" t="s">
        <v>51</v>
      </c>
      <c r="BA456" t="s">
        <v>52</v>
      </c>
      <c r="BL456" t="s">
        <v>63</v>
      </c>
    </row>
    <row r="457" spans="1:66" x14ac:dyDescent="0.2">
      <c r="A457" t="s">
        <v>1846</v>
      </c>
      <c r="B457" t="s">
        <v>2015</v>
      </c>
      <c r="C457" t="s">
        <v>2016</v>
      </c>
      <c r="D457" t="s">
        <v>1031</v>
      </c>
      <c r="E457" t="s">
        <v>2017</v>
      </c>
      <c r="F457" t="s">
        <v>118</v>
      </c>
      <c r="G457" t="str">
        <f>HYPERLINK("https://vk.com/wall-27863223_292230?w=wall-27863223_292230_r292398")</f>
        <v>https://vk.com/wall-27863223_292230?w=wall-27863223_292230_r292398</v>
      </c>
      <c r="H457" t="s">
        <v>119</v>
      </c>
      <c r="I457" t="s">
        <v>2018</v>
      </c>
      <c r="J457" t="str">
        <f>HYPERLINK("http://vk.com/id406198029")</f>
        <v>http://vk.com/id406198029</v>
      </c>
      <c r="K457">
        <v>253</v>
      </c>
      <c r="L457" t="s">
        <v>121</v>
      </c>
      <c r="M457">
        <v>41</v>
      </c>
      <c r="N457" t="s">
        <v>122</v>
      </c>
      <c r="O457" t="s">
        <v>175</v>
      </c>
      <c r="P457" t="str">
        <f>HYPERLINK("http://vk.com/club27863223")</f>
        <v>http://vk.com/club27863223</v>
      </c>
      <c r="Q457">
        <v>134698</v>
      </c>
      <c r="R457" t="s">
        <v>124</v>
      </c>
      <c r="S457" t="s">
        <v>125</v>
      </c>
      <c r="W457">
        <v>0</v>
      </c>
      <c r="X457">
        <v>0</v>
      </c>
      <c r="AM457" t="s">
        <v>129</v>
      </c>
      <c r="AN457" t="s">
        <v>130</v>
      </c>
      <c r="AP457" t="s">
        <v>41</v>
      </c>
      <c r="AU457" t="s">
        <v>46</v>
      </c>
      <c r="AZ457" t="s">
        <v>51</v>
      </c>
      <c r="BA457" t="s">
        <v>52</v>
      </c>
    </row>
    <row r="458" spans="1:66" x14ac:dyDescent="0.2">
      <c r="A458" t="s">
        <v>1846</v>
      </c>
      <c r="B458" t="s">
        <v>2019</v>
      </c>
      <c r="C458" t="s">
        <v>2016</v>
      </c>
      <c r="D458" t="s">
        <v>1031</v>
      </c>
      <c r="E458" t="s">
        <v>2020</v>
      </c>
      <c r="F458" t="s">
        <v>118</v>
      </c>
      <c r="G458" t="str">
        <f>HYPERLINK("https://vk.com/wall-27863223_292230?w=wall-27863223_292230_r292397")</f>
        <v>https://vk.com/wall-27863223_292230?w=wall-27863223_292230_r292397</v>
      </c>
      <c r="H458" t="s">
        <v>228</v>
      </c>
      <c r="I458" t="s">
        <v>2021</v>
      </c>
      <c r="J458" t="str">
        <f>HYPERLINK("http://vk.com/id597165387")</f>
        <v>http://vk.com/id597165387</v>
      </c>
      <c r="K458">
        <v>44</v>
      </c>
      <c r="L458" t="s">
        <v>121</v>
      </c>
      <c r="M458">
        <v>21</v>
      </c>
      <c r="N458" t="s">
        <v>122</v>
      </c>
      <c r="O458" t="s">
        <v>175</v>
      </c>
      <c r="P458" t="str">
        <f>HYPERLINK("http://vk.com/club27863223")</f>
        <v>http://vk.com/club27863223</v>
      </c>
      <c r="Q458">
        <v>134698</v>
      </c>
      <c r="R458" t="s">
        <v>124</v>
      </c>
      <c r="S458" t="s">
        <v>125</v>
      </c>
      <c r="T458" t="s">
        <v>169</v>
      </c>
      <c r="U458" t="s">
        <v>169</v>
      </c>
      <c r="W458">
        <v>0</v>
      </c>
      <c r="X458">
        <v>0</v>
      </c>
      <c r="AM458" t="s">
        <v>129</v>
      </c>
      <c r="AN458" t="s">
        <v>130</v>
      </c>
      <c r="AP458" t="s">
        <v>41</v>
      </c>
      <c r="AZ458" t="s">
        <v>51</v>
      </c>
      <c r="BD458" t="s">
        <v>55</v>
      </c>
    </row>
    <row r="459" spans="1:66" x14ac:dyDescent="0.2">
      <c r="A459" t="s">
        <v>1846</v>
      </c>
      <c r="B459" t="s">
        <v>417</v>
      </c>
      <c r="C459" t="s">
        <v>2016</v>
      </c>
      <c r="D459" t="s">
        <v>1031</v>
      </c>
      <c r="E459" t="s">
        <v>2022</v>
      </c>
      <c r="F459" t="s">
        <v>118</v>
      </c>
      <c r="G459" t="str">
        <f>HYPERLINK("https://vk.com/wall-27863223_292230?w=wall-27863223_292230_r292395")</f>
        <v>https://vk.com/wall-27863223_292230?w=wall-27863223_292230_r292395</v>
      </c>
      <c r="H459" t="s">
        <v>119</v>
      </c>
      <c r="I459" t="s">
        <v>2018</v>
      </c>
      <c r="J459" t="str">
        <f>HYPERLINK("http://vk.com/id406198029")</f>
        <v>http://vk.com/id406198029</v>
      </c>
      <c r="K459">
        <v>253</v>
      </c>
      <c r="L459" t="s">
        <v>121</v>
      </c>
      <c r="M459">
        <v>41</v>
      </c>
      <c r="N459" t="s">
        <v>122</v>
      </c>
      <c r="O459" t="s">
        <v>175</v>
      </c>
      <c r="P459" t="str">
        <f>HYPERLINK("http://vk.com/club27863223")</f>
        <v>http://vk.com/club27863223</v>
      </c>
      <c r="Q459">
        <v>134698</v>
      </c>
      <c r="R459" t="s">
        <v>124</v>
      </c>
      <c r="S459" t="s">
        <v>125</v>
      </c>
      <c r="W459">
        <v>0</v>
      </c>
      <c r="X459">
        <v>0</v>
      </c>
      <c r="AM459" t="s">
        <v>129</v>
      </c>
      <c r="AN459" t="s">
        <v>130</v>
      </c>
      <c r="AP459" t="s">
        <v>41</v>
      </c>
      <c r="AU459" t="s">
        <v>46</v>
      </c>
      <c r="AZ459" t="s">
        <v>51</v>
      </c>
      <c r="BA459" t="s">
        <v>52</v>
      </c>
    </row>
    <row r="460" spans="1:66" x14ac:dyDescent="0.2">
      <c r="A460" t="s">
        <v>1846</v>
      </c>
      <c r="B460" t="s">
        <v>2023</v>
      </c>
      <c r="C460" t="s">
        <v>2024</v>
      </c>
      <c r="D460" t="s">
        <v>1031</v>
      </c>
      <c r="E460" t="s">
        <v>2025</v>
      </c>
      <c r="F460" t="s">
        <v>118</v>
      </c>
      <c r="G460" t="str">
        <f>HYPERLINK("https://vk.com/wall-27863223_292230?reply=292391&amp;thread=292283")</f>
        <v>https://vk.com/wall-27863223_292230?reply=292391&amp;thread=292283</v>
      </c>
      <c r="H460" t="s">
        <v>119</v>
      </c>
      <c r="I460" t="s">
        <v>2018</v>
      </c>
      <c r="J460" t="str">
        <f>HYPERLINK("http://vk.com/id406198029")</f>
        <v>http://vk.com/id406198029</v>
      </c>
      <c r="K460">
        <v>253</v>
      </c>
      <c r="L460" t="s">
        <v>121</v>
      </c>
      <c r="M460">
        <v>41</v>
      </c>
      <c r="N460" t="s">
        <v>122</v>
      </c>
      <c r="O460" t="s">
        <v>175</v>
      </c>
      <c r="P460" t="str">
        <f>HYPERLINK("http://vk.com/club27863223")</f>
        <v>http://vk.com/club27863223</v>
      </c>
      <c r="Q460">
        <v>134698</v>
      </c>
      <c r="R460" t="s">
        <v>124</v>
      </c>
      <c r="S460" t="s">
        <v>125</v>
      </c>
      <c r="AM460" t="s">
        <v>129</v>
      </c>
      <c r="AN460" t="s">
        <v>130</v>
      </c>
      <c r="AP460" t="s">
        <v>41</v>
      </c>
      <c r="AU460" t="s">
        <v>46</v>
      </c>
      <c r="AZ460" t="s">
        <v>51</v>
      </c>
      <c r="BA460" t="s">
        <v>52</v>
      </c>
    </row>
    <row r="461" spans="1:66" x14ac:dyDescent="0.2">
      <c r="A461" t="s">
        <v>1846</v>
      </c>
      <c r="B461" t="s">
        <v>2026</v>
      </c>
      <c r="C461" t="s">
        <v>2016</v>
      </c>
      <c r="D461" t="s">
        <v>1031</v>
      </c>
      <c r="E461" t="s">
        <v>2027</v>
      </c>
      <c r="F461" t="s">
        <v>118</v>
      </c>
      <c r="G461" t="str">
        <f>HYPERLINK("https://vk.com/wall-27863223_292230?w=wall-27863223_292230_r292389")</f>
        <v>https://vk.com/wall-27863223_292230?w=wall-27863223_292230_r292389</v>
      </c>
      <c r="H461" t="s">
        <v>228</v>
      </c>
      <c r="I461" t="s">
        <v>2021</v>
      </c>
      <c r="J461" t="str">
        <f>HYPERLINK("http://vk.com/id597165387")</f>
        <v>http://vk.com/id597165387</v>
      </c>
      <c r="K461">
        <v>44</v>
      </c>
      <c r="L461" t="s">
        <v>121</v>
      </c>
      <c r="M461">
        <v>21</v>
      </c>
      <c r="N461" t="s">
        <v>122</v>
      </c>
      <c r="O461" t="s">
        <v>175</v>
      </c>
      <c r="P461" t="str">
        <f>HYPERLINK("http://vk.com/club27863223")</f>
        <v>http://vk.com/club27863223</v>
      </c>
      <c r="Q461">
        <v>134698</v>
      </c>
      <c r="R461" t="s">
        <v>124</v>
      </c>
      <c r="S461" t="s">
        <v>125</v>
      </c>
      <c r="T461" t="s">
        <v>169</v>
      </c>
      <c r="U461" t="s">
        <v>169</v>
      </c>
      <c r="W461">
        <v>0</v>
      </c>
      <c r="X461">
        <v>0</v>
      </c>
      <c r="AM461" t="s">
        <v>129</v>
      </c>
      <c r="AN461" t="s">
        <v>130</v>
      </c>
      <c r="AP461" t="s">
        <v>41</v>
      </c>
      <c r="AZ461" t="s">
        <v>51</v>
      </c>
      <c r="BD461" t="s">
        <v>55</v>
      </c>
    </row>
    <row r="462" spans="1:66" x14ac:dyDescent="0.2">
      <c r="A462" t="s">
        <v>1846</v>
      </c>
      <c r="B462" t="s">
        <v>2028</v>
      </c>
      <c r="C462" t="s">
        <v>2029</v>
      </c>
      <c r="D462" t="s">
        <v>1568</v>
      </c>
      <c r="E462" t="s">
        <v>2030</v>
      </c>
      <c r="F462" t="s">
        <v>180</v>
      </c>
      <c r="G462" t="str">
        <f>HYPERLINK("https://irecommend.ru/content/dvoinaya-oplata-0")</f>
        <v>https://irecommend.ru/content/dvoinaya-oplata-0</v>
      </c>
      <c r="H462" t="s">
        <v>228</v>
      </c>
      <c r="I462" t="s">
        <v>2031</v>
      </c>
      <c r="J462" t="str">
        <f>HYPERLINK("https://irecommend.ru/users/sedovat")</f>
        <v>https://irecommend.ru/users/sedovat</v>
      </c>
      <c r="N462" t="s">
        <v>1571</v>
      </c>
      <c r="O462" t="s">
        <v>1568</v>
      </c>
      <c r="P462" t="str">
        <f>HYPERLINK("https://irecommend.ru/content/sputnikovoe-televidenie-trikolortv")</f>
        <v>https://irecommend.ru/content/sputnikovoe-televidenie-trikolortv</v>
      </c>
      <c r="R462" t="s">
        <v>184</v>
      </c>
      <c r="S462" t="s">
        <v>125</v>
      </c>
      <c r="AE462">
        <v>1</v>
      </c>
      <c r="AH462">
        <v>1</v>
      </c>
      <c r="AM462" t="s">
        <v>129</v>
      </c>
      <c r="AN462" t="s">
        <v>130</v>
      </c>
      <c r="AP462" t="s">
        <v>41</v>
      </c>
      <c r="AU462" t="s">
        <v>46</v>
      </c>
      <c r="AX462" t="s">
        <v>49</v>
      </c>
      <c r="AY462" t="s">
        <v>50</v>
      </c>
      <c r="AZ462" t="s">
        <v>51</v>
      </c>
      <c r="BA462" t="s">
        <v>52</v>
      </c>
    </row>
    <row r="463" spans="1:66" x14ac:dyDescent="0.2">
      <c r="A463" t="s">
        <v>1846</v>
      </c>
      <c r="B463" t="s">
        <v>2032</v>
      </c>
      <c r="C463" t="s">
        <v>2033</v>
      </c>
      <c r="D463" t="s">
        <v>1563</v>
      </c>
      <c r="E463" t="s">
        <v>2034</v>
      </c>
      <c r="F463" t="s">
        <v>180</v>
      </c>
      <c r="G463" t="str">
        <f>HYPERLINK("https://otzovik.com/review_12231116.html")</f>
        <v>https://otzovik.com/review_12231116.html</v>
      </c>
      <c r="H463" t="s">
        <v>228</v>
      </c>
      <c r="I463" t="s">
        <v>2031</v>
      </c>
      <c r="J463" t="str">
        <f>HYPERLINK("http://otzovik.com/profile/sedovat")</f>
        <v>http://otzovik.com/profile/sedovat</v>
      </c>
      <c r="N463" t="s">
        <v>390</v>
      </c>
      <c r="O463" t="s">
        <v>1067</v>
      </c>
      <c r="P463" t="str">
        <f>HYPERLINK("https://otzovik.com/reviews/sputnikovoe_televidenie_trikolor_tv/")</f>
        <v>https://otzovik.com/reviews/sputnikovoe_televidenie_trikolor_tv/</v>
      </c>
      <c r="R463" t="s">
        <v>184</v>
      </c>
      <c r="S463" t="s">
        <v>125</v>
      </c>
      <c r="T463" t="s">
        <v>137</v>
      </c>
      <c r="U463" t="s">
        <v>137</v>
      </c>
      <c r="W463">
        <v>0</v>
      </c>
      <c r="X463">
        <v>0</v>
      </c>
      <c r="AE463">
        <v>0</v>
      </c>
      <c r="AH463">
        <v>1</v>
      </c>
      <c r="AM463" t="s">
        <v>129</v>
      </c>
      <c r="AN463" t="s">
        <v>130</v>
      </c>
      <c r="AP463" t="s">
        <v>41</v>
      </c>
      <c r="AU463" t="s">
        <v>46</v>
      </c>
      <c r="AX463" t="s">
        <v>49</v>
      </c>
      <c r="AY463" t="s">
        <v>50</v>
      </c>
      <c r="AZ463" t="s">
        <v>51</v>
      </c>
      <c r="BA463" t="s">
        <v>52</v>
      </c>
    </row>
    <row r="464" spans="1:66" x14ac:dyDescent="0.2">
      <c r="A464" t="s">
        <v>1846</v>
      </c>
      <c r="B464" t="s">
        <v>2035</v>
      </c>
      <c r="C464" t="s">
        <v>2036</v>
      </c>
      <c r="D464" t="s">
        <v>129</v>
      </c>
      <c r="E464" t="s">
        <v>2037</v>
      </c>
      <c r="F464" t="s">
        <v>180</v>
      </c>
      <c r="G464" t="str">
        <f>HYPERLINK("https://telegram.me/shedriy_alik/9036")</f>
        <v>https://telegram.me/shedriy_alik/9036</v>
      </c>
      <c r="H464" t="s">
        <v>119</v>
      </c>
      <c r="I464" t="s">
        <v>2038</v>
      </c>
      <c r="J464" t="str">
        <f>HYPERLINK("https://telegram.me/shedriy_alik")</f>
        <v>https://telegram.me/shedriy_alik</v>
      </c>
      <c r="K464">
        <v>22078</v>
      </c>
      <c r="L464" t="s">
        <v>340</v>
      </c>
      <c r="N464" t="s">
        <v>143</v>
      </c>
      <c r="O464" t="s">
        <v>2038</v>
      </c>
      <c r="P464" t="str">
        <f>HYPERLINK("https://telegram.me/shedriy_alik")</f>
        <v>https://telegram.me/shedriy_alik</v>
      </c>
      <c r="Q464">
        <v>22078</v>
      </c>
      <c r="R464" t="s">
        <v>145</v>
      </c>
      <c r="AG464">
        <v>2674</v>
      </c>
      <c r="AM464" t="s">
        <v>129</v>
      </c>
      <c r="AN464" t="s">
        <v>130</v>
      </c>
      <c r="AP464" t="s">
        <v>41</v>
      </c>
      <c r="AW464" t="s">
        <v>48</v>
      </c>
      <c r="AZ464" t="s">
        <v>51</v>
      </c>
      <c r="BA464" t="s">
        <v>52</v>
      </c>
    </row>
    <row r="465" spans="1:69" x14ac:dyDescent="0.2">
      <c r="A465" t="s">
        <v>1846</v>
      </c>
      <c r="B465" t="s">
        <v>449</v>
      </c>
      <c r="C465" t="s">
        <v>2039</v>
      </c>
      <c r="D465" t="s">
        <v>2040</v>
      </c>
      <c r="E465" t="s">
        <v>2041</v>
      </c>
      <c r="F465" t="s">
        <v>118</v>
      </c>
      <c r="G465" t="str">
        <f>HYPERLINK("https://vk.com/wall-124454000_768761?reply=769076&amp;thread=768951")</f>
        <v>https://vk.com/wall-124454000_768761?reply=769076&amp;thread=768951</v>
      </c>
      <c r="H465" t="s">
        <v>181</v>
      </c>
      <c r="I465" t="s">
        <v>1558</v>
      </c>
      <c r="J465" t="str">
        <f>HYPERLINK("http://vk.com/id597506727")</f>
        <v>http://vk.com/id597506727</v>
      </c>
      <c r="K465">
        <v>4</v>
      </c>
      <c r="L465" t="s">
        <v>121</v>
      </c>
      <c r="M465">
        <v>41</v>
      </c>
      <c r="N465" t="s">
        <v>122</v>
      </c>
      <c r="O465" t="s">
        <v>2042</v>
      </c>
      <c r="P465" t="str">
        <f>HYPERLINK("http://vk.com/club124454000")</f>
        <v>http://vk.com/club124454000</v>
      </c>
      <c r="Q465">
        <v>26581</v>
      </c>
      <c r="R465" t="s">
        <v>124</v>
      </c>
      <c r="S465" t="s">
        <v>125</v>
      </c>
      <c r="T465" t="s">
        <v>230</v>
      </c>
      <c r="U465" t="s">
        <v>1559</v>
      </c>
      <c r="AM465" t="s">
        <v>129</v>
      </c>
      <c r="AN465" t="s">
        <v>130</v>
      </c>
      <c r="AP465" t="s">
        <v>41</v>
      </c>
      <c r="AY465" t="s">
        <v>50</v>
      </c>
      <c r="AZ465" t="s">
        <v>51</v>
      </c>
      <c r="BA465" t="s">
        <v>52</v>
      </c>
    </row>
    <row r="466" spans="1:69" x14ac:dyDescent="0.2">
      <c r="A466" t="s">
        <v>1846</v>
      </c>
      <c r="B466" t="s">
        <v>978</v>
      </c>
      <c r="C466" t="s">
        <v>2043</v>
      </c>
      <c r="D466" t="s">
        <v>204</v>
      </c>
      <c r="E466" t="s">
        <v>2044</v>
      </c>
      <c r="F466" t="s">
        <v>180</v>
      </c>
      <c r="G466" t="str">
        <f>HYPERLINK("https://play.google.com/store/apps/details?id=ru.iflex.android.a3colortv&amp;reviewId=gp:AOqpTOHB2SwmLuVx3h0Es7Sk_gN4DOX-aJsroF1-__HMo9YcoZxPBwLtF__zK02SX2TzPb14dQFc9dPO7lcK5A")</f>
        <v>https://play.google.com/store/apps/details?id=ru.iflex.android.a3colortv&amp;reviewId=gp:AOqpTOHB2SwmLuVx3h0Es7Sk_gN4DOX-aJsroF1-__HMo9YcoZxPBwLtF__zK02SX2TzPb14dQFc9dPO7lcK5A</v>
      </c>
      <c r="H466" t="s">
        <v>181</v>
      </c>
      <c r="I466" t="s">
        <v>2045</v>
      </c>
      <c r="J466" t="str">
        <f>HYPERLINK("https://plus.google.com/100578991623875746593")</f>
        <v>https://plus.google.com/100578991623875746593</v>
      </c>
      <c r="L466" t="s">
        <v>151</v>
      </c>
      <c r="N466" t="s">
        <v>207</v>
      </c>
      <c r="O466" t="s">
        <v>204</v>
      </c>
      <c r="P466" t="str">
        <f>HYPERLINK("https://play.google.com/store/apps/details?id=ru.iflex.android.a3colortv&amp;hl=ru")</f>
        <v>https://play.google.com/store/apps/details?id=ru.iflex.android.a3colortv&amp;hl=ru</v>
      </c>
      <c r="R466" t="s">
        <v>184</v>
      </c>
      <c r="S466" t="s">
        <v>125</v>
      </c>
      <c r="W466">
        <v>0</v>
      </c>
      <c r="X466">
        <v>0</v>
      </c>
      <c r="AH466">
        <v>5</v>
      </c>
      <c r="AM466" t="s">
        <v>129</v>
      </c>
      <c r="AN466" t="s">
        <v>130</v>
      </c>
      <c r="AP466" t="s">
        <v>41</v>
      </c>
      <c r="AZ466" t="s">
        <v>51</v>
      </c>
      <c r="BA466" t="s">
        <v>52</v>
      </c>
      <c r="BQ466" t="s">
        <v>68</v>
      </c>
    </row>
    <row r="467" spans="1:69" x14ac:dyDescent="0.2">
      <c r="A467" t="s">
        <v>1846</v>
      </c>
      <c r="B467" t="s">
        <v>978</v>
      </c>
      <c r="C467" t="s">
        <v>2046</v>
      </c>
      <c r="D467" t="s">
        <v>2047</v>
      </c>
      <c r="E467" t="s">
        <v>2048</v>
      </c>
      <c r="F467" t="s">
        <v>118</v>
      </c>
      <c r="G467" t="str">
        <f>HYPERLINK("https://habr.com/news/t/569306/#comment_23309254")</f>
        <v>https://habr.com/news/t/569306/#comment_23309254</v>
      </c>
      <c r="H467" t="s">
        <v>119</v>
      </c>
      <c r="J467" t="str">
        <f>HYPERLINK("https://habr.com/users/syakimov/")</f>
        <v>https://habr.com/users/syakimov/</v>
      </c>
      <c r="K467">
        <v>0</v>
      </c>
      <c r="L467" t="s">
        <v>340</v>
      </c>
      <c r="N467" t="s">
        <v>2049</v>
      </c>
      <c r="O467" t="s">
        <v>2050</v>
      </c>
      <c r="P467" t="str">
        <f>HYPERLINK("https://habr.com/hub/wireless")</f>
        <v>https://habr.com/hub/wireless</v>
      </c>
      <c r="R467" t="s">
        <v>785</v>
      </c>
      <c r="AM467" t="s">
        <v>129</v>
      </c>
      <c r="AN467" t="s">
        <v>130</v>
      </c>
      <c r="AP467" t="s">
        <v>41</v>
      </c>
      <c r="AZ467" t="s">
        <v>51</v>
      </c>
      <c r="BB467" t="s">
        <v>53</v>
      </c>
    </row>
    <row r="468" spans="1:69" x14ac:dyDescent="0.2">
      <c r="A468" t="s">
        <v>1846</v>
      </c>
      <c r="B468" t="s">
        <v>991</v>
      </c>
      <c r="C468" t="s">
        <v>2051</v>
      </c>
      <c r="D468" t="s">
        <v>2052</v>
      </c>
      <c r="E468" t="s">
        <v>2053</v>
      </c>
      <c r="F468" t="s">
        <v>180</v>
      </c>
      <c r="G468" t="str">
        <f>HYPERLINK("https://www.wildberries.ru/catalog/17288086/detail.aspx?targetUrl=ES#Comments")</f>
        <v>https://www.wildberries.ru/catalog/17288086/detail.aspx?targetUrl=ES#Comments</v>
      </c>
      <c r="H468" t="s">
        <v>181</v>
      </c>
      <c r="I468" t="s">
        <v>2054</v>
      </c>
      <c r="J468" t="str">
        <f>HYPERLINK("https://www.wildberries.ru/profile/w7TDssOkw7PCu8K0wrHCs8KwwrjCsMK3wrE=")</f>
        <v>https://www.wildberries.ru/profile/w7TDssOkw7PCu8K0wrHCs8KwwrjCsMK3wrE=</v>
      </c>
      <c r="L468" t="s">
        <v>151</v>
      </c>
      <c r="N468" t="s">
        <v>534</v>
      </c>
      <c r="O468" t="s">
        <v>2052</v>
      </c>
      <c r="P468" t="str">
        <f>HYPERLINK("https://www.wildberries.ru/catalog/12874318/detail.aspx")</f>
        <v>https://www.wildberries.ru/catalog/12874318/detail.aspx</v>
      </c>
      <c r="R468" t="s">
        <v>184</v>
      </c>
      <c r="S468" t="s">
        <v>125</v>
      </c>
      <c r="W468">
        <v>0</v>
      </c>
      <c r="X468">
        <v>0</v>
      </c>
      <c r="AH468">
        <v>5</v>
      </c>
      <c r="AJ468" t="s">
        <v>2055</v>
      </c>
      <c r="AK468" t="s">
        <v>129</v>
      </c>
      <c r="AL468" t="str">
        <f>HYPERLINK("http://feedbackphotos.wbstatic.net/feedbacks/1287/12874318/0d618d1d-428d-4861-8c93-a4e8fb541ade_fs.jpg")</f>
        <v>http://feedbackphotos.wbstatic.net/feedbacks/1287/12874318/0d618d1d-428d-4861-8c93-a4e8fb541ade_fs.jpg</v>
      </c>
      <c r="AM468" t="s">
        <v>129</v>
      </c>
      <c r="AN468" t="s">
        <v>130</v>
      </c>
      <c r="AP468" t="s">
        <v>41</v>
      </c>
      <c r="AZ468" t="s">
        <v>51</v>
      </c>
      <c r="BA468" t="s">
        <v>52</v>
      </c>
      <c r="BK468" t="s">
        <v>62</v>
      </c>
      <c r="BL468" t="s">
        <v>63</v>
      </c>
    </row>
    <row r="469" spans="1:69" x14ac:dyDescent="0.2">
      <c r="A469" t="s">
        <v>1846</v>
      </c>
      <c r="B469" t="s">
        <v>2056</v>
      </c>
      <c r="C469" t="s">
        <v>2043</v>
      </c>
      <c r="D469" t="s">
        <v>204</v>
      </c>
      <c r="E469" t="s">
        <v>2057</v>
      </c>
      <c r="F469" t="s">
        <v>180</v>
      </c>
      <c r="G469" t="str">
        <f>HYPERLINK("https://play.google.com/store/apps/details?id=ru.iflex.android.a3colortv&amp;reviewId=gp:AOqpTOFt8KLhyG4IUVMRncHmb87XcGslCQKZnMtXB3qBR-doI6l6coxDDmfbzWdJLJiVCZ4XnrUh9IwFYrQV7w")</f>
        <v>https://play.google.com/store/apps/details?id=ru.iflex.android.a3colortv&amp;reviewId=gp:AOqpTOFt8KLhyG4IUVMRncHmb87XcGslCQKZnMtXB3qBR-doI6l6coxDDmfbzWdJLJiVCZ4XnrUh9IwFYrQV7w</v>
      </c>
      <c r="H469" t="s">
        <v>181</v>
      </c>
      <c r="I469" t="s">
        <v>2058</v>
      </c>
      <c r="J469" t="str">
        <f>HYPERLINK("https://plus.google.com/110325082846999749510")</f>
        <v>https://plus.google.com/110325082846999749510</v>
      </c>
      <c r="L469" t="s">
        <v>121</v>
      </c>
      <c r="N469" t="s">
        <v>207</v>
      </c>
      <c r="O469" t="s">
        <v>204</v>
      </c>
      <c r="P469" t="str">
        <f>HYPERLINK("https://play.google.com/store/apps/details?id=ru.iflex.android.a3colortv&amp;hl=ru")</f>
        <v>https://play.google.com/store/apps/details?id=ru.iflex.android.a3colortv&amp;hl=ru</v>
      </c>
      <c r="R469" t="s">
        <v>184</v>
      </c>
      <c r="S469" t="s">
        <v>125</v>
      </c>
      <c r="W469">
        <v>0</v>
      </c>
      <c r="X469">
        <v>0</v>
      </c>
      <c r="AH469">
        <v>5</v>
      </c>
      <c r="AM469" t="s">
        <v>129</v>
      </c>
      <c r="AN469" t="s">
        <v>130</v>
      </c>
      <c r="AP469" t="s">
        <v>41</v>
      </c>
      <c r="AZ469" t="s">
        <v>51</v>
      </c>
      <c r="BA469" t="s">
        <v>52</v>
      </c>
      <c r="BQ469" t="s">
        <v>68</v>
      </c>
    </row>
    <row r="470" spans="1:69" x14ac:dyDescent="0.2">
      <c r="A470" t="s">
        <v>1846</v>
      </c>
      <c r="B470" t="s">
        <v>2059</v>
      </c>
      <c r="C470" t="s">
        <v>2060</v>
      </c>
      <c r="D470" t="s">
        <v>2061</v>
      </c>
      <c r="E470" t="s">
        <v>2062</v>
      </c>
      <c r="F470" t="s">
        <v>180</v>
      </c>
      <c r="G470" t="str">
        <f>HYPERLINK("https://www.ozon.ru/context/detail/id/250918815/#62691528")</f>
        <v>https://www.ozon.ru/context/detail/id/250918815/#62691528</v>
      </c>
      <c r="H470" t="s">
        <v>181</v>
      </c>
      <c r="I470" t="s">
        <v>2063</v>
      </c>
      <c r="J470" t="str">
        <f>HYPERLINK("https://www.ozon.ru/context/client_opinion/ClientGuid/0a941a5d-6fc9-4897-bc4a-06f6547b16bf/")</f>
        <v>https://www.ozon.ru/context/client_opinion/ClientGuid/0a941a5d-6fc9-4897-bc4a-06f6547b16bf/</v>
      </c>
      <c r="L470" t="s">
        <v>121</v>
      </c>
      <c r="N470" t="s">
        <v>183</v>
      </c>
      <c r="O470" t="s">
        <v>2061</v>
      </c>
      <c r="P470" t="str">
        <f>HYPERLINK("https://www.ozon.ru/context/detail/id/250918815/")</f>
        <v>https://www.ozon.ru/context/detail/id/250918815/</v>
      </c>
      <c r="R470" t="s">
        <v>184</v>
      </c>
      <c r="S470" t="s">
        <v>125</v>
      </c>
      <c r="W470">
        <v>0</v>
      </c>
      <c r="X470">
        <v>0</v>
      </c>
      <c r="AH470">
        <v>5</v>
      </c>
      <c r="AM470" t="s">
        <v>129</v>
      </c>
      <c r="AN470" t="s">
        <v>130</v>
      </c>
      <c r="AP470" t="s">
        <v>41</v>
      </c>
      <c r="AT470" t="s">
        <v>45</v>
      </c>
      <c r="AZ470" t="s">
        <v>51</v>
      </c>
      <c r="BA470" t="s">
        <v>52</v>
      </c>
      <c r="BL470" t="s">
        <v>63</v>
      </c>
    </row>
    <row r="471" spans="1:69" x14ac:dyDescent="0.2">
      <c r="A471" t="s">
        <v>1846</v>
      </c>
      <c r="B471" t="s">
        <v>2064</v>
      </c>
      <c r="C471" t="s">
        <v>2065</v>
      </c>
      <c r="D471" t="s">
        <v>1031</v>
      </c>
      <c r="E471" t="s">
        <v>2066</v>
      </c>
      <c r="F471" t="s">
        <v>118</v>
      </c>
      <c r="G471" t="str">
        <f>HYPERLINK("https://vk.com/wall-27863223_292230?w=wall-27863223_292230_r292385")</f>
        <v>https://vk.com/wall-27863223_292230?w=wall-27863223_292230_r292385</v>
      </c>
      <c r="H471" t="s">
        <v>119</v>
      </c>
      <c r="I471" t="s">
        <v>2021</v>
      </c>
      <c r="J471" t="str">
        <f>HYPERLINK("http://vk.com/id597165387")</f>
        <v>http://vk.com/id597165387</v>
      </c>
      <c r="K471">
        <v>44</v>
      </c>
      <c r="L471" t="s">
        <v>121</v>
      </c>
      <c r="M471">
        <v>21</v>
      </c>
      <c r="N471" t="s">
        <v>122</v>
      </c>
      <c r="O471" t="s">
        <v>175</v>
      </c>
      <c r="P471" t="str">
        <f>HYPERLINK("http://vk.com/club27863223")</f>
        <v>http://vk.com/club27863223</v>
      </c>
      <c r="Q471">
        <v>134698</v>
      </c>
      <c r="R471" t="s">
        <v>124</v>
      </c>
      <c r="S471" t="s">
        <v>125</v>
      </c>
      <c r="T471" t="s">
        <v>169</v>
      </c>
      <c r="U471" t="s">
        <v>169</v>
      </c>
      <c r="W471">
        <v>0</v>
      </c>
      <c r="X471">
        <v>0</v>
      </c>
      <c r="AM471" t="s">
        <v>129</v>
      </c>
      <c r="AN471" t="s">
        <v>130</v>
      </c>
      <c r="AP471" t="s">
        <v>41</v>
      </c>
      <c r="AU471" t="s">
        <v>46</v>
      </c>
      <c r="AZ471" t="s">
        <v>51</v>
      </c>
      <c r="BB471" t="s">
        <v>53</v>
      </c>
    </row>
    <row r="472" spans="1:69" x14ac:dyDescent="0.2">
      <c r="A472" t="s">
        <v>1846</v>
      </c>
      <c r="B472" t="s">
        <v>1029</v>
      </c>
      <c r="C472" t="s">
        <v>2067</v>
      </c>
      <c r="D472" t="s">
        <v>1031</v>
      </c>
      <c r="E472" t="s">
        <v>2068</v>
      </c>
      <c r="F472" t="s">
        <v>118</v>
      </c>
      <c r="G472" t="str">
        <f>HYPERLINK("https://vk.com/wall-27863223_292230?reply=292383&amp;thread=292283")</f>
        <v>https://vk.com/wall-27863223_292230?reply=292383&amp;thread=292283</v>
      </c>
      <c r="H472" t="s">
        <v>119</v>
      </c>
      <c r="I472" t="s">
        <v>2021</v>
      </c>
      <c r="J472" t="str">
        <f>HYPERLINK("http://vk.com/id597165387")</f>
        <v>http://vk.com/id597165387</v>
      </c>
      <c r="K472">
        <v>44</v>
      </c>
      <c r="L472" t="s">
        <v>121</v>
      </c>
      <c r="M472">
        <v>21</v>
      </c>
      <c r="N472" t="s">
        <v>122</v>
      </c>
      <c r="O472" t="s">
        <v>175</v>
      </c>
      <c r="P472" t="str">
        <f>HYPERLINK("http://vk.com/club27863223")</f>
        <v>http://vk.com/club27863223</v>
      </c>
      <c r="Q472">
        <v>134698</v>
      </c>
      <c r="R472" t="s">
        <v>124</v>
      </c>
      <c r="S472" t="s">
        <v>125</v>
      </c>
      <c r="T472" t="s">
        <v>169</v>
      </c>
      <c r="U472" t="s">
        <v>169</v>
      </c>
      <c r="AM472" t="s">
        <v>129</v>
      </c>
      <c r="AN472" t="s">
        <v>130</v>
      </c>
      <c r="AP472" t="s">
        <v>41</v>
      </c>
      <c r="AZ472" t="s">
        <v>51</v>
      </c>
      <c r="BA472" t="s">
        <v>52</v>
      </c>
    </row>
    <row r="473" spans="1:69" x14ac:dyDescent="0.2">
      <c r="A473" t="s">
        <v>1846</v>
      </c>
      <c r="B473" t="s">
        <v>1610</v>
      </c>
      <c r="C473" t="s">
        <v>2069</v>
      </c>
      <c r="D473" t="s">
        <v>567</v>
      </c>
      <c r="E473" t="s">
        <v>2070</v>
      </c>
      <c r="F473" t="s">
        <v>118</v>
      </c>
      <c r="G473" t="str">
        <f>HYPERLINK("https://vk.com/topic-27863223_35936941?post=116032")</f>
        <v>https://vk.com/topic-27863223_35936941?post=116032</v>
      </c>
      <c r="H473" t="s">
        <v>119</v>
      </c>
      <c r="I473" t="s">
        <v>2071</v>
      </c>
      <c r="J473" t="str">
        <f>HYPERLINK("http://vk.com/id70744576")</f>
        <v>http://vk.com/id70744576</v>
      </c>
      <c r="K473">
        <v>6</v>
      </c>
      <c r="L473" t="s">
        <v>121</v>
      </c>
      <c r="M473">
        <v>28</v>
      </c>
      <c r="N473" t="s">
        <v>122</v>
      </c>
      <c r="O473" t="s">
        <v>175</v>
      </c>
      <c r="P473" t="str">
        <f>HYPERLINK("http://vk.com/club27863223")</f>
        <v>http://vk.com/club27863223</v>
      </c>
      <c r="Q473">
        <v>134698</v>
      </c>
      <c r="R473" t="s">
        <v>124</v>
      </c>
      <c r="S473" t="s">
        <v>125</v>
      </c>
      <c r="AM473" t="s">
        <v>129</v>
      </c>
      <c r="AN473" t="s">
        <v>130</v>
      </c>
      <c r="AP473" t="s">
        <v>41</v>
      </c>
      <c r="AY473" t="s">
        <v>50</v>
      </c>
      <c r="AZ473" t="s">
        <v>51</v>
      </c>
      <c r="BA473" t="s">
        <v>52</v>
      </c>
      <c r="BM473" t="s">
        <v>64</v>
      </c>
    </row>
    <row r="474" spans="1:69" x14ac:dyDescent="0.2">
      <c r="A474" t="s">
        <v>1846</v>
      </c>
      <c r="B474" t="s">
        <v>1614</v>
      </c>
      <c r="C474" t="s">
        <v>2072</v>
      </c>
      <c r="D474" t="s">
        <v>1989</v>
      </c>
      <c r="E474" t="s">
        <v>2073</v>
      </c>
      <c r="F474" t="s">
        <v>118</v>
      </c>
      <c r="G474" t="str">
        <f>HYPERLINK("https://vk.com/wall-385878_304121?reply=304205")</f>
        <v>https://vk.com/wall-385878_304121?reply=304205</v>
      </c>
      <c r="H474" t="s">
        <v>119</v>
      </c>
      <c r="I474" t="s">
        <v>1991</v>
      </c>
      <c r="J474" t="str">
        <f>HYPERLINK("http://vk.com/id17625219")</f>
        <v>http://vk.com/id17625219</v>
      </c>
      <c r="K474">
        <v>89</v>
      </c>
      <c r="L474" t="s">
        <v>121</v>
      </c>
      <c r="M474">
        <v>34</v>
      </c>
      <c r="N474" t="s">
        <v>122</v>
      </c>
      <c r="O474" t="s">
        <v>1992</v>
      </c>
      <c r="P474" t="str">
        <f>HYPERLINK("http://vk.com/club385878")</f>
        <v>http://vk.com/club385878</v>
      </c>
      <c r="Q474">
        <v>12352</v>
      </c>
      <c r="R474" t="s">
        <v>124</v>
      </c>
      <c r="S474" t="s">
        <v>125</v>
      </c>
      <c r="T474" t="s">
        <v>137</v>
      </c>
      <c r="U474" t="s">
        <v>137</v>
      </c>
      <c r="AM474" t="s">
        <v>129</v>
      </c>
      <c r="AN474" t="s">
        <v>130</v>
      </c>
      <c r="AP474" t="s">
        <v>41</v>
      </c>
      <c r="AZ474" t="s">
        <v>51</v>
      </c>
      <c r="BA474" t="s">
        <v>52</v>
      </c>
      <c r="BL474" t="s">
        <v>63</v>
      </c>
    </row>
    <row r="475" spans="1:69" x14ac:dyDescent="0.2">
      <c r="A475" t="s">
        <v>1846</v>
      </c>
      <c r="B475" t="s">
        <v>2074</v>
      </c>
      <c r="C475" t="s">
        <v>2075</v>
      </c>
      <c r="D475" t="s">
        <v>2076</v>
      </c>
      <c r="E475" t="s">
        <v>2077</v>
      </c>
      <c r="F475" t="s">
        <v>118</v>
      </c>
      <c r="G475" t="str">
        <f>HYPERLINK("https://vk.com/wall-33682953_1201?reply=1207")</f>
        <v>https://vk.com/wall-33682953_1201?reply=1207</v>
      </c>
      <c r="H475" t="s">
        <v>119</v>
      </c>
      <c r="I475" t="s">
        <v>2078</v>
      </c>
      <c r="J475" t="str">
        <f>HYPERLINK("http://vk.com/id556838471")</f>
        <v>http://vk.com/id556838471</v>
      </c>
      <c r="K475">
        <v>26</v>
      </c>
      <c r="L475" t="s">
        <v>121</v>
      </c>
      <c r="M475">
        <v>37</v>
      </c>
      <c r="N475" t="s">
        <v>122</v>
      </c>
      <c r="O475" t="s">
        <v>2079</v>
      </c>
      <c r="P475" t="str">
        <f>HYPERLINK("http://vk.com/club33682953")</f>
        <v>http://vk.com/club33682953</v>
      </c>
      <c r="Q475">
        <v>361</v>
      </c>
      <c r="R475" t="s">
        <v>124</v>
      </c>
      <c r="S475" t="s">
        <v>125</v>
      </c>
      <c r="T475" t="s">
        <v>759</v>
      </c>
      <c r="U475" t="s">
        <v>2080</v>
      </c>
      <c r="AM475" t="s">
        <v>129</v>
      </c>
      <c r="AN475" t="s">
        <v>130</v>
      </c>
      <c r="AP475" t="s">
        <v>41</v>
      </c>
      <c r="AT475" t="s">
        <v>45</v>
      </c>
      <c r="AZ475" t="s">
        <v>51</v>
      </c>
      <c r="BA475" t="s">
        <v>52</v>
      </c>
    </row>
    <row r="476" spans="1:69" x14ac:dyDescent="0.2">
      <c r="A476" t="s">
        <v>1846</v>
      </c>
      <c r="B476" t="s">
        <v>479</v>
      </c>
      <c r="C476" t="s">
        <v>2081</v>
      </c>
      <c r="D476" t="s">
        <v>1031</v>
      </c>
      <c r="E476" t="s">
        <v>2082</v>
      </c>
      <c r="F476" t="s">
        <v>118</v>
      </c>
      <c r="G476" t="str">
        <f>HYPERLINK("https://vk.com/wall-27863223_292230?reply=292382")</f>
        <v>https://vk.com/wall-27863223_292230?reply=292382</v>
      </c>
      <c r="H476" t="s">
        <v>119</v>
      </c>
      <c r="I476" t="s">
        <v>2083</v>
      </c>
      <c r="J476" t="str">
        <f>HYPERLINK("http://vk.com/id304827047")</f>
        <v>http://vk.com/id304827047</v>
      </c>
      <c r="K476">
        <v>36</v>
      </c>
      <c r="L476" t="s">
        <v>151</v>
      </c>
      <c r="N476" t="s">
        <v>122</v>
      </c>
      <c r="O476" t="s">
        <v>175</v>
      </c>
      <c r="P476" t="str">
        <f>HYPERLINK("http://vk.com/club27863223")</f>
        <v>http://vk.com/club27863223</v>
      </c>
      <c r="Q476">
        <v>134698</v>
      </c>
      <c r="R476" t="s">
        <v>124</v>
      </c>
      <c r="S476" t="s">
        <v>125</v>
      </c>
      <c r="T476" t="s">
        <v>627</v>
      </c>
      <c r="U476" t="s">
        <v>846</v>
      </c>
      <c r="W476">
        <v>0</v>
      </c>
      <c r="X476">
        <v>0</v>
      </c>
      <c r="AM476" t="s">
        <v>129</v>
      </c>
      <c r="AN476" t="s">
        <v>130</v>
      </c>
      <c r="AO476" t="s">
        <v>40</v>
      </c>
      <c r="AP476" t="s">
        <v>41</v>
      </c>
      <c r="AZ476" t="s">
        <v>51</v>
      </c>
      <c r="BA476" t="s">
        <v>52</v>
      </c>
    </row>
    <row r="477" spans="1:69" x14ac:dyDescent="0.2">
      <c r="A477" t="s">
        <v>1846</v>
      </c>
      <c r="B477" t="s">
        <v>2084</v>
      </c>
      <c r="C477" t="s">
        <v>2085</v>
      </c>
      <c r="D477" t="s">
        <v>1031</v>
      </c>
      <c r="E477" t="s">
        <v>2086</v>
      </c>
      <c r="F477" t="s">
        <v>118</v>
      </c>
      <c r="G477" t="str">
        <f>HYPERLINK("https://vk.com/wall-27863223_292230?reply=292381")</f>
        <v>https://vk.com/wall-27863223_292230?reply=292381</v>
      </c>
      <c r="H477" t="s">
        <v>119</v>
      </c>
      <c r="I477" t="s">
        <v>2087</v>
      </c>
      <c r="J477" t="str">
        <f>HYPERLINK("http://vk.com/id540052324")</f>
        <v>http://vk.com/id540052324</v>
      </c>
      <c r="K477">
        <v>2</v>
      </c>
      <c r="L477" t="s">
        <v>151</v>
      </c>
      <c r="M477">
        <v>18</v>
      </c>
      <c r="N477" t="s">
        <v>122</v>
      </c>
      <c r="O477" t="s">
        <v>175</v>
      </c>
      <c r="P477" t="str">
        <f>HYPERLINK("http://vk.com/club27863223")</f>
        <v>http://vk.com/club27863223</v>
      </c>
      <c r="Q477">
        <v>134698</v>
      </c>
      <c r="R477" t="s">
        <v>124</v>
      </c>
      <c r="W477">
        <v>0</v>
      </c>
      <c r="X477">
        <v>0</v>
      </c>
      <c r="AM477" t="s">
        <v>129</v>
      </c>
      <c r="AN477" t="s">
        <v>130</v>
      </c>
      <c r="AO477" t="s">
        <v>40</v>
      </c>
      <c r="AP477" t="s">
        <v>41</v>
      </c>
      <c r="AZ477" t="s">
        <v>51</v>
      </c>
      <c r="BA477" t="s">
        <v>52</v>
      </c>
    </row>
    <row r="478" spans="1:69" x14ac:dyDescent="0.2">
      <c r="A478" t="s">
        <v>1846</v>
      </c>
      <c r="B478" t="s">
        <v>2088</v>
      </c>
      <c r="C478" t="s">
        <v>2085</v>
      </c>
      <c r="D478" t="s">
        <v>2089</v>
      </c>
      <c r="E478" t="s">
        <v>2090</v>
      </c>
      <c r="F478" t="s">
        <v>118</v>
      </c>
      <c r="G478" t="str">
        <f>HYPERLINK("https://vk.com/wall-61101621_254764?w=wall-61101621_254764_r254867")</f>
        <v>https://vk.com/wall-61101621_254764?w=wall-61101621_254764_r254867</v>
      </c>
      <c r="H478" t="s">
        <v>119</v>
      </c>
      <c r="I478" t="s">
        <v>2091</v>
      </c>
      <c r="J478" t="str">
        <f>HYPERLINK("http://vk.com/id468506703")</f>
        <v>http://vk.com/id468506703</v>
      </c>
      <c r="K478">
        <v>49</v>
      </c>
      <c r="L478" t="s">
        <v>121</v>
      </c>
      <c r="N478" t="s">
        <v>122</v>
      </c>
      <c r="O478" t="s">
        <v>160</v>
      </c>
      <c r="P478" t="str">
        <f>HYPERLINK("http://vk.com/club61101621")</f>
        <v>http://vk.com/club61101621</v>
      </c>
      <c r="Q478">
        <v>21119</v>
      </c>
      <c r="R478" t="s">
        <v>124</v>
      </c>
      <c r="S478" t="s">
        <v>125</v>
      </c>
      <c r="T478" t="s">
        <v>487</v>
      </c>
      <c r="U478" t="s">
        <v>488</v>
      </c>
      <c r="W478">
        <v>0</v>
      </c>
      <c r="X478">
        <v>0</v>
      </c>
      <c r="AM478" t="s">
        <v>129</v>
      </c>
      <c r="AN478" t="s">
        <v>130</v>
      </c>
      <c r="AP478" t="s">
        <v>41</v>
      </c>
      <c r="AU478" t="s">
        <v>46</v>
      </c>
      <c r="AY478" t="s">
        <v>50</v>
      </c>
      <c r="AZ478" t="s">
        <v>51</v>
      </c>
      <c r="BA478" t="s">
        <v>52</v>
      </c>
    </row>
    <row r="479" spans="1:69" x14ac:dyDescent="0.2">
      <c r="A479" t="s">
        <v>1846</v>
      </c>
      <c r="B479" t="s">
        <v>2092</v>
      </c>
      <c r="C479" t="s">
        <v>2085</v>
      </c>
      <c r="D479" t="s">
        <v>2089</v>
      </c>
      <c r="E479" t="s">
        <v>2093</v>
      </c>
      <c r="F479" t="s">
        <v>118</v>
      </c>
      <c r="G479" t="str">
        <f>HYPERLINK("https://vk.com/wall-61101621_254764?w=wall-61101621_254764_r254866")</f>
        <v>https://vk.com/wall-61101621_254764?w=wall-61101621_254764_r254866</v>
      </c>
      <c r="H479" t="s">
        <v>119</v>
      </c>
      <c r="I479" t="s">
        <v>2091</v>
      </c>
      <c r="J479" t="str">
        <f>HYPERLINK("http://vk.com/id468506703")</f>
        <v>http://vk.com/id468506703</v>
      </c>
      <c r="K479">
        <v>49</v>
      </c>
      <c r="L479" t="s">
        <v>121</v>
      </c>
      <c r="N479" t="s">
        <v>122</v>
      </c>
      <c r="O479" t="s">
        <v>160</v>
      </c>
      <c r="P479" t="str">
        <f>HYPERLINK("http://vk.com/club61101621")</f>
        <v>http://vk.com/club61101621</v>
      </c>
      <c r="Q479">
        <v>21119</v>
      </c>
      <c r="R479" t="s">
        <v>124</v>
      </c>
      <c r="S479" t="s">
        <v>125</v>
      </c>
      <c r="T479" t="s">
        <v>487</v>
      </c>
      <c r="U479" t="s">
        <v>488</v>
      </c>
      <c r="W479">
        <v>0</v>
      </c>
      <c r="X479">
        <v>0</v>
      </c>
      <c r="AM479" t="s">
        <v>129</v>
      </c>
      <c r="AN479" t="s">
        <v>130</v>
      </c>
      <c r="AP479" t="s">
        <v>41</v>
      </c>
      <c r="AU479" t="s">
        <v>46</v>
      </c>
      <c r="AY479" t="s">
        <v>50</v>
      </c>
      <c r="AZ479" t="s">
        <v>51</v>
      </c>
      <c r="BA479" t="s">
        <v>52</v>
      </c>
    </row>
    <row r="480" spans="1:69" x14ac:dyDescent="0.2">
      <c r="A480" t="s">
        <v>1846</v>
      </c>
      <c r="B480" t="s">
        <v>2094</v>
      </c>
      <c r="C480" t="s">
        <v>2085</v>
      </c>
      <c r="D480" t="s">
        <v>1031</v>
      </c>
      <c r="E480" t="s">
        <v>2095</v>
      </c>
      <c r="F480" t="s">
        <v>118</v>
      </c>
      <c r="G480" t="str">
        <f>HYPERLINK("https://vk.com/wall-27863223_292230?reply=292377")</f>
        <v>https://vk.com/wall-27863223_292230?reply=292377</v>
      </c>
      <c r="H480" t="s">
        <v>119</v>
      </c>
      <c r="I480" t="s">
        <v>2096</v>
      </c>
      <c r="J480" t="str">
        <f>HYPERLINK("http://vk.com/id47679747")</f>
        <v>http://vk.com/id47679747</v>
      </c>
      <c r="K480">
        <v>745</v>
      </c>
      <c r="L480" t="s">
        <v>121</v>
      </c>
      <c r="M480">
        <v>33</v>
      </c>
      <c r="N480" t="s">
        <v>122</v>
      </c>
      <c r="O480" t="s">
        <v>175</v>
      </c>
      <c r="P480" t="str">
        <f>HYPERLINK("http://vk.com/club27863223")</f>
        <v>http://vk.com/club27863223</v>
      </c>
      <c r="Q480">
        <v>134698</v>
      </c>
      <c r="R480" t="s">
        <v>124</v>
      </c>
      <c r="S480" t="s">
        <v>125</v>
      </c>
      <c r="T480" t="s">
        <v>169</v>
      </c>
      <c r="U480" t="s">
        <v>169</v>
      </c>
      <c r="W480">
        <v>0</v>
      </c>
      <c r="X480">
        <v>0</v>
      </c>
      <c r="AM480" t="s">
        <v>129</v>
      </c>
      <c r="AN480" t="s">
        <v>130</v>
      </c>
      <c r="AO480" t="s">
        <v>40</v>
      </c>
      <c r="AP480" t="s">
        <v>41</v>
      </c>
      <c r="AZ480" t="s">
        <v>51</v>
      </c>
      <c r="BA480" t="s">
        <v>52</v>
      </c>
    </row>
    <row r="481" spans="1:90" x14ac:dyDescent="0.2">
      <c r="A481" t="s">
        <v>1846</v>
      </c>
      <c r="B481" t="s">
        <v>1047</v>
      </c>
      <c r="C481" t="s">
        <v>2085</v>
      </c>
      <c r="D481" t="s">
        <v>1031</v>
      </c>
      <c r="E481" t="s">
        <v>2097</v>
      </c>
      <c r="F481" t="s">
        <v>118</v>
      </c>
      <c r="G481" t="str">
        <f>HYPERLINK("https://vk.com/wall-27863223_292230?reply=292376")</f>
        <v>https://vk.com/wall-27863223_292230?reply=292376</v>
      </c>
      <c r="H481" t="s">
        <v>119</v>
      </c>
      <c r="I481" t="s">
        <v>2098</v>
      </c>
      <c r="J481" t="str">
        <f>HYPERLINK("http://vk.com/id663901937")</f>
        <v>http://vk.com/id663901937</v>
      </c>
      <c r="K481">
        <v>1</v>
      </c>
      <c r="L481" t="s">
        <v>151</v>
      </c>
      <c r="M481">
        <v>18</v>
      </c>
      <c r="N481" t="s">
        <v>122</v>
      </c>
      <c r="O481" t="s">
        <v>175</v>
      </c>
      <c r="P481" t="str">
        <f>HYPERLINK("http://vk.com/club27863223")</f>
        <v>http://vk.com/club27863223</v>
      </c>
      <c r="Q481">
        <v>134698</v>
      </c>
      <c r="R481" t="s">
        <v>124</v>
      </c>
      <c r="W481">
        <v>0</v>
      </c>
      <c r="X481">
        <v>0</v>
      </c>
      <c r="AM481" t="s">
        <v>129</v>
      </c>
      <c r="AN481" t="s">
        <v>130</v>
      </c>
      <c r="AO481" t="s">
        <v>40</v>
      </c>
      <c r="AP481" t="s">
        <v>41</v>
      </c>
      <c r="AZ481" t="s">
        <v>51</v>
      </c>
      <c r="BA481" t="s">
        <v>52</v>
      </c>
    </row>
    <row r="482" spans="1:90" x14ac:dyDescent="0.2">
      <c r="A482" t="s">
        <v>1846</v>
      </c>
      <c r="B482" t="s">
        <v>2099</v>
      </c>
      <c r="C482" t="s">
        <v>2100</v>
      </c>
      <c r="D482" t="s">
        <v>175</v>
      </c>
      <c r="E482" t="s">
        <v>2101</v>
      </c>
      <c r="F482" t="s">
        <v>180</v>
      </c>
      <c r="G482" t="str">
        <f>HYPERLINK("https://yandex.ru/maps/org/99237448689#LW3DHMXWjg0DlMpoKjPAo-T6BibHzY")</f>
        <v>https://yandex.ru/maps/org/99237448689#LW3DHMXWjg0DlMpoKjPAo-T6BibHzY</v>
      </c>
      <c r="H482" t="s">
        <v>228</v>
      </c>
      <c r="I482" t="s">
        <v>2102</v>
      </c>
      <c r="J482" t="str">
        <f>HYPERLINK("https://yandex.ru/user/bn7fhh6bkxhfkqwbzzmbqzjp80")</f>
        <v>https://yandex.ru/user/bn7fhh6bkxhfkqwbzzmbqzjp80</v>
      </c>
      <c r="L482" t="s">
        <v>151</v>
      </c>
      <c r="N482" t="s">
        <v>236</v>
      </c>
      <c r="O482" t="s">
        <v>175</v>
      </c>
      <c r="P482" t="str">
        <f>HYPERLINK("https://yandex.ru/maps/org/99237448689")</f>
        <v>https://yandex.ru/maps/org/99237448689</v>
      </c>
      <c r="R482" t="s">
        <v>184</v>
      </c>
      <c r="S482" t="s">
        <v>125</v>
      </c>
      <c r="T482" t="s">
        <v>2103</v>
      </c>
      <c r="U482" t="s">
        <v>2104</v>
      </c>
      <c r="W482">
        <v>0</v>
      </c>
      <c r="X482">
        <v>0</v>
      </c>
      <c r="AH482">
        <v>1</v>
      </c>
      <c r="AM482" t="s">
        <v>129</v>
      </c>
      <c r="AN482" t="s">
        <v>130</v>
      </c>
      <c r="AP482" t="s">
        <v>41</v>
      </c>
      <c r="AX482" t="s">
        <v>49</v>
      </c>
      <c r="BD482" t="s">
        <v>55</v>
      </c>
      <c r="BF482" t="s">
        <v>57</v>
      </c>
      <c r="CK482" t="s">
        <v>88</v>
      </c>
      <c r="CL482" t="s">
        <v>89</v>
      </c>
    </row>
    <row r="483" spans="1:90" x14ac:dyDescent="0.2">
      <c r="A483" t="s">
        <v>1846</v>
      </c>
      <c r="B483" t="s">
        <v>529</v>
      </c>
      <c r="C483" t="s">
        <v>2105</v>
      </c>
      <c r="D483" t="s">
        <v>2106</v>
      </c>
      <c r="E483" t="s">
        <v>2107</v>
      </c>
      <c r="F483" t="s">
        <v>180</v>
      </c>
      <c r="G483" t="str">
        <f>HYPERLINK("https://market.yandex.ru/shop/363712/reviews?id=135370781")</f>
        <v>https://market.yandex.ru/shop/363712/reviews?id=135370781</v>
      </c>
      <c r="H483" t="s">
        <v>181</v>
      </c>
      <c r="I483" t="s">
        <v>2108</v>
      </c>
      <c r="J483" t="str">
        <f>HYPERLINK("https://market.yandex.ru/user/z9ntc8vz4acckt0nwyw3330yn4/reviews")</f>
        <v>https://market.yandex.ru/user/z9ntc8vz4acckt0nwyw3330yn4/reviews</v>
      </c>
      <c r="L483" t="s">
        <v>151</v>
      </c>
      <c r="N483" t="s">
        <v>611</v>
      </c>
      <c r="O483" t="s">
        <v>2106</v>
      </c>
      <c r="P483" t="str">
        <f>HYPERLINK("https://market.yandex.ru/shop/363712/reviews")</f>
        <v>https://market.yandex.ru/shop/363712/reviews</v>
      </c>
      <c r="R483" t="s">
        <v>184</v>
      </c>
      <c r="S483" t="s">
        <v>125</v>
      </c>
      <c r="T483" t="s">
        <v>137</v>
      </c>
      <c r="U483" t="s">
        <v>137</v>
      </c>
      <c r="W483">
        <v>0</v>
      </c>
      <c r="X483">
        <v>0</v>
      </c>
      <c r="AH483">
        <v>5</v>
      </c>
      <c r="AM483" t="s">
        <v>129</v>
      </c>
      <c r="AN483" t="s">
        <v>130</v>
      </c>
      <c r="AP483" t="s">
        <v>41</v>
      </c>
      <c r="AY483" t="s">
        <v>50</v>
      </c>
      <c r="AZ483" t="s">
        <v>51</v>
      </c>
      <c r="BA483" t="s">
        <v>52</v>
      </c>
      <c r="BK483" t="s">
        <v>62</v>
      </c>
      <c r="BM483" t="s">
        <v>64</v>
      </c>
    </row>
    <row r="484" spans="1:90" x14ac:dyDescent="0.2">
      <c r="A484" t="s">
        <v>1846</v>
      </c>
      <c r="B484" t="s">
        <v>1640</v>
      </c>
      <c r="C484" t="s">
        <v>2109</v>
      </c>
      <c r="D484" t="s">
        <v>2110</v>
      </c>
      <c r="E484" t="s">
        <v>2111</v>
      </c>
      <c r="F484" t="s">
        <v>118</v>
      </c>
      <c r="G484" t="str">
        <f>HYPERLINK("https://vk.com/topic-14098618_34670460?post=2006")</f>
        <v>https://vk.com/topic-14098618_34670460?post=2006</v>
      </c>
      <c r="H484" t="s">
        <v>119</v>
      </c>
      <c r="I484" t="s">
        <v>1662</v>
      </c>
      <c r="J484" t="str">
        <f>HYPERLINK("http://vk.com/id161022925")</f>
        <v>http://vk.com/id161022925</v>
      </c>
      <c r="K484">
        <v>336</v>
      </c>
      <c r="L484" t="s">
        <v>121</v>
      </c>
      <c r="M484">
        <v>44</v>
      </c>
      <c r="N484" t="s">
        <v>122</v>
      </c>
      <c r="O484" t="s">
        <v>1663</v>
      </c>
      <c r="P484" t="str">
        <f>HYPERLINK("http://vk.com/club14098618")</f>
        <v>http://vk.com/club14098618</v>
      </c>
      <c r="Q484">
        <v>4681</v>
      </c>
      <c r="R484" t="s">
        <v>124</v>
      </c>
      <c r="S484" t="s">
        <v>125</v>
      </c>
      <c r="T484" t="s">
        <v>1275</v>
      </c>
      <c r="U484" t="s">
        <v>1664</v>
      </c>
      <c r="AM484" t="s">
        <v>129</v>
      </c>
      <c r="AN484" t="s">
        <v>130</v>
      </c>
      <c r="AP484" t="s">
        <v>41</v>
      </c>
      <c r="AU484" t="s">
        <v>46</v>
      </c>
      <c r="AY484" t="s">
        <v>50</v>
      </c>
      <c r="AZ484" t="s">
        <v>51</v>
      </c>
      <c r="BA484" t="s">
        <v>52</v>
      </c>
    </row>
    <row r="485" spans="1:90" x14ac:dyDescent="0.2">
      <c r="A485" t="s">
        <v>1846</v>
      </c>
      <c r="B485" t="s">
        <v>535</v>
      </c>
      <c r="C485" t="s">
        <v>2000</v>
      </c>
      <c r="D485" t="s">
        <v>2001</v>
      </c>
      <c r="E485" t="s">
        <v>2112</v>
      </c>
      <c r="F485" t="s">
        <v>118</v>
      </c>
      <c r="G485" t="str">
        <f>HYPERLINK("https://ok.ru/group/51085510115462/topic/153461283857798#MTYyNzQ2NTI5OTE0ODotMTYzMjU6MTYyNzQ2NTI5OTE0ODoxNTM0NjEyODM4NTc3OTg6MQ==")</f>
        <v>https://ok.ru/group/51085510115462/topic/153461283857798#MTYyNzQ2NTI5OTE0ODotMTYzMjU6MTYyNzQ2NTI5OTE0ODoxNTM0NjEyODM4NTc3OTg6MQ==</v>
      </c>
      <c r="H485" t="s">
        <v>119</v>
      </c>
      <c r="I485" t="s">
        <v>175</v>
      </c>
      <c r="J485" t="str">
        <f>HYPERLINK("https://ok.ru/group/51085510115462")</f>
        <v>https://ok.ru/group/51085510115462</v>
      </c>
      <c r="K485">
        <v>94768</v>
      </c>
      <c r="L485" t="s">
        <v>340</v>
      </c>
      <c r="N485" t="s">
        <v>347</v>
      </c>
      <c r="O485" t="s">
        <v>175</v>
      </c>
      <c r="P485" t="str">
        <f>HYPERLINK("https://ok.ru/group/51085510115462")</f>
        <v>https://ok.ru/group/51085510115462</v>
      </c>
      <c r="Q485">
        <v>94768</v>
      </c>
      <c r="R485" t="s">
        <v>124</v>
      </c>
      <c r="W485">
        <v>0</v>
      </c>
      <c r="X485">
        <v>0</v>
      </c>
      <c r="AM485" t="s">
        <v>129</v>
      </c>
      <c r="AN485" t="s">
        <v>130</v>
      </c>
      <c r="BI485" t="s">
        <v>60</v>
      </c>
    </row>
    <row r="486" spans="1:90" x14ac:dyDescent="0.2">
      <c r="A486" t="s">
        <v>1846</v>
      </c>
      <c r="B486" t="s">
        <v>2113</v>
      </c>
      <c r="C486" t="s">
        <v>2114</v>
      </c>
      <c r="D486" t="s">
        <v>1031</v>
      </c>
      <c r="E486" t="s">
        <v>2115</v>
      </c>
      <c r="F486" t="s">
        <v>118</v>
      </c>
      <c r="G486" t="str">
        <f>HYPERLINK("https://vk.com/wall-27863223_292230?reply=292375")</f>
        <v>https://vk.com/wall-27863223_292230?reply=292375</v>
      </c>
      <c r="H486" t="s">
        <v>119</v>
      </c>
      <c r="I486" t="s">
        <v>1495</v>
      </c>
      <c r="J486" t="str">
        <f>HYPERLINK("http://vk.com/id20428017")</f>
        <v>http://vk.com/id20428017</v>
      </c>
      <c r="K486">
        <v>438</v>
      </c>
      <c r="L486" t="s">
        <v>151</v>
      </c>
      <c r="M486">
        <v>27</v>
      </c>
      <c r="N486" t="s">
        <v>122</v>
      </c>
      <c r="O486" t="s">
        <v>175</v>
      </c>
      <c r="P486" t="str">
        <f>HYPERLINK("http://vk.com/club27863223")</f>
        <v>http://vk.com/club27863223</v>
      </c>
      <c r="Q486">
        <v>134698</v>
      </c>
      <c r="R486" t="s">
        <v>124</v>
      </c>
      <c r="S486" t="s">
        <v>125</v>
      </c>
      <c r="T486" t="s">
        <v>137</v>
      </c>
      <c r="U486" t="s">
        <v>137</v>
      </c>
      <c r="W486">
        <v>0</v>
      </c>
      <c r="X486">
        <v>0</v>
      </c>
      <c r="AM486" t="s">
        <v>129</v>
      </c>
      <c r="AN486" t="s">
        <v>130</v>
      </c>
      <c r="AO486" t="s">
        <v>40</v>
      </c>
      <c r="AP486" t="s">
        <v>41</v>
      </c>
      <c r="AZ486" t="s">
        <v>51</v>
      </c>
      <c r="BA486" t="s">
        <v>52</v>
      </c>
    </row>
    <row r="487" spans="1:90" x14ac:dyDescent="0.2">
      <c r="A487" t="s">
        <v>1846</v>
      </c>
      <c r="B487" t="s">
        <v>1657</v>
      </c>
      <c r="C487" t="s">
        <v>2114</v>
      </c>
      <c r="D487" t="s">
        <v>1031</v>
      </c>
      <c r="E487" t="s">
        <v>2116</v>
      </c>
      <c r="F487" t="s">
        <v>118</v>
      </c>
      <c r="G487" t="str">
        <f>HYPERLINK("https://vk.com/wall-27863223_292230?reply=292374")</f>
        <v>https://vk.com/wall-27863223_292230?reply=292374</v>
      </c>
      <c r="H487" t="s">
        <v>119</v>
      </c>
      <c r="I487" t="s">
        <v>2117</v>
      </c>
      <c r="J487" t="str">
        <f>HYPERLINK("http://vk.com/id10842154")</f>
        <v>http://vk.com/id10842154</v>
      </c>
      <c r="K487">
        <v>1590</v>
      </c>
      <c r="L487" t="s">
        <v>121</v>
      </c>
      <c r="N487" t="s">
        <v>122</v>
      </c>
      <c r="O487" t="s">
        <v>175</v>
      </c>
      <c r="P487" t="str">
        <f>HYPERLINK("http://vk.com/club27863223")</f>
        <v>http://vk.com/club27863223</v>
      </c>
      <c r="Q487">
        <v>134698</v>
      </c>
      <c r="R487" t="s">
        <v>124</v>
      </c>
      <c r="S487" t="s">
        <v>125</v>
      </c>
      <c r="T487" t="s">
        <v>169</v>
      </c>
      <c r="U487" t="s">
        <v>169</v>
      </c>
      <c r="W487">
        <v>0</v>
      </c>
      <c r="X487">
        <v>0</v>
      </c>
      <c r="AM487" t="s">
        <v>129</v>
      </c>
      <c r="AN487" t="s">
        <v>130</v>
      </c>
      <c r="AO487" t="s">
        <v>40</v>
      </c>
      <c r="AP487" t="s">
        <v>41</v>
      </c>
      <c r="AZ487" t="s">
        <v>51</v>
      </c>
      <c r="BA487" t="s">
        <v>52</v>
      </c>
    </row>
    <row r="488" spans="1:90" x14ac:dyDescent="0.2">
      <c r="A488" t="s">
        <v>1846</v>
      </c>
      <c r="B488" t="s">
        <v>1659</v>
      </c>
      <c r="C488" t="s">
        <v>2118</v>
      </c>
      <c r="D488" t="s">
        <v>1989</v>
      </c>
      <c r="E488" t="s">
        <v>2119</v>
      </c>
      <c r="F488" t="s">
        <v>118</v>
      </c>
      <c r="G488" t="str">
        <f>HYPERLINK("https://vk.com/wall-385878_304121?reply=304160&amp;thread=304140")</f>
        <v>https://vk.com/wall-385878_304121?reply=304160&amp;thread=304140</v>
      </c>
      <c r="H488" t="s">
        <v>119</v>
      </c>
      <c r="I488" t="s">
        <v>2120</v>
      </c>
      <c r="J488" t="str">
        <f>HYPERLINK("http://vk.com/id150735798")</f>
        <v>http://vk.com/id150735798</v>
      </c>
      <c r="K488">
        <v>70</v>
      </c>
      <c r="L488" t="s">
        <v>151</v>
      </c>
      <c r="M488">
        <v>64</v>
      </c>
      <c r="N488" t="s">
        <v>122</v>
      </c>
      <c r="O488" t="s">
        <v>1992</v>
      </c>
      <c r="P488" t="str">
        <f>HYPERLINK("http://vk.com/club385878")</f>
        <v>http://vk.com/club385878</v>
      </c>
      <c r="Q488">
        <v>12352</v>
      </c>
      <c r="R488" t="s">
        <v>124</v>
      </c>
      <c r="S488" t="s">
        <v>125</v>
      </c>
      <c r="T488" t="s">
        <v>137</v>
      </c>
      <c r="U488" t="s">
        <v>137</v>
      </c>
      <c r="AM488" t="s">
        <v>129</v>
      </c>
      <c r="AN488" t="s">
        <v>130</v>
      </c>
      <c r="AP488" t="s">
        <v>41</v>
      </c>
      <c r="AZ488" t="s">
        <v>51</v>
      </c>
      <c r="BA488" t="s">
        <v>52</v>
      </c>
      <c r="BL488" t="s">
        <v>63</v>
      </c>
    </row>
    <row r="489" spans="1:90" x14ac:dyDescent="0.2">
      <c r="A489" t="s">
        <v>1846</v>
      </c>
      <c r="B489" t="s">
        <v>2121</v>
      </c>
      <c r="C489" t="s">
        <v>2122</v>
      </c>
      <c r="D489" t="s">
        <v>1031</v>
      </c>
      <c r="E489" t="s">
        <v>2123</v>
      </c>
      <c r="F489" t="s">
        <v>118</v>
      </c>
      <c r="G489" t="str">
        <f>HYPERLINK("https://vk.com/wall-27863223_292230?reply=292373")</f>
        <v>https://vk.com/wall-27863223_292230?reply=292373</v>
      </c>
      <c r="H489" t="s">
        <v>119</v>
      </c>
      <c r="I489" t="s">
        <v>831</v>
      </c>
      <c r="J489" t="str">
        <f>HYPERLINK("http://vk.com/id3802577")</f>
        <v>http://vk.com/id3802577</v>
      </c>
      <c r="K489">
        <v>238</v>
      </c>
      <c r="L489" t="s">
        <v>151</v>
      </c>
      <c r="N489" t="s">
        <v>122</v>
      </c>
      <c r="O489" t="s">
        <v>175</v>
      </c>
      <c r="P489" t="str">
        <f>HYPERLINK("http://vk.com/club27863223")</f>
        <v>http://vk.com/club27863223</v>
      </c>
      <c r="Q489">
        <v>134698</v>
      </c>
      <c r="R489" t="s">
        <v>124</v>
      </c>
      <c r="S489" t="s">
        <v>1607</v>
      </c>
      <c r="W489">
        <v>0</v>
      </c>
      <c r="X489">
        <v>0</v>
      </c>
      <c r="AM489" t="s">
        <v>129</v>
      </c>
      <c r="AN489" t="s">
        <v>130</v>
      </c>
      <c r="AO489" t="s">
        <v>40</v>
      </c>
      <c r="AP489" t="s">
        <v>41</v>
      </c>
      <c r="AZ489" t="s">
        <v>51</v>
      </c>
      <c r="BA489" t="s">
        <v>52</v>
      </c>
    </row>
    <row r="490" spans="1:90" x14ac:dyDescent="0.2">
      <c r="A490" t="s">
        <v>1846</v>
      </c>
      <c r="B490" t="s">
        <v>2121</v>
      </c>
      <c r="C490" t="s">
        <v>2122</v>
      </c>
      <c r="D490" t="s">
        <v>1031</v>
      </c>
      <c r="E490" t="s">
        <v>2124</v>
      </c>
      <c r="F490" t="s">
        <v>118</v>
      </c>
      <c r="G490" t="str">
        <f>HYPERLINK("https://vk.com/wall-27863223_292230?reply=292372")</f>
        <v>https://vk.com/wall-27863223_292230?reply=292372</v>
      </c>
      <c r="H490" t="s">
        <v>119</v>
      </c>
      <c r="I490" t="s">
        <v>814</v>
      </c>
      <c r="J490" t="str">
        <f>HYPERLINK("http://vk.com/id184470460")</f>
        <v>http://vk.com/id184470460</v>
      </c>
      <c r="K490">
        <v>747</v>
      </c>
      <c r="L490" t="s">
        <v>151</v>
      </c>
      <c r="N490" t="s">
        <v>122</v>
      </c>
      <c r="O490" t="s">
        <v>175</v>
      </c>
      <c r="P490" t="str">
        <f>HYPERLINK("http://vk.com/club27863223")</f>
        <v>http://vk.com/club27863223</v>
      </c>
      <c r="Q490">
        <v>134698</v>
      </c>
      <c r="R490" t="s">
        <v>124</v>
      </c>
      <c r="S490" t="s">
        <v>125</v>
      </c>
      <c r="T490" t="s">
        <v>212</v>
      </c>
      <c r="U490" t="s">
        <v>213</v>
      </c>
      <c r="W490">
        <v>0</v>
      </c>
      <c r="X490">
        <v>0</v>
      </c>
      <c r="AM490" t="s">
        <v>129</v>
      </c>
      <c r="AN490" t="s">
        <v>130</v>
      </c>
      <c r="AO490" t="s">
        <v>40</v>
      </c>
      <c r="AP490" t="s">
        <v>41</v>
      </c>
      <c r="AZ490" t="s">
        <v>51</v>
      </c>
      <c r="BA490" t="s">
        <v>52</v>
      </c>
    </row>
    <row r="491" spans="1:90" x14ac:dyDescent="0.2">
      <c r="A491" t="s">
        <v>1846</v>
      </c>
      <c r="B491" t="s">
        <v>2125</v>
      </c>
      <c r="C491" t="s">
        <v>2126</v>
      </c>
      <c r="D491" t="s">
        <v>129</v>
      </c>
      <c r="E491" t="s">
        <v>2127</v>
      </c>
      <c r="F491" t="s">
        <v>118</v>
      </c>
      <c r="G491" t="str">
        <f>HYPERLINK("https://vk.com/wall-46521427_5122298?reply=5122760&amp;thread=5122317")</f>
        <v>https://vk.com/wall-46521427_5122298?reply=5122760&amp;thread=5122317</v>
      </c>
      <c r="H491" t="s">
        <v>119</v>
      </c>
      <c r="I491" t="s">
        <v>2128</v>
      </c>
      <c r="J491" t="str">
        <f>HYPERLINK("http://vk.com/id156766982")</f>
        <v>http://vk.com/id156766982</v>
      </c>
      <c r="K491">
        <v>92</v>
      </c>
      <c r="L491" t="s">
        <v>121</v>
      </c>
      <c r="N491" t="s">
        <v>122</v>
      </c>
      <c r="O491" t="s">
        <v>2129</v>
      </c>
      <c r="P491" t="str">
        <f>HYPERLINK("http://vk.com/club46521427")</f>
        <v>http://vk.com/club46521427</v>
      </c>
      <c r="Q491">
        <v>828776</v>
      </c>
      <c r="R491" t="s">
        <v>124</v>
      </c>
      <c r="S491" t="s">
        <v>125</v>
      </c>
      <c r="AM491" t="s">
        <v>129</v>
      </c>
      <c r="AN491" t="s">
        <v>130</v>
      </c>
      <c r="AP491" t="s">
        <v>41</v>
      </c>
      <c r="AZ491" t="s">
        <v>51</v>
      </c>
      <c r="BA491" t="s">
        <v>52</v>
      </c>
      <c r="BM491" t="s">
        <v>64</v>
      </c>
    </row>
    <row r="492" spans="1:90" x14ac:dyDescent="0.2">
      <c r="A492" t="s">
        <v>1846</v>
      </c>
      <c r="B492" t="s">
        <v>2125</v>
      </c>
      <c r="C492" t="s">
        <v>2122</v>
      </c>
      <c r="D492" t="s">
        <v>1031</v>
      </c>
      <c r="E492" t="s">
        <v>2116</v>
      </c>
      <c r="F492" t="s">
        <v>118</v>
      </c>
      <c r="G492" t="str">
        <f>HYPERLINK("https://vk.com/wall-27863223_292230?reply=292371")</f>
        <v>https://vk.com/wall-27863223_292230?reply=292371</v>
      </c>
      <c r="H492" t="s">
        <v>119</v>
      </c>
      <c r="I492" t="s">
        <v>211</v>
      </c>
      <c r="J492" t="str">
        <f>HYPERLINK("http://vk.com/id69897514")</f>
        <v>http://vk.com/id69897514</v>
      </c>
      <c r="K492">
        <v>1088</v>
      </c>
      <c r="L492" t="s">
        <v>151</v>
      </c>
      <c r="N492" t="s">
        <v>122</v>
      </c>
      <c r="O492" t="s">
        <v>175</v>
      </c>
      <c r="P492" t="str">
        <f>HYPERLINK("http://vk.com/club27863223")</f>
        <v>http://vk.com/club27863223</v>
      </c>
      <c r="Q492">
        <v>134698</v>
      </c>
      <c r="R492" t="s">
        <v>124</v>
      </c>
      <c r="S492" t="s">
        <v>125</v>
      </c>
      <c r="T492" t="s">
        <v>212</v>
      </c>
      <c r="U492" t="s">
        <v>213</v>
      </c>
      <c r="W492">
        <v>0</v>
      </c>
      <c r="X492">
        <v>0</v>
      </c>
      <c r="AM492" t="s">
        <v>129</v>
      </c>
      <c r="AN492" t="s">
        <v>130</v>
      </c>
      <c r="AO492" t="s">
        <v>40</v>
      </c>
      <c r="AP492" t="s">
        <v>41</v>
      </c>
      <c r="AZ492" t="s">
        <v>51</v>
      </c>
      <c r="BA492" t="s">
        <v>52</v>
      </c>
    </row>
    <row r="493" spans="1:90" x14ac:dyDescent="0.2">
      <c r="A493" t="s">
        <v>1846</v>
      </c>
      <c r="B493" t="s">
        <v>1671</v>
      </c>
      <c r="C493" t="s">
        <v>1199</v>
      </c>
      <c r="D493" t="s">
        <v>531</v>
      </c>
      <c r="E493" t="s">
        <v>2130</v>
      </c>
      <c r="F493" t="s">
        <v>180</v>
      </c>
      <c r="G493" t="str">
        <f>HYPERLINK("https://www.wildberries.ru/catalog/13884511/detail.aspx?targetUrl=ES#Comments")</f>
        <v>https://www.wildberries.ru/catalog/13884511/detail.aspx?targetUrl=ES#Comments</v>
      </c>
      <c r="H493" t="s">
        <v>181</v>
      </c>
      <c r="I493" t="s">
        <v>2131</v>
      </c>
      <c r="J493" t="str">
        <f>HYPERLINK("https://www.wildberries.ru/profile/w7TDssOkw7PCu8KywrbCucKzwrXCssKywrU=")</f>
        <v>https://www.wildberries.ru/profile/w7TDssOkw7PCu8KywrbCucKzwrXCssKywrU=</v>
      </c>
      <c r="L493" t="s">
        <v>121</v>
      </c>
      <c r="N493" t="s">
        <v>534</v>
      </c>
      <c r="O493" t="s">
        <v>531</v>
      </c>
      <c r="P493" t="str">
        <f>HYPERLINK("https://www.wildberries.ru/catalog/10388939/detail.aspx")</f>
        <v>https://www.wildberries.ru/catalog/10388939/detail.aspx</v>
      </c>
      <c r="R493" t="s">
        <v>184</v>
      </c>
      <c r="S493" t="s">
        <v>125</v>
      </c>
      <c r="W493">
        <v>0</v>
      </c>
      <c r="X493">
        <v>0</v>
      </c>
      <c r="AH493">
        <v>5</v>
      </c>
      <c r="AM493" t="s">
        <v>129</v>
      </c>
      <c r="AN493" t="s">
        <v>130</v>
      </c>
      <c r="AP493" t="s">
        <v>41</v>
      </c>
      <c r="AZ493" t="s">
        <v>51</v>
      </c>
      <c r="BA493" t="s">
        <v>52</v>
      </c>
      <c r="BK493" t="s">
        <v>62</v>
      </c>
    </row>
    <row r="494" spans="1:90" x14ac:dyDescent="0.2">
      <c r="A494" t="s">
        <v>1846</v>
      </c>
      <c r="B494" t="s">
        <v>562</v>
      </c>
      <c r="C494" t="s">
        <v>2100</v>
      </c>
      <c r="D494" t="s">
        <v>175</v>
      </c>
      <c r="E494" t="s">
        <v>2132</v>
      </c>
      <c r="F494" t="s">
        <v>180</v>
      </c>
      <c r="G494" t="str">
        <f>HYPERLINK("https://yandex.ru/maps/org/54667546591#NkpmSMmI-5xbRxYy9kTsc7RzmmgyIb")</f>
        <v>https://yandex.ru/maps/org/54667546591#NkpmSMmI-5xbRxYy9kTsc7RzmmgyIb</v>
      </c>
      <c r="H494" t="s">
        <v>181</v>
      </c>
      <c r="I494" t="s">
        <v>2133</v>
      </c>
      <c r="J494" t="str">
        <f>HYPERLINK("https://yandex.ru/user/6zbzxgb3mefe830c2y6pf7pppg")</f>
        <v>https://yandex.ru/user/6zbzxgb3mefe830c2y6pf7pppg</v>
      </c>
      <c r="L494" t="s">
        <v>151</v>
      </c>
      <c r="N494" t="s">
        <v>236</v>
      </c>
      <c r="O494" t="s">
        <v>175</v>
      </c>
      <c r="P494" t="str">
        <f>HYPERLINK("https://yandex.ru/maps/org/54667546591")</f>
        <v>https://yandex.ru/maps/org/54667546591</v>
      </c>
      <c r="R494" t="s">
        <v>184</v>
      </c>
      <c r="S494" t="s">
        <v>125</v>
      </c>
      <c r="T494" t="s">
        <v>153</v>
      </c>
      <c r="U494" t="s">
        <v>470</v>
      </c>
      <c r="W494">
        <v>0</v>
      </c>
      <c r="X494">
        <v>0</v>
      </c>
      <c r="AH494">
        <v>5</v>
      </c>
      <c r="AM494" t="s">
        <v>129</v>
      </c>
      <c r="AN494" t="s">
        <v>130</v>
      </c>
      <c r="AP494" t="s">
        <v>41</v>
      </c>
      <c r="AX494" t="s">
        <v>49</v>
      </c>
      <c r="AZ494" t="s">
        <v>51</v>
      </c>
      <c r="BA494" t="s">
        <v>52</v>
      </c>
      <c r="BL494" t="s">
        <v>63</v>
      </c>
    </row>
    <row r="495" spans="1:90" x14ac:dyDescent="0.2">
      <c r="A495" t="s">
        <v>1846</v>
      </c>
      <c r="B495" t="s">
        <v>2134</v>
      </c>
      <c r="C495" t="s">
        <v>2135</v>
      </c>
      <c r="D495" t="s">
        <v>1377</v>
      </c>
      <c r="E495" t="s">
        <v>2136</v>
      </c>
      <c r="F495" t="s">
        <v>118</v>
      </c>
      <c r="G495" t="str">
        <f>HYPERLINK("https://vk.com/wall-22935147_368668?reply=368683&amp;thread=368669")</f>
        <v>https://vk.com/wall-22935147_368668?reply=368683&amp;thread=368669</v>
      </c>
      <c r="H495" t="s">
        <v>119</v>
      </c>
      <c r="I495" t="s">
        <v>2137</v>
      </c>
      <c r="J495" t="str">
        <f>HYPERLINK("http://vk.com/id604273234")</f>
        <v>http://vk.com/id604273234</v>
      </c>
      <c r="K495">
        <v>19</v>
      </c>
      <c r="L495" t="s">
        <v>121</v>
      </c>
      <c r="M495">
        <v>40</v>
      </c>
      <c r="N495" t="s">
        <v>122</v>
      </c>
      <c r="O495" t="s">
        <v>1093</v>
      </c>
      <c r="P495" t="str">
        <f>HYPERLINK("http://vk.com/club22935147")</f>
        <v>http://vk.com/club22935147</v>
      </c>
      <c r="Q495">
        <v>8943</v>
      </c>
      <c r="R495" t="s">
        <v>124</v>
      </c>
      <c r="S495" t="s">
        <v>125</v>
      </c>
      <c r="AM495" t="s">
        <v>129</v>
      </c>
      <c r="AN495" t="s">
        <v>130</v>
      </c>
      <c r="AP495" t="s">
        <v>41</v>
      </c>
      <c r="AY495" t="s">
        <v>50</v>
      </c>
      <c r="AZ495" t="s">
        <v>51</v>
      </c>
      <c r="BA495" t="s">
        <v>52</v>
      </c>
      <c r="BL495" t="s">
        <v>63</v>
      </c>
    </row>
    <row r="496" spans="1:90" x14ac:dyDescent="0.2">
      <c r="A496" t="s">
        <v>1846</v>
      </c>
      <c r="B496" t="s">
        <v>2138</v>
      </c>
      <c r="C496" t="s">
        <v>2139</v>
      </c>
      <c r="D496" t="s">
        <v>1031</v>
      </c>
      <c r="E496" t="s">
        <v>2116</v>
      </c>
      <c r="F496" t="s">
        <v>118</v>
      </c>
      <c r="G496" t="str">
        <f>HYPERLINK("https://vk.com/wall-27863223_292230?reply=292370")</f>
        <v>https://vk.com/wall-27863223_292230?reply=292370</v>
      </c>
      <c r="H496" t="s">
        <v>119</v>
      </c>
      <c r="I496" t="s">
        <v>2140</v>
      </c>
      <c r="J496" t="str">
        <f>HYPERLINK("http://vk.com/id26452643")</f>
        <v>http://vk.com/id26452643</v>
      </c>
      <c r="K496">
        <v>215</v>
      </c>
      <c r="L496" t="s">
        <v>151</v>
      </c>
      <c r="N496" t="s">
        <v>122</v>
      </c>
      <c r="O496" t="s">
        <v>175</v>
      </c>
      <c r="P496" t="str">
        <f>HYPERLINK("http://vk.com/club27863223")</f>
        <v>http://vk.com/club27863223</v>
      </c>
      <c r="Q496">
        <v>134698</v>
      </c>
      <c r="R496" t="s">
        <v>124</v>
      </c>
      <c r="S496" t="s">
        <v>125</v>
      </c>
      <c r="T496" t="s">
        <v>137</v>
      </c>
      <c r="U496" t="s">
        <v>137</v>
      </c>
      <c r="W496">
        <v>0</v>
      </c>
      <c r="X496">
        <v>0</v>
      </c>
      <c r="AM496" t="s">
        <v>129</v>
      </c>
      <c r="AN496" t="s">
        <v>130</v>
      </c>
      <c r="AO496" t="s">
        <v>40</v>
      </c>
      <c r="AP496" t="s">
        <v>41</v>
      </c>
      <c r="AZ496" t="s">
        <v>51</v>
      </c>
      <c r="BA496" t="s">
        <v>52</v>
      </c>
    </row>
    <row r="497" spans="1:75" x14ac:dyDescent="0.2">
      <c r="A497" t="s">
        <v>1846</v>
      </c>
      <c r="B497" t="s">
        <v>1109</v>
      </c>
      <c r="C497" t="s">
        <v>2141</v>
      </c>
      <c r="D497" t="s">
        <v>175</v>
      </c>
      <c r="E497" t="s">
        <v>2142</v>
      </c>
      <c r="F497" t="s">
        <v>180</v>
      </c>
      <c r="G497" t="str">
        <f>HYPERLINK("https://yandex.ru/maps/org/208578133924#AGb5n5RVxMahi0mj2lHk4IhiNs6i5eDN-")</f>
        <v>https://yandex.ru/maps/org/208578133924#AGb5n5RVxMahi0mj2lHk4IhiNs6i5eDN-</v>
      </c>
      <c r="H497" t="s">
        <v>119</v>
      </c>
      <c r="I497" t="s">
        <v>2143</v>
      </c>
      <c r="J497" t="str">
        <f>HYPERLINK("https://yandex.ru/user/znd3u3eb8qgg6bgnt2eputtn9w")</f>
        <v>https://yandex.ru/user/znd3u3eb8qgg6bgnt2eputtn9w</v>
      </c>
      <c r="L497" t="s">
        <v>121</v>
      </c>
      <c r="N497" t="s">
        <v>236</v>
      </c>
      <c r="O497" t="s">
        <v>175</v>
      </c>
      <c r="P497" t="str">
        <f>HYPERLINK("https://yandex.ru/maps/org/208578133924")</f>
        <v>https://yandex.ru/maps/org/208578133924</v>
      </c>
      <c r="R497" t="s">
        <v>184</v>
      </c>
      <c r="S497" t="s">
        <v>125</v>
      </c>
      <c r="T497" t="s">
        <v>494</v>
      </c>
      <c r="U497" t="s">
        <v>2144</v>
      </c>
      <c r="W497">
        <v>0</v>
      </c>
      <c r="X497">
        <v>0</v>
      </c>
      <c r="AH497">
        <v>4</v>
      </c>
      <c r="AM497" t="s">
        <v>129</v>
      </c>
      <c r="AN497" t="s">
        <v>130</v>
      </c>
      <c r="AP497" t="s">
        <v>41</v>
      </c>
      <c r="AX497" t="s">
        <v>49</v>
      </c>
      <c r="AZ497" t="s">
        <v>51</v>
      </c>
      <c r="BA497" t="s">
        <v>52</v>
      </c>
      <c r="BK497" t="s">
        <v>62</v>
      </c>
    </row>
    <row r="498" spans="1:75" x14ac:dyDescent="0.2">
      <c r="A498" t="s">
        <v>1846</v>
      </c>
      <c r="B498" t="s">
        <v>2145</v>
      </c>
      <c r="C498" t="s">
        <v>2146</v>
      </c>
      <c r="D498" t="s">
        <v>1727</v>
      </c>
      <c r="E498" t="s">
        <v>2147</v>
      </c>
      <c r="F498" t="s">
        <v>180</v>
      </c>
      <c r="G498" t="str">
        <f>HYPERLINK("https://www.ozon.ru/context/detail/id/248909251/#62645957")</f>
        <v>https://www.ozon.ru/context/detail/id/248909251/#62645957</v>
      </c>
      <c r="H498" t="s">
        <v>181</v>
      </c>
      <c r="I498" t="s">
        <v>512</v>
      </c>
      <c r="J498" t="str">
        <f>HYPERLINK("https://www.ozon.ru/context/client_opinion/ClientGuid//")</f>
        <v>https://www.ozon.ru/context/client_opinion/ClientGuid//</v>
      </c>
      <c r="N498" t="s">
        <v>183</v>
      </c>
      <c r="O498" t="s">
        <v>1729</v>
      </c>
      <c r="P498" t="str">
        <f>HYPERLINK("https://www.ozon.ru/context/detail/id/248909251/")</f>
        <v>https://www.ozon.ru/context/detail/id/248909251/</v>
      </c>
      <c r="R498" t="s">
        <v>184</v>
      </c>
      <c r="S498" t="s">
        <v>125</v>
      </c>
      <c r="W498">
        <v>0</v>
      </c>
      <c r="X498">
        <v>0</v>
      </c>
      <c r="AH498">
        <v>5</v>
      </c>
      <c r="AM498" t="s">
        <v>129</v>
      </c>
      <c r="AN498" t="s">
        <v>130</v>
      </c>
      <c r="AP498" t="s">
        <v>41</v>
      </c>
      <c r="AT498" t="s">
        <v>45</v>
      </c>
      <c r="AZ498" t="s">
        <v>51</v>
      </c>
      <c r="BA498" t="s">
        <v>52</v>
      </c>
      <c r="BL498" t="s">
        <v>63</v>
      </c>
    </row>
    <row r="499" spans="1:75" x14ac:dyDescent="0.2">
      <c r="A499" t="s">
        <v>1846</v>
      </c>
      <c r="B499" t="s">
        <v>597</v>
      </c>
      <c r="C499" t="s">
        <v>2148</v>
      </c>
      <c r="D499" t="s">
        <v>1989</v>
      </c>
      <c r="E499" t="s">
        <v>2149</v>
      </c>
      <c r="F499" t="s">
        <v>118</v>
      </c>
      <c r="G499" t="str">
        <f>HYPERLINK("https://vk.com/wall-385878_304121?reply=304133")</f>
        <v>https://vk.com/wall-385878_304121?reply=304133</v>
      </c>
      <c r="H499" t="s">
        <v>119</v>
      </c>
      <c r="I499" t="s">
        <v>2150</v>
      </c>
      <c r="J499" t="str">
        <f>HYPERLINK("http://vk.com/id625677")</f>
        <v>http://vk.com/id625677</v>
      </c>
      <c r="K499">
        <v>473</v>
      </c>
      <c r="L499" t="s">
        <v>121</v>
      </c>
      <c r="N499" t="s">
        <v>122</v>
      </c>
      <c r="O499" t="s">
        <v>1992</v>
      </c>
      <c r="P499" t="str">
        <f>HYPERLINK("http://vk.com/club385878")</f>
        <v>http://vk.com/club385878</v>
      </c>
      <c r="Q499">
        <v>12352</v>
      </c>
      <c r="R499" t="s">
        <v>124</v>
      </c>
      <c r="S499" t="s">
        <v>125</v>
      </c>
      <c r="T499" t="s">
        <v>137</v>
      </c>
      <c r="U499" t="s">
        <v>137</v>
      </c>
      <c r="AM499" t="s">
        <v>129</v>
      </c>
      <c r="AN499" t="s">
        <v>130</v>
      </c>
      <c r="AP499" t="s">
        <v>41</v>
      </c>
      <c r="AZ499" t="s">
        <v>51</v>
      </c>
      <c r="BA499" t="s">
        <v>52</v>
      </c>
      <c r="BW499" t="s">
        <v>74</v>
      </c>
    </row>
    <row r="500" spans="1:75" x14ac:dyDescent="0.2">
      <c r="A500" t="s">
        <v>1846</v>
      </c>
      <c r="B500" t="s">
        <v>2151</v>
      </c>
      <c r="C500" t="s">
        <v>2152</v>
      </c>
      <c r="D500" t="s">
        <v>129</v>
      </c>
      <c r="E500" t="s">
        <v>2153</v>
      </c>
      <c r="F500" t="s">
        <v>180</v>
      </c>
      <c r="G500" t="str">
        <f>HYPERLINK("https://vk.com/wall-385878_304121")</f>
        <v>https://vk.com/wall-385878_304121</v>
      </c>
      <c r="H500" t="s">
        <v>119</v>
      </c>
      <c r="I500" t="s">
        <v>2120</v>
      </c>
      <c r="J500" t="str">
        <f>HYPERLINK("http://vk.com/id150735798")</f>
        <v>http://vk.com/id150735798</v>
      </c>
      <c r="K500">
        <v>70</v>
      </c>
      <c r="L500" t="s">
        <v>151</v>
      </c>
      <c r="M500">
        <v>64</v>
      </c>
      <c r="N500" t="s">
        <v>122</v>
      </c>
      <c r="O500" t="s">
        <v>1992</v>
      </c>
      <c r="P500" t="str">
        <f>HYPERLINK("http://vk.com/club385878")</f>
        <v>http://vk.com/club385878</v>
      </c>
      <c r="Q500">
        <v>12352</v>
      </c>
      <c r="R500" t="s">
        <v>124</v>
      </c>
      <c r="S500" t="s">
        <v>125</v>
      </c>
      <c r="T500" t="s">
        <v>137</v>
      </c>
      <c r="U500" t="s">
        <v>137</v>
      </c>
      <c r="W500">
        <v>0</v>
      </c>
      <c r="X500">
        <v>0</v>
      </c>
      <c r="AE500">
        <v>11</v>
      </c>
      <c r="AF500">
        <v>0</v>
      </c>
      <c r="AG500">
        <v>2401</v>
      </c>
      <c r="AM500" t="s">
        <v>129</v>
      </c>
      <c r="AN500" t="s">
        <v>130</v>
      </c>
      <c r="AP500" t="s">
        <v>41</v>
      </c>
      <c r="AZ500" t="s">
        <v>51</v>
      </c>
      <c r="BA500" t="s">
        <v>52</v>
      </c>
      <c r="BL500" t="s">
        <v>63</v>
      </c>
      <c r="BW500" t="s">
        <v>74</v>
      </c>
    </row>
    <row r="501" spans="1:75" x14ac:dyDescent="0.2">
      <c r="A501" t="s">
        <v>1846</v>
      </c>
      <c r="B501" t="s">
        <v>2154</v>
      </c>
      <c r="C501" t="s">
        <v>2155</v>
      </c>
      <c r="D501" t="s">
        <v>1377</v>
      </c>
      <c r="E501" t="s">
        <v>2156</v>
      </c>
      <c r="F501" t="s">
        <v>118</v>
      </c>
      <c r="G501" t="str">
        <f>HYPERLINK("https://vk.com/wall-22935147_368668?reply=368682")</f>
        <v>https://vk.com/wall-22935147_368668?reply=368682</v>
      </c>
      <c r="H501" t="s">
        <v>119</v>
      </c>
      <c r="I501" t="s">
        <v>2157</v>
      </c>
      <c r="J501" t="str">
        <f>HYPERLINK("http://vk.com/id245868162")</f>
        <v>http://vk.com/id245868162</v>
      </c>
      <c r="K501">
        <v>188</v>
      </c>
      <c r="L501" t="s">
        <v>121</v>
      </c>
      <c r="N501" t="s">
        <v>122</v>
      </c>
      <c r="O501" t="s">
        <v>1093</v>
      </c>
      <c r="P501" t="str">
        <f>HYPERLINK("http://vk.com/club22935147")</f>
        <v>http://vk.com/club22935147</v>
      </c>
      <c r="Q501">
        <v>8943</v>
      </c>
      <c r="R501" t="s">
        <v>124</v>
      </c>
      <c r="S501" t="s">
        <v>125</v>
      </c>
      <c r="T501" t="s">
        <v>778</v>
      </c>
      <c r="U501" t="s">
        <v>2158</v>
      </c>
      <c r="W501">
        <v>0</v>
      </c>
      <c r="X501">
        <v>0</v>
      </c>
      <c r="AM501" t="s">
        <v>129</v>
      </c>
      <c r="AN501" t="s">
        <v>130</v>
      </c>
      <c r="AP501" t="s">
        <v>41</v>
      </c>
      <c r="AZ501" t="s">
        <v>51</v>
      </c>
      <c r="BA501" t="s">
        <v>52</v>
      </c>
      <c r="BL501" t="s">
        <v>63</v>
      </c>
    </row>
    <row r="502" spans="1:75" x14ac:dyDescent="0.2">
      <c r="A502" t="s">
        <v>1846</v>
      </c>
      <c r="B502" t="s">
        <v>1710</v>
      </c>
      <c r="C502" t="s">
        <v>2155</v>
      </c>
      <c r="D502" t="s">
        <v>1031</v>
      </c>
      <c r="E502" t="s">
        <v>2124</v>
      </c>
      <c r="F502" t="s">
        <v>118</v>
      </c>
      <c r="G502" t="str">
        <f>HYPERLINK("https://vk.com/wall-27863223_292230?reply=292369")</f>
        <v>https://vk.com/wall-27863223_292230?reply=292369</v>
      </c>
      <c r="H502" t="s">
        <v>119</v>
      </c>
      <c r="I502" t="s">
        <v>2159</v>
      </c>
      <c r="J502" t="str">
        <f>HYPERLINK("http://vk.com/id344026349")</f>
        <v>http://vk.com/id344026349</v>
      </c>
      <c r="K502">
        <v>133</v>
      </c>
      <c r="L502" t="s">
        <v>151</v>
      </c>
      <c r="N502" t="s">
        <v>122</v>
      </c>
      <c r="O502" t="s">
        <v>175</v>
      </c>
      <c r="P502" t="str">
        <f>HYPERLINK("http://vk.com/club27863223")</f>
        <v>http://vk.com/club27863223</v>
      </c>
      <c r="Q502">
        <v>134698</v>
      </c>
      <c r="R502" t="s">
        <v>124</v>
      </c>
      <c r="S502" t="s">
        <v>125</v>
      </c>
      <c r="W502">
        <v>0</v>
      </c>
      <c r="X502">
        <v>0</v>
      </c>
      <c r="AM502" t="s">
        <v>129</v>
      </c>
      <c r="AN502" t="s">
        <v>130</v>
      </c>
      <c r="AO502" t="s">
        <v>40</v>
      </c>
      <c r="AP502" t="s">
        <v>41</v>
      </c>
      <c r="AZ502" t="s">
        <v>51</v>
      </c>
      <c r="BA502" t="s">
        <v>52</v>
      </c>
    </row>
    <row r="503" spans="1:75" x14ac:dyDescent="0.2">
      <c r="A503" t="s">
        <v>1846</v>
      </c>
      <c r="B503" t="s">
        <v>606</v>
      </c>
      <c r="C503" t="s">
        <v>2155</v>
      </c>
      <c r="D503" t="s">
        <v>1031</v>
      </c>
      <c r="E503" t="s">
        <v>2160</v>
      </c>
      <c r="F503" t="s">
        <v>118</v>
      </c>
      <c r="G503" t="str">
        <f>HYPERLINK("https://vk.com/wall-27863223_292230?reply=292368")</f>
        <v>https://vk.com/wall-27863223_292230?reply=292368</v>
      </c>
      <c r="H503" t="s">
        <v>119</v>
      </c>
      <c r="I503" t="s">
        <v>2161</v>
      </c>
      <c r="J503" t="str">
        <f>HYPERLINK("http://vk.com/id16486524")</f>
        <v>http://vk.com/id16486524</v>
      </c>
      <c r="K503">
        <v>574</v>
      </c>
      <c r="L503" t="s">
        <v>121</v>
      </c>
      <c r="N503" t="s">
        <v>122</v>
      </c>
      <c r="O503" t="s">
        <v>175</v>
      </c>
      <c r="P503" t="str">
        <f>HYPERLINK("http://vk.com/club27863223")</f>
        <v>http://vk.com/club27863223</v>
      </c>
      <c r="Q503">
        <v>134698</v>
      </c>
      <c r="R503" t="s">
        <v>124</v>
      </c>
      <c r="S503" t="s">
        <v>125</v>
      </c>
      <c r="T503" t="s">
        <v>212</v>
      </c>
      <c r="U503" t="s">
        <v>242</v>
      </c>
      <c r="W503">
        <v>0</v>
      </c>
      <c r="X503">
        <v>0</v>
      </c>
      <c r="AM503" t="s">
        <v>129</v>
      </c>
      <c r="AN503" t="s">
        <v>130</v>
      </c>
      <c r="AO503" t="s">
        <v>40</v>
      </c>
      <c r="AP503" t="s">
        <v>41</v>
      </c>
      <c r="AZ503" t="s">
        <v>51</v>
      </c>
      <c r="BA503" t="s">
        <v>52</v>
      </c>
    </row>
    <row r="504" spans="1:75" x14ac:dyDescent="0.2">
      <c r="A504" t="s">
        <v>1846</v>
      </c>
      <c r="B504" t="s">
        <v>2162</v>
      </c>
      <c r="C504" t="s">
        <v>2163</v>
      </c>
      <c r="D504" t="s">
        <v>175</v>
      </c>
      <c r="E504" t="s">
        <v>2164</v>
      </c>
      <c r="F504" t="s">
        <v>180</v>
      </c>
      <c r="G504" t="str">
        <f>HYPERLINK("https://www.google.com/maps/reviews/data=!4m5!14m4!1m3!1m2!1s115374678633331534044!2s0x0:0xd8a576153b79e824?hl=en-NL")</f>
        <v>https://www.google.com/maps/reviews/data=!4m5!14m4!1m3!1m2!1s115374678633331534044!2s0x0:0xd8a576153b79e824?hl=en-NL</v>
      </c>
      <c r="H504" t="s">
        <v>181</v>
      </c>
      <c r="I504" t="s">
        <v>2165</v>
      </c>
      <c r="J504" t="str">
        <f>HYPERLINK("https://maps.google.com/maps/contrib/115374678633331534044")</f>
        <v>https://maps.google.com/maps/contrib/115374678633331534044</v>
      </c>
      <c r="L504" t="s">
        <v>121</v>
      </c>
      <c r="N504" t="s">
        <v>673</v>
      </c>
      <c r="O504" t="s">
        <v>175</v>
      </c>
      <c r="P504" t="str">
        <f>HYPERLINK("https://maps.google.com/maps/place/data=!3m1!4b1!4m5!3m4!1s0x0:0xd8a576153b79e824!8m2!3d56.873480!4d53.277490")</f>
        <v>https://maps.google.com/maps/place/data=!3m1!4b1!4m5!3m4!1s0x0:0xd8a576153b79e824!8m2!3d56.873480!4d53.277490</v>
      </c>
      <c r="R504" t="s">
        <v>184</v>
      </c>
      <c r="S504" t="s">
        <v>125</v>
      </c>
      <c r="T504" t="s">
        <v>2166</v>
      </c>
      <c r="U504" t="s">
        <v>2167</v>
      </c>
      <c r="W504">
        <v>0</v>
      </c>
      <c r="X504">
        <v>0</v>
      </c>
      <c r="AH504">
        <v>5</v>
      </c>
      <c r="AM504" t="s">
        <v>129</v>
      </c>
      <c r="AN504" t="s">
        <v>130</v>
      </c>
      <c r="AP504" t="s">
        <v>41</v>
      </c>
      <c r="AX504" t="s">
        <v>49</v>
      </c>
      <c r="AZ504" t="s">
        <v>51</v>
      </c>
      <c r="BA504" t="s">
        <v>52</v>
      </c>
    </row>
    <row r="505" spans="1:75" x14ac:dyDescent="0.2">
      <c r="A505" t="s">
        <v>1846</v>
      </c>
      <c r="B505" t="s">
        <v>1723</v>
      </c>
      <c r="C505" t="s">
        <v>2168</v>
      </c>
      <c r="D505" t="s">
        <v>2169</v>
      </c>
      <c r="E505" t="s">
        <v>2170</v>
      </c>
      <c r="F505" t="s">
        <v>180</v>
      </c>
      <c r="G505" t="str">
        <f>HYPERLINK("https://www.ozon.ru/context/detail/id/172324122/#62635700")</f>
        <v>https://www.ozon.ru/context/detail/id/172324122/#62635700</v>
      </c>
      <c r="H505" t="s">
        <v>181</v>
      </c>
      <c r="I505" t="s">
        <v>2171</v>
      </c>
      <c r="J505" t="str">
        <f>HYPERLINK("https://www.ozon.ru/context/client_opinion/ClientGuid/6ff8b4aa-828a-4df7-b60c-8d27be32c0f0/")</f>
        <v>https://www.ozon.ru/context/client_opinion/ClientGuid/6ff8b4aa-828a-4df7-b60c-8d27be32c0f0/</v>
      </c>
      <c r="L505" t="s">
        <v>151</v>
      </c>
      <c r="N505" t="s">
        <v>183</v>
      </c>
      <c r="O505" t="s">
        <v>2169</v>
      </c>
      <c r="P505" t="str">
        <f>HYPERLINK("https://www.ozon.ru/context/detail/id/172324122/")</f>
        <v>https://www.ozon.ru/context/detail/id/172324122/</v>
      </c>
      <c r="R505" t="s">
        <v>184</v>
      </c>
      <c r="S505" t="s">
        <v>125</v>
      </c>
      <c r="W505">
        <v>0</v>
      </c>
      <c r="X505">
        <v>0</v>
      </c>
      <c r="AH505">
        <v>5</v>
      </c>
      <c r="AM505" t="s">
        <v>129</v>
      </c>
      <c r="AN505" t="s">
        <v>130</v>
      </c>
      <c r="AP505" t="s">
        <v>41</v>
      </c>
      <c r="AT505" t="s">
        <v>45</v>
      </c>
      <c r="AZ505" t="s">
        <v>51</v>
      </c>
      <c r="BA505" t="s">
        <v>52</v>
      </c>
      <c r="BL505" t="s">
        <v>63</v>
      </c>
    </row>
    <row r="506" spans="1:75" x14ac:dyDescent="0.2">
      <c r="A506" t="s">
        <v>1846</v>
      </c>
      <c r="B506" t="s">
        <v>1127</v>
      </c>
      <c r="C506" t="s">
        <v>2172</v>
      </c>
      <c r="D506" t="s">
        <v>1031</v>
      </c>
      <c r="E506" t="s">
        <v>2173</v>
      </c>
      <c r="F506" t="s">
        <v>118</v>
      </c>
      <c r="G506" t="str">
        <f>HYPERLINK("https://vk.com/wall-27863223_292230?reply=292367")</f>
        <v>https://vk.com/wall-27863223_292230?reply=292367</v>
      </c>
      <c r="H506" t="s">
        <v>119</v>
      </c>
      <c r="I506" t="s">
        <v>2174</v>
      </c>
      <c r="J506" t="str">
        <f>HYPERLINK("http://vk.com/id128966243")</f>
        <v>http://vk.com/id128966243</v>
      </c>
      <c r="K506">
        <v>427</v>
      </c>
      <c r="L506" t="s">
        <v>121</v>
      </c>
      <c r="N506" t="s">
        <v>122</v>
      </c>
      <c r="O506" t="s">
        <v>175</v>
      </c>
      <c r="P506" t="str">
        <f>HYPERLINK("http://vk.com/club27863223")</f>
        <v>http://vk.com/club27863223</v>
      </c>
      <c r="Q506">
        <v>134698</v>
      </c>
      <c r="R506" t="s">
        <v>124</v>
      </c>
      <c r="S506" t="s">
        <v>125</v>
      </c>
      <c r="T506" t="s">
        <v>1819</v>
      </c>
      <c r="U506" t="s">
        <v>2175</v>
      </c>
      <c r="W506">
        <v>0</v>
      </c>
      <c r="X506">
        <v>0</v>
      </c>
      <c r="AM506" t="s">
        <v>129</v>
      </c>
      <c r="AN506" t="s">
        <v>130</v>
      </c>
      <c r="AO506" t="s">
        <v>40</v>
      </c>
      <c r="AP506" t="s">
        <v>41</v>
      </c>
      <c r="AZ506" t="s">
        <v>51</v>
      </c>
      <c r="BA506" t="s">
        <v>52</v>
      </c>
    </row>
    <row r="507" spans="1:75" x14ac:dyDescent="0.2">
      <c r="A507" t="s">
        <v>1846</v>
      </c>
      <c r="B507" t="s">
        <v>1736</v>
      </c>
      <c r="C507" t="s">
        <v>2176</v>
      </c>
      <c r="D507" t="s">
        <v>1829</v>
      </c>
      <c r="E507" t="s">
        <v>2177</v>
      </c>
      <c r="F507" t="s">
        <v>118</v>
      </c>
      <c r="G507" t="str">
        <f>HYPERLINK("https://vk.com/wall-27863223_292322?w=wall-27863223_292322_r292365")</f>
        <v>https://vk.com/wall-27863223_292322?w=wall-27863223_292322_r292365</v>
      </c>
      <c r="H507" t="s">
        <v>119</v>
      </c>
      <c r="I507" t="s">
        <v>2178</v>
      </c>
      <c r="J507" t="str">
        <f>HYPERLINK("http://vk.com/id16619924")</f>
        <v>http://vk.com/id16619924</v>
      </c>
      <c r="K507">
        <v>4</v>
      </c>
      <c r="L507" t="s">
        <v>121</v>
      </c>
      <c r="M507">
        <v>39</v>
      </c>
      <c r="N507" t="s">
        <v>122</v>
      </c>
      <c r="O507" t="s">
        <v>175</v>
      </c>
      <c r="P507" t="str">
        <f>HYPERLINK("http://vk.com/club27863223")</f>
        <v>http://vk.com/club27863223</v>
      </c>
      <c r="Q507">
        <v>134698</v>
      </c>
      <c r="R507" t="s">
        <v>124</v>
      </c>
      <c r="S507" t="s">
        <v>125</v>
      </c>
      <c r="T507" t="s">
        <v>230</v>
      </c>
      <c r="U507" t="s">
        <v>231</v>
      </c>
      <c r="W507">
        <v>0</v>
      </c>
      <c r="X507">
        <v>0</v>
      </c>
      <c r="AM507" t="s">
        <v>129</v>
      </c>
      <c r="AN507" t="s">
        <v>130</v>
      </c>
      <c r="AP507" t="s">
        <v>41</v>
      </c>
      <c r="AU507" t="s">
        <v>46</v>
      </c>
      <c r="AZ507" t="s">
        <v>51</v>
      </c>
      <c r="BA507" t="s">
        <v>52</v>
      </c>
    </row>
    <row r="508" spans="1:75" x14ac:dyDescent="0.2">
      <c r="A508" t="s">
        <v>1846</v>
      </c>
      <c r="B508" t="s">
        <v>2179</v>
      </c>
      <c r="C508" t="s">
        <v>2176</v>
      </c>
      <c r="D508" t="s">
        <v>1829</v>
      </c>
      <c r="E508" t="s">
        <v>2180</v>
      </c>
      <c r="F508" t="s">
        <v>118</v>
      </c>
      <c r="G508" t="str">
        <f>HYPERLINK("https://vk.com/wall-27863223_292322?w=wall-27863223_292322_r292363")</f>
        <v>https://vk.com/wall-27863223_292322?w=wall-27863223_292322_r292363</v>
      </c>
      <c r="H508" t="s">
        <v>119</v>
      </c>
      <c r="I508" t="s">
        <v>2178</v>
      </c>
      <c r="J508" t="str">
        <f>HYPERLINK("http://vk.com/id16619924")</f>
        <v>http://vk.com/id16619924</v>
      </c>
      <c r="K508">
        <v>4</v>
      </c>
      <c r="L508" t="s">
        <v>121</v>
      </c>
      <c r="M508">
        <v>39</v>
      </c>
      <c r="N508" t="s">
        <v>122</v>
      </c>
      <c r="O508" t="s">
        <v>175</v>
      </c>
      <c r="P508" t="str">
        <f>HYPERLINK("http://vk.com/club27863223")</f>
        <v>http://vk.com/club27863223</v>
      </c>
      <c r="Q508">
        <v>134698</v>
      </c>
      <c r="R508" t="s">
        <v>124</v>
      </c>
      <c r="S508" t="s">
        <v>125</v>
      </c>
      <c r="T508" t="s">
        <v>230</v>
      </c>
      <c r="U508" t="s">
        <v>231</v>
      </c>
      <c r="W508">
        <v>0</v>
      </c>
      <c r="X508">
        <v>0</v>
      </c>
      <c r="AM508" t="s">
        <v>129</v>
      </c>
      <c r="AN508" t="s">
        <v>130</v>
      </c>
      <c r="AP508" t="s">
        <v>41</v>
      </c>
      <c r="AU508" t="s">
        <v>46</v>
      </c>
      <c r="BA508" t="s">
        <v>52</v>
      </c>
      <c r="BE508" t="s">
        <v>56</v>
      </c>
    </row>
    <row r="509" spans="1:75" x14ac:dyDescent="0.2">
      <c r="A509" t="s">
        <v>1846</v>
      </c>
      <c r="B509" t="s">
        <v>2181</v>
      </c>
      <c r="C509" t="s">
        <v>2182</v>
      </c>
      <c r="D509" t="s">
        <v>1031</v>
      </c>
      <c r="E509" t="s">
        <v>2183</v>
      </c>
      <c r="F509" t="s">
        <v>118</v>
      </c>
      <c r="G509" t="str">
        <f>HYPERLINK("https://vk.com/wall-27863223_292230?reply=292362")</f>
        <v>https://vk.com/wall-27863223_292230?reply=292362</v>
      </c>
      <c r="H509" t="s">
        <v>119</v>
      </c>
      <c r="I509" t="s">
        <v>1672</v>
      </c>
      <c r="J509" t="str">
        <f>HYPERLINK("http://vk.com/id72714965")</f>
        <v>http://vk.com/id72714965</v>
      </c>
      <c r="K509">
        <v>586</v>
      </c>
      <c r="L509" t="s">
        <v>151</v>
      </c>
      <c r="N509" t="s">
        <v>122</v>
      </c>
      <c r="O509" t="s">
        <v>175</v>
      </c>
      <c r="P509" t="str">
        <f>HYPERLINK("http://vk.com/club27863223")</f>
        <v>http://vk.com/club27863223</v>
      </c>
      <c r="Q509">
        <v>134698</v>
      </c>
      <c r="R509" t="s">
        <v>124</v>
      </c>
      <c r="S509" t="s">
        <v>125</v>
      </c>
      <c r="T509" t="s">
        <v>169</v>
      </c>
      <c r="U509" t="s">
        <v>169</v>
      </c>
      <c r="W509">
        <v>0</v>
      </c>
      <c r="X509">
        <v>0</v>
      </c>
      <c r="AM509" t="s">
        <v>129</v>
      </c>
      <c r="AN509" t="s">
        <v>130</v>
      </c>
      <c r="AO509" t="s">
        <v>40</v>
      </c>
      <c r="AP509" t="s">
        <v>41</v>
      </c>
      <c r="AZ509" t="s">
        <v>51</v>
      </c>
      <c r="BA509" t="s">
        <v>52</v>
      </c>
    </row>
    <row r="510" spans="1:75" x14ac:dyDescent="0.2">
      <c r="A510" t="s">
        <v>1846</v>
      </c>
      <c r="B510" t="s">
        <v>2184</v>
      </c>
      <c r="C510" t="s">
        <v>2185</v>
      </c>
      <c r="D510" t="s">
        <v>1648</v>
      </c>
      <c r="E510" t="s">
        <v>2186</v>
      </c>
      <c r="F510" t="s">
        <v>180</v>
      </c>
      <c r="G510" t="str">
        <f>HYPERLINK("https://www.wildberries.ru/catalog/26550113/detail.aspx?targetUrl=ES#Comments")</f>
        <v>https://www.wildberries.ru/catalog/26550113/detail.aspx?targetUrl=ES#Comments</v>
      </c>
      <c r="H510" t="s">
        <v>181</v>
      </c>
      <c r="I510" t="s">
        <v>924</v>
      </c>
      <c r="J510" t="str">
        <f>HYPERLINK("https://www.wildberries.ru/profile/w7TDssOkw7PCu8KwwrnCtMK4wrXCt8K1wrM=")</f>
        <v>https://www.wildberries.ru/profile/w7TDssOkw7PCu8KwwrnCtMK4wrXCt8K1wrM=</v>
      </c>
      <c r="L510" t="s">
        <v>121</v>
      </c>
      <c r="N510" t="s">
        <v>534</v>
      </c>
      <c r="O510" t="s">
        <v>1648</v>
      </c>
      <c r="P510" t="str">
        <f>HYPERLINK("https://www.wildberries.ru/catalog/19471768/detail.aspx")</f>
        <v>https://www.wildberries.ru/catalog/19471768/detail.aspx</v>
      </c>
      <c r="R510" t="s">
        <v>184</v>
      </c>
      <c r="S510" t="s">
        <v>125</v>
      </c>
      <c r="W510">
        <v>0</v>
      </c>
      <c r="X510">
        <v>0</v>
      </c>
      <c r="AH510">
        <v>5</v>
      </c>
      <c r="AM510" t="s">
        <v>129</v>
      </c>
      <c r="AN510" t="s">
        <v>130</v>
      </c>
      <c r="AP510" t="s">
        <v>41</v>
      </c>
      <c r="AT510" t="s">
        <v>45</v>
      </c>
      <c r="AZ510" t="s">
        <v>51</v>
      </c>
      <c r="BA510" t="s">
        <v>52</v>
      </c>
    </row>
    <row r="511" spans="1:75" x14ac:dyDescent="0.2">
      <c r="A511" t="s">
        <v>1846</v>
      </c>
      <c r="B511" t="s">
        <v>2187</v>
      </c>
      <c r="C511" t="s">
        <v>1921</v>
      </c>
      <c r="D511" t="s">
        <v>855</v>
      </c>
      <c r="E511" t="s">
        <v>2188</v>
      </c>
      <c r="F511" t="s">
        <v>180</v>
      </c>
      <c r="G511" t="str">
        <f>HYPERLINK("https://www.ozon.ru/context/detail/id/170215696/#62607645")</f>
        <v>https://www.ozon.ru/context/detail/id/170215696/#62607645</v>
      </c>
      <c r="H511" t="s">
        <v>181</v>
      </c>
      <c r="I511" t="s">
        <v>2189</v>
      </c>
      <c r="J511" t="str">
        <f>HYPERLINK("https://www.ozon.ru/context/client_opinion/ClientGuid/d0571969-a5a8-4435-a78c-8e959f1b9d8a/")</f>
        <v>https://www.ozon.ru/context/client_opinion/ClientGuid/d0571969-a5a8-4435-a78c-8e959f1b9d8a/</v>
      </c>
      <c r="L511" t="s">
        <v>151</v>
      </c>
      <c r="N511" t="s">
        <v>183</v>
      </c>
      <c r="O511" t="s">
        <v>855</v>
      </c>
      <c r="P511" t="str">
        <f>HYPERLINK("https://www.ozon.ru/context/detail/id/170215696/")</f>
        <v>https://www.ozon.ru/context/detail/id/170215696/</v>
      </c>
      <c r="R511" t="s">
        <v>184</v>
      </c>
      <c r="S511" t="s">
        <v>125</v>
      </c>
      <c r="W511">
        <v>0</v>
      </c>
      <c r="X511">
        <v>0</v>
      </c>
      <c r="AH511">
        <v>5</v>
      </c>
      <c r="AM511" t="s">
        <v>129</v>
      </c>
      <c r="AN511" t="s">
        <v>130</v>
      </c>
      <c r="AP511" t="s">
        <v>41</v>
      </c>
      <c r="AZ511" t="s">
        <v>51</v>
      </c>
      <c r="BA511" t="s">
        <v>52</v>
      </c>
      <c r="BK511" t="s">
        <v>62</v>
      </c>
      <c r="BL511" t="s">
        <v>63</v>
      </c>
    </row>
    <row r="512" spans="1:75" x14ac:dyDescent="0.2">
      <c r="A512" t="s">
        <v>1846</v>
      </c>
      <c r="B512" t="s">
        <v>2190</v>
      </c>
      <c r="C512" t="s">
        <v>2191</v>
      </c>
      <c r="D512" t="s">
        <v>129</v>
      </c>
      <c r="E512" t="s">
        <v>2192</v>
      </c>
      <c r="F512" t="s">
        <v>180</v>
      </c>
      <c r="G512" t="str">
        <f>HYPERLINK("https://telegram.me/anybalance_users/5651")</f>
        <v>https://telegram.me/anybalance_users/5651</v>
      </c>
      <c r="H512" t="s">
        <v>119</v>
      </c>
      <c r="I512" t="s">
        <v>2193</v>
      </c>
      <c r="J512" t="str">
        <f>HYPERLINK("https://telegram.me/336992566")</f>
        <v>https://telegram.me/336992566</v>
      </c>
      <c r="L512" t="s">
        <v>121</v>
      </c>
      <c r="N512" t="s">
        <v>143</v>
      </c>
      <c r="O512" t="s">
        <v>2194</v>
      </c>
      <c r="P512" t="str">
        <f>HYPERLINK("https://telegram.me/anybalance_users")</f>
        <v>https://telegram.me/anybalance_users</v>
      </c>
      <c r="Q512">
        <v>202</v>
      </c>
      <c r="R512" t="s">
        <v>145</v>
      </c>
      <c r="AM512" t="s">
        <v>129</v>
      </c>
      <c r="AN512" t="s">
        <v>130</v>
      </c>
      <c r="AP512" t="s">
        <v>41</v>
      </c>
      <c r="BA512" t="s">
        <v>52</v>
      </c>
      <c r="BE512" t="s">
        <v>56</v>
      </c>
    </row>
    <row r="513" spans="1:77" x14ac:dyDescent="0.2">
      <c r="A513" t="s">
        <v>1846</v>
      </c>
      <c r="B513" t="s">
        <v>675</v>
      </c>
      <c r="C513" t="s">
        <v>2195</v>
      </c>
      <c r="D513" t="s">
        <v>2196</v>
      </c>
      <c r="E513" t="s">
        <v>2197</v>
      </c>
      <c r="F513" t="s">
        <v>180</v>
      </c>
      <c r="G513" t="str">
        <f>HYPERLINK("https://www.ozon.ru/context/detail/id/256445936/#62606205")</f>
        <v>https://www.ozon.ru/context/detail/id/256445936/#62606205</v>
      </c>
      <c r="H513" t="s">
        <v>181</v>
      </c>
      <c r="I513" t="s">
        <v>2198</v>
      </c>
      <c r="J513" t="str">
        <f>HYPERLINK("https://www.ozon.ru/context/client_opinion/ClientGuid/c3c0a038-eb0c-43ee-a4cb-74098f451678/")</f>
        <v>https://www.ozon.ru/context/client_opinion/ClientGuid/c3c0a038-eb0c-43ee-a4cb-74098f451678/</v>
      </c>
      <c r="L513" t="s">
        <v>151</v>
      </c>
      <c r="N513" t="s">
        <v>183</v>
      </c>
      <c r="O513" t="s">
        <v>2196</v>
      </c>
      <c r="P513" t="str">
        <f>HYPERLINK("https://www.ozon.ru/context/detail/id/256445936/")</f>
        <v>https://www.ozon.ru/context/detail/id/256445936/</v>
      </c>
      <c r="R513" t="s">
        <v>184</v>
      </c>
      <c r="S513" t="s">
        <v>125</v>
      </c>
      <c r="W513">
        <v>0</v>
      </c>
      <c r="X513">
        <v>0</v>
      </c>
      <c r="AH513">
        <v>5</v>
      </c>
      <c r="AJ513" t="s">
        <v>2199</v>
      </c>
      <c r="AK513" t="s">
        <v>129</v>
      </c>
      <c r="AL513" t="str">
        <f>HYPERLINK("https://cdn1.ozone.ru/s3/rp-photo-4/4543a2bd-6e98-4e3b-ad11-a8cdfef8a282.jpeg")</f>
        <v>https://cdn1.ozone.ru/s3/rp-photo-4/4543a2bd-6e98-4e3b-ad11-a8cdfef8a282.jpeg</v>
      </c>
      <c r="AM513" t="s">
        <v>129</v>
      </c>
      <c r="AN513" t="s">
        <v>130</v>
      </c>
      <c r="AP513" t="s">
        <v>41</v>
      </c>
      <c r="AT513" t="s">
        <v>45</v>
      </c>
      <c r="AZ513" t="s">
        <v>51</v>
      </c>
      <c r="BA513" t="s">
        <v>52</v>
      </c>
      <c r="BL513" t="s">
        <v>63</v>
      </c>
    </row>
    <row r="514" spans="1:77" x14ac:dyDescent="0.2">
      <c r="A514" t="s">
        <v>1846</v>
      </c>
      <c r="B514" t="s">
        <v>2200</v>
      </c>
      <c r="C514" t="s">
        <v>2201</v>
      </c>
      <c r="D514" t="s">
        <v>2202</v>
      </c>
      <c r="E514" t="s">
        <v>2203</v>
      </c>
      <c r="F514" t="s">
        <v>180</v>
      </c>
      <c r="G514" t="str">
        <f>HYPERLINK("https://www.wildberries.ru/catalog/16083135/detail.aspx?targetUrl=ES#Comments")</f>
        <v>https://www.wildberries.ru/catalog/16083135/detail.aspx?targetUrl=ES#Comments</v>
      </c>
      <c r="H514" t="s">
        <v>181</v>
      </c>
      <c r="I514" t="s">
        <v>1781</v>
      </c>
      <c r="J514" t="str">
        <f>HYPERLINK("https://www.wildberries.ru/profile/w7TDssOkw7PCu8KywrjCucK3wrTCs8Kwwrk=")</f>
        <v>https://www.wildberries.ru/profile/w7TDssOkw7PCu8KywrjCucK3wrTCs8Kwwrk=</v>
      </c>
      <c r="L514" t="s">
        <v>151</v>
      </c>
      <c r="N514" t="s">
        <v>534</v>
      </c>
      <c r="O514" t="s">
        <v>2202</v>
      </c>
      <c r="P514" t="str">
        <f>HYPERLINK("https://www.wildberries.ru/catalog/11979974/detail.aspx")</f>
        <v>https://www.wildberries.ru/catalog/11979974/detail.aspx</v>
      </c>
      <c r="R514" t="s">
        <v>184</v>
      </c>
      <c r="S514" t="s">
        <v>125</v>
      </c>
      <c r="W514">
        <v>0</v>
      </c>
      <c r="X514">
        <v>0</v>
      </c>
      <c r="AH514">
        <v>5</v>
      </c>
      <c r="AM514" t="s">
        <v>129</v>
      </c>
      <c r="AN514" t="s">
        <v>130</v>
      </c>
      <c r="AP514" t="s">
        <v>41</v>
      </c>
      <c r="AZ514" t="s">
        <v>51</v>
      </c>
      <c r="BA514" t="s">
        <v>52</v>
      </c>
      <c r="BK514" t="s">
        <v>62</v>
      </c>
      <c r="BL514" t="s">
        <v>63</v>
      </c>
    </row>
    <row r="515" spans="1:77" x14ac:dyDescent="0.2">
      <c r="A515" t="s">
        <v>1846</v>
      </c>
      <c r="B515" t="s">
        <v>2204</v>
      </c>
      <c r="C515" t="s">
        <v>1921</v>
      </c>
      <c r="D515" t="s">
        <v>855</v>
      </c>
      <c r="E515" t="s">
        <v>2205</v>
      </c>
      <c r="F515" t="s">
        <v>180</v>
      </c>
      <c r="G515" t="str">
        <f>HYPERLINK("https://www.ozon.ru/context/detail/id/170215696/#62605854")</f>
        <v>https://www.ozon.ru/context/detail/id/170215696/#62605854</v>
      </c>
      <c r="H515" t="s">
        <v>181</v>
      </c>
      <c r="I515" t="s">
        <v>2206</v>
      </c>
      <c r="J515" t="str">
        <f>HYPERLINK("https://www.ozon.ru/context/client_opinion/ClientGuid/4e0e4508-e4c0-48b7-85dd-4a036ea5a767/")</f>
        <v>https://www.ozon.ru/context/client_opinion/ClientGuid/4e0e4508-e4c0-48b7-85dd-4a036ea5a767/</v>
      </c>
      <c r="N515" t="s">
        <v>183</v>
      </c>
      <c r="O515" t="s">
        <v>855</v>
      </c>
      <c r="P515" t="str">
        <f>HYPERLINK("https://www.ozon.ru/context/detail/id/170215696/")</f>
        <v>https://www.ozon.ru/context/detail/id/170215696/</v>
      </c>
      <c r="R515" t="s">
        <v>184</v>
      </c>
      <c r="S515" t="s">
        <v>125</v>
      </c>
      <c r="W515">
        <v>0</v>
      </c>
      <c r="X515">
        <v>0</v>
      </c>
      <c r="AH515">
        <v>5</v>
      </c>
      <c r="AM515" t="s">
        <v>129</v>
      </c>
      <c r="AN515" t="s">
        <v>130</v>
      </c>
      <c r="AP515" t="s">
        <v>41</v>
      </c>
      <c r="AZ515" t="s">
        <v>51</v>
      </c>
      <c r="BA515" t="s">
        <v>52</v>
      </c>
      <c r="BK515" t="s">
        <v>62</v>
      </c>
      <c r="BL515" t="s">
        <v>63</v>
      </c>
    </row>
    <row r="516" spans="1:77" x14ac:dyDescent="0.2">
      <c r="A516" t="s">
        <v>1846</v>
      </c>
      <c r="B516" t="s">
        <v>2204</v>
      </c>
      <c r="C516" t="s">
        <v>2207</v>
      </c>
      <c r="D516" t="s">
        <v>651</v>
      </c>
      <c r="E516" t="s">
        <v>2208</v>
      </c>
      <c r="F516" t="s">
        <v>180</v>
      </c>
      <c r="G516" t="str">
        <f>HYPERLINK("https://www.ozon.ru/context/detail/id/227979649/#62605724")</f>
        <v>https://www.ozon.ru/context/detail/id/227979649/#62605724</v>
      </c>
      <c r="H516" t="s">
        <v>181</v>
      </c>
      <c r="I516" t="s">
        <v>2206</v>
      </c>
      <c r="J516" t="str">
        <f>HYPERLINK("https://www.ozon.ru/context/client_opinion/ClientGuid/4e0e4508-e4c0-48b7-85dd-4a036ea5a767/")</f>
        <v>https://www.ozon.ru/context/client_opinion/ClientGuid/4e0e4508-e4c0-48b7-85dd-4a036ea5a767/</v>
      </c>
      <c r="N516" t="s">
        <v>183</v>
      </c>
      <c r="O516" t="s">
        <v>654</v>
      </c>
      <c r="P516" t="str">
        <f>HYPERLINK("https://www.ozon.ru/context/detail/id/227979649/")</f>
        <v>https://www.ozon.ru/context/detail/id/227979649/</v>
      </c>
      <c r="R516" t="s">
        <v>184</v>
      </c>
      <c r="S516" t="s">
        <v>125</v>
      </c>
      <c r="W516">
        <v>0</v>
      </c>
      <c r="X516">
        <v>0</v>
      </c>
      <c r="AH516">
        <v>5</v>
      </c>
      <c r="AM516" t="s">
        <v>129</v>
      </c>
      <c r="AN516" t="s">
        <v>130</v>
      </c>
      <c r="AP516" t="s">
        <v>41</v>
      </c>
      <c r="AT516" t="s">
        <v>45</v>
      </c>
      <c r="AZ516" t="s">
        <v>51</v>
      </c>
      <c r="BA516" t="s">
        <v>52</v>
      </c>
      <c r="BL516" t="s">
        <v>63</v>
      </c>
    </row>
    <row r="517" spans="1:77" x14ac:dyDescent="0.2">
      <c r="A517" t="s">
        <v>1846</v>
      </c>
      <c r="B517" t="s">
        <v>2209</v>
      </c>
      <c r="C517" t="s">
        <v>2210</v>
      </c>
      <c r="D517" t="s">
        <v>1829</v>
      </c>
      <c r="E517" t="s">
        <v>2211</v>
      </c>
      <c r="F517" t="s">
        <v>118</v>
      </c>
      <c r="G517" t="str">
        <f>HYPERLINK("https://vk.com/wall-27863223_292322?reply=292359&amp;thread=292338")</f>
        <v>https://vk.com/wall-27863223_292322?reply=292359&amp;thread=292338</v>
      </c>
      <c r="H517" t="s">
        <v>119</v>
      </c>
      <c r="I517" t="s">
        <v>2212</v>
      </c>
      <c r="J517" t="str">
        <f>HYPERLINK("http://vk.com/id140937333")</f>
        <v>http://vk.com/id140937333</v>
      </c>
      <c r="K517">
        <v>15</v>
      </c>
      <c r="L517" t="s">
        <v>121</v>
      </c>
      <c r="N517" t="s">
        <v>122</v>
      </c>
      <c r="O517" t="s">
        <v>175</v>
      </c>
      <c r="P517" t="str">
        <f>HYPERLINK("http://vk.com/club27863223")</f>
        <v>http://vk.com/club27863223</v>
      </c>
      <c r="Q517">
        <v>134698</v>
      </c>
      <c r="R517" t="s">
        <v>124</v>
      </c>
      <c r="S517" t="s">
        <v>125</v>
      </c>
      <c r="AM517" t="s">
        <v>129</v>
      </c>
      <c r="AN517" t="s">
        <v>130</v>
      </c>
      <c r="AP517" t="s">
        <v>41</v>
      </c>
      <c r="AU517" t="s">
        <v>46</v>
      </c>
      <c r="AZ517" t="s">
        <v>51</v>
      </c>
      <c r="BA517" t="s">
        <v>52</v>
      </c>
    </row>
    <row r="518" spans="1:77" x14ac:dyDescent="0.2">
      <c r="A518" t="s">
        <v>1846</v>
      </c>
      <c r="B518" t="s">
        <v>2213</v>
      </c>
      <c r="C518" t="s">
        <v>2214</v>
      </c>
      <c r="D518" t="s">
        <v>2215</v>
      </c>
      <c r="E518" t="s">
        <v>2216</v>
      </c>
      <c r="F518" t="s">
        <v>118</v>
      </c>
      <c r="G518" t="str">
        <f>HYPERLINK("https://vk.com/wall-27863223_292151?reply=292356&amp;thread=292165")</f>
        <v>https://vk.com/wall-27863223_292151?reply=292356&amp;thread=292165</v>
      </c>
      <c r="H518" t="s">
        <v>119</v>
      </c>
      <c r="I518" t="s">
        <v>2212</v>
      </c>
      <c r="J518" t="str">
        <f>HYPERLINK("http://vk.com/id140937333")</f>
        <v>http://vk.com/id140937333</v>
      </c>
      <c r="K518">
        <v>15</v>
      </c>
      <c r="L518" t="s">
        <v>121</v>
      </c>
      <c r="N518" t="s">
        <v>122</v>
      </c>
      <c r="O518" t="s">
        <v>175</v>
      </c>
      <c r="P518" t="str">
        <f>HYPERLINK("http://vk.com/club27863223")</f>
        <v>http://vk.com/club27863223</v>
      </c>
      <c r="Q518">
        <v>134698</v>
      </c>
      <c r="R518" t="s">
        <v>124</v>
      </c>
      <c r="S518" t="s">
        <v>125</v>
      </c>
      <c r="AM518" t="s">
        <v>129</v>
      </c>
      <c r="AN518" t="s">
        <v>130</v>
      </c>
      <c r="AP518" t="s">
        <v>41</v>
      </c>
      <c r="AU518" t="s">
        <v>46</v>
      </c>
      <c r="AZ518" t="s">
        <v>51</v>
      </c>
      <c r="BA518" t="s">
        <v>52</v>
      </c>
    </row>
    <row r="519" spans="1:77" x14ac:dyDescent="0.2">
      <c r="A519" t="s">
        <v>1846</v>
      </c>
      <c r="B519" t="s">
        <v>2217</v>
      </c>
      <c r="C519" t="s">
        <v>2218</v>
      </c>
      <c r="D519" t="s">
        <v>1074</v>
      </c>
      <c r="E519" t="s">
        <v>2219</v>
      </c>
      <c r="F519" t="s">
        <v>118</v>
      </c>
      <c r="G519" t="str">
        <f>HYPERLINK("https://vk.com/wall-80149142_348548?reply=348824&amp;thread=348564")</f>
        <v>https://vk.com/wall-80149142_348548?reply=348824&amp;thread=348564</v>
      </c>
      <c r="H519" t="s">
        <v>181</v>
      </c>
      <c r="I519" t="s">
        <v>2220</v>
      </c>
      <c r="J519" t="str">
        <f>HYPERLINK("http://vk.com/id309056466")</f>
        <v>http://vk.com/id309056466</v>
      </c>
      <c r="K519">
        <v>303</v>
      </c>
      <c r="L519" t="s">
        <v>121</v>
      </c>
      <c r="N519" t="s">
        <v>122</v>
      </c>
      <c r="O519" t="s">
        <v>1076</v>
      </c>
      <c r="P519" t="str">
        <f>HYPERLINK("http://vk.com/club80149142")</f>
        <v>http://vk.com/club80149142</v>
      </c>
      <c r="Q519">
        <v>59466</v>
      </c>
      <c r="R519" t="s">
        <v>124</v>
      </c>
      <c r="S519" t="s">
        <v>125</v>
      </c>
      <c r="T519" t="s">
        <v>667</v>
      </c>
      <c r="U519" t="s">
        <v>668</v>
      </c>
      <c r="AM519" t="s">
        <v>129</v>
      </c>
      <c r="AN519" t="s">
        <v>130</v>
      </c>
      <c r="AP519" t="s">
        <v>41</v>
      </c>
      <c r="AU519" t="s">
        <v>46</v>
      </c>
      <c r="AY519" t="s">
        <v>50</v>
      </c>
      <c r="AZ519" t="s">
        <v>51</v>
      </c>
      <c r="BA519" t="s">
        <v>52</v>
      </c>
    </row>
    <row r="520" spans="1:77" x14ac:dyDescent="0.2">
      <c r="A520" t="s">
        <v>1846</v>
      </c>
      <c r="B520" t="s">
        <v>2221</v>
      </c>
      <c r="C520" t="s">
        <v>2222</v>
      </c>
      <c r="D520" t="s">
        <v>1377</v>
      </c>
      <c r="E520" t="s">
        <v>2223</v>
      </c>
      <c r="F520" t="s">
        <v>118</v>
      </c>
      <c r="G520" t="str">
        <f>HYPERLINK("https://vk.com/wall-22935147_368668?reply=368681")</f>
        <v>https://vk.com/wall-22935147_368668?reply=368681</v>
      </c>
      <c r="H520" t="s">
        <v>119</v>
      </c>
      <c r="I520" t="s">
        <v>2224</v>
      </c>
      <c r="J520" t="str">
        <f>HYPERLINK("http://vk.com/id138301423")</f>
        <v>http://vk.com/id138301423</v>
      </c>
      <c r="K520">
        <v>236</v>
      </c>
      <c r="L520" t="s">
        <v>121</v>
      </c>
      <c r="M520">
        <v>44</v>
      </c>
      <c r="N520" t="s">
        <v>122</v>
      </c>
      <c r="O520" t="s">
        <v>1093</v>
      </c>
      <c r="P520" t="str">
        <f>HYPERLINK("http://vk.com/club22935147")</f>
        <v>http://vk.com/club22935147</v>
      </c>
      <c r="Q520">
        <v>8943</v>
      </c>
      <c r="R520" t="s">
        <v>124</v>
      </c>
      <c r="S520" t="s">
        <v>125</v>
      </c>
      <c r="T520" t="s">
        <v>2225</v>
      </c>
      <c r="U520" t="s">
        <v>2226</v>
      </c>
      <c r="AM520" t="s">
        <v>129</v>
      </c>
      <c r="AN520" t="s">
        <v>130</v>
      </c>
      <c r="AP520" t="s">
        <v>41</v>
      </c>
      <c r="AU520" t="s">
        <v>46</v>
      </c>
      <c r="AY520" t="s">
        <v>50</v>
      </c>
      <c r="AZ520" t="s">
        <v>51</v>
      </c>
      <c r="BA520" t="s">
        <v>52</v>
      </c>
    </row>
    <row r="521" spans="1:77" x14ac:dyDescent="0.2">
      <c r="A521" t="s">
        <v>1846</v>
      </c>
      <c r="B521" t="s">
        <v>2227</v>
      </c>
      <c r="C521" t="s">
        <v>2228</v>
      </c>
      <c r="D521" t="s">
        <v>204</v>
      </c>
      <c r="E521" t="s">
        <v>2229</v>
      </c>
      <c r="F521" t="s">
        <v>180</v>
      </c>
      <c r="G521" t="str">
        <f>HYPERLINK("https://play.google.com/store/apps/details?id=ru.iflex.android.a3colortv&amp;reviewId=gp:AOqpTOH4CBnqCgIyCq4T3xZ8EM2G7SqgdOhNHTBrR5i-GHp_CmwsyRxyZQxVhtT-7ZtCOn6WHBvstnPpaMw2vg")</f>
        <v>https://play.google.com/store/apps/details?id=ru.iflex.android.a3colortv&amp;reviewId=gp:AOqpTOH4CBnqCgIyCq4T3xZ8EM2G7SqgdOhNHTBrR5i-GHp_CmwsyRxyZQxVhtT-7ZtCOn6WHBvstnPpaMw2vg</v>
      </c>
      <c r="H521" t="s">
        <v>181</v>
      </c>
      <c r="I521" t="s">
        <v>2230</v>
      </c>
      <c r="J521" t="str">
        <f>HYPERLINK("https://plus.google.com/105160584857861962750")</f>
        <v>https://plus.google.com/105160584857861962750</v>
      </c>
      <c r="L521" t="s">
        <v>121</v>
      </c>
      <c r="N521" t="s">
        <v>207</v>
      </c>
      <c r="O521" t="s">
        <v>204</v>
      </c>
      <c r="P521" t="str">
        <f>HYPERLINK("https://play.google.com/store/apps/details?id=ru.iflex.android.a3colortv&amp;hl=ru")</f>
        <v>https://play.google.com/store/apps/details?id=ru.iflex.android.a3colortv&amp;hl=ru</v>
      </c>
      <c r="R521" t="s">
        <v>184</v>
      </c>
      <c r="S521" t="s">
        <v>125</v>
      </c>
      <c r="W521">
        <v>0</v>
      </c>
      <c r="X521">
        <v>0</v>
      </c>
      <c r="AH521">
        <v>5</v>
      </c>
      <c r="AM521" t="s">
        <v>129</v>
      </c>
      <c r="AN521" t="s">
        <v>130</v>
      </c>
      <c r="AP521" t="s">
        <v>41</v>
      </c>
      <c r="AZ521" t="s">
        <v>51</v>
      </c>
      <c r="BA521" t="s">
        <v>52</v>
      </c>
      <c r="BQ521" t="s">
        <v>68</v>
      </c>
    </row>
    <row r="522" spans="1:77" x14ac:dyDescent="0.2">
      <c r="A522" t="s">
        <v>1846</v>
      </c>
      <c r="B522" t="s">
        <v>2231</v>
      </c>
      <c r="C522" t="s">
        <v>2232</v>
      </c>
      <c r="D522" t="s">
        <v>955</v>
      </c>
      <c r="E522" t="s">
        <v>2233</v>
      </c>
      <c r="F522" t="s">
        <v>180</v>
      </c>
      <c r="G522" t="str">
        <f>HYPERLINK("https://www.wildberries.ru/catalog/16559824/detail.aspx?targetUrl=ES#Comments")</f>
        <v>https://www.wildberries.ru/catalog/16559824/detail.aspx?targetUrl=ES#Comments</v>
      </c>
      <c r="H522" t="s">
        <v>181</v>
      </c>
      <c r="I522" t="s">
        <v>2234</v>
      </c>
      <c r="J522" t="str">
        <f>HYPERLINK("https://www.wildberries.ru/profile/w7TDssOkw7PCu8K1wrbCssK2wrjCtcK5wrM=")</f>
        <v>https://www.wildberries.ru/profile/w7TDssOkw7PCu8K1wrbCssK2wrjCtcK5wrM=</v>
      </c>
      <c r="N522" t="s">
        <v>534</v>
      </c>
      <c r="O522" t="s">
        <v>955</v>
      </c>
      <c r="P522" t="str">
        <f>HYPERLINK("https://www.wildberries.ru/catalog/12339622/detail.aspx")</f>
        <v>https://www.wildberries.ru/catalog/12339622/detail.aspx</v>
      </c>
      <c r="R522" t="s">
        <v>184</v>
      </c>
      <c r="S522" t="s">
        <v>125</v>
      </c>
      <c r="W522">
        <v>0</v>
      </c>
      <c r="X522">
        <v>0</v>
      </c>
      <c r="AH522">
        <v>5</v>
      </c>
      <c r="AM522" t="s">
        <v>129</v>
      </c>
      <c r="AN522" t="s">
        <v>130</v>
      </c>
      <c r="AP522" t="s">
        <v>41</v>
      </c>
      <c r="AT522" t="s">
        <v>45</v>
      </c>
      <c r="AZ522" t="s">
        <v>51</v>
      </c>
      <c r="BA522" t="s">
        <v>52</v>
      </c>
    </row>
    <row r="523" spans="1:77" x14ac:dyDescent="0.2">
      <c r="A523" t="s">
        <v>1846</v>
      </c>
      <c r="B523" t="s">
        <v>2235</v>
      </c>
      <c r="C523" t="s">
        <v>2236</v>
      </c>
      <c r="D523" t="s">
        <v>1829</v>
      </c>
      <c r="E523" t="s">
        <v>2237</v>
      </c>
      <c r="F523" t="s">
        <v>118</v>
      </c>
      <c r="G523" t="str">
        <f>HYPERLINK("https://vk.com/wall-27863223_292322?w=wall-27863223_292322_r292353")</f>
        <v>https://vk.com/wall-27863223_292322?w=wall-27863223_292322_r292353</v>
      </c>
      <c r="H523" t="s">
        <v>119</v>
      </c>
      <c r="I523" t="s">
        <v>2238</v>
      </c>
      <c r="J523" t="str">
        <f>HYPERLINK("http://vk.com/id57669712")</f>
        <v>http://vk.com/id57669712</v>
      </c>
      <c r="K523">
        <v>115</v>
      </c>
      <c r="L523" t="s">
        <v>121</v>
      </c>
      <c r="N523" t="s">
        <v>122</v>
      </c>
      <c r="O523" t="s">
        <v>175</v>
      </c>
      <c r="P523" t="str">
        <f>HYPERLINK("http://vk.com/club27863223")</f>
        <v>http://vk.com/club27863223</v>
      </c>
      <c r="Q523">
        <v>134698</v>
      </c>
      <c r="R523" t="s">
        <v>124</v>
      </c>
      <c r="S523" t="s">
        <v>125</v>
      </c>
      <c r="T523" t="s">
        <v>2239</v>
      </c>
      <c r="U523" t="s">
        <v>2240</v>
      </c>
      <c r="W523">
        <v>0</v>
      </c>
      <c r="X523">
        <v>0</v>
      </c>
      <c r="AM523" t="s">
        <v>129</v>
      </c>
      <c r="AN523" t="s">
        <v>130</v>
      </c>
      <c r="AP523" t="s">
        <v>41</v>
      </c>
      <c r="AU523" t="s">
        <v>46</v>
      </c>
      <c r="AZ523" t="s">
        <v>51</v>
      </c>
      <c r="BA523" t="s">
        <v>52</v>
      </c>
    </row>
    <row r="524" spans="1:77" x14ac:dyDescent="0.2">
      <c r="A524" t="s">
        <v>1846</v>
      </c>
      <c r="B524" t="s">
        <v>2241</v>
      </c>
      <c r="C524" t="s">
        <v>2236</v>
      </c>
      <c r="D524" t="s">
        <v>1829</v>
      </c>
      <c r="E524" t="s">
        <v>2242</v>
      </c>
      <c r="F524" t="s">
        <v>118</v>
      </c>
      <c r="G524" t="str">
        <f>HYPERLINK("https://vk.com/wall-27863223_292322?reply=292351")</f>
        <v>https://vk.com/wall-27863223_292322?reply=292351</v>
      </c>
      <c r="H524" t="s">
        <v>119</v>
      </c>
      <c r="I524" t="s">
        <v>2238</v>
      </c>
      <c r="J524" t="str">
        <f>HYPERLINK("http://vk.com/id57669712")</f>
        <v>http://vk.com/id57669712</v>
      </c>
      <c r="K524">
        <v>115</v>
      </c>
      <c r="L524" t="s">
        <v>121</v>
      </c>
      <c r="N524" t="s">
        <v>122</v>
      </c>
      <c r="O524" t="s">
        <v>175</v>
      </c>
      <c r="P524" t="str">
        <f>HYPERLINK("http://vk.com/club27863223")</f>
        <v>http://vk.com/club27863223</v>
      </c>
      <c r="Q524">
        <v>134698</v>
      </c>
      <c r="R524" t="s">
        <v>124</v>
      </c>
      <c r="S524" t="s">
        <v>125</v>
      </c>
      <c r="T524" t="s">
        <v>2239</v>
      </c>
      <c r="U524" t="s">
        <v>2240</v>
      </c>
      <c r="W524">
        <v>0</v>
      </c>
      <c r="X524">
        <v>0</v>
      </c>
      <c r="AM524" t="s">
        <v>129</v>
      </c>
      <c r="AN524" t="s">
        <v>130</v>
      </c>
      <c r="AP524" t="s">
        <v>41</v>
      </c>
      <c r="AU524" t="s">
        <v>46</v>
      </c>
      <c r="AZ524" t="s">
        <v>51</v>
      </c>
      <c r="BA524" t="s">
        <v>52</v>
      </c>
    </row>
    <row r="525" spans="1:77" x14ac:dyDescent="0.2">
      <c r="A525" t="s">
        <v>1846</v>
      </c>
      <c r="B525" t="s">
        <v>2243</v>
      </c>
      <c r="C525" t="s">
        <v>2244</v>
      </c>
      <c r="D525" t="s">
        <v>2245</v>
      </c>
      <c r="E525" t="s">
        <v>2246</v>
      </c>
      <c r="F525" t="s">
        <v>180</v>
      </c>
      <c r="G525" t="str">
        <f>HYPERLINK("https://play.google.com/store/apps/details?id=ru.sberbankmobile&amp;reviewId=gp:AOqpTOHEVG0NW0QpTOXDpHcxo5DoKm1Yw9HdKCdnMb3VS7gF-xO-LGzAAGT7t8EInm-6sXeK0LdIkpu8GjfYmg")</f>
        <v>https://play.google.com/store/apps/details?id=ru.sberbankmobile&amp;reviewId=gp:AOqpTOHEVG0NW0QpTOXDpHcxo5DoKm1Yw9HdKCdnMb3VS7gF-xO-LGzAAGT7t8EInm-6sXeK0LdIkpu8GjfYmg</v>
      </c>
      <c r="H525" t="s">
        <v>228</v>
      </c>
      <c r="I525" t="s">
        <v>2247</v>
      </c>
      <c r="J525" t="str">
        <f>HYPERLINK("https://plus.google.com/104784582298005038916")</f>
        <v>https://plus.google.com/104784582298005038916</v>
      </c>
      <c r="L525" t="s">
        <v>121</v>
      </c>
      <c r="N525" t="s">
        <v>207</v>
      </c>
      <c r="O525" t="s">
        <v>2245</v>
      </c>
      <c r="P525" t="str">
        <f>HYPERLINK("https://play.google.com/store/apps/details?id=ru.sberbankmobile&amp;hl=ru")</f>
        <v>https://play.google.com/store/apps/details?id=ru.sberbankmobile&amp;hl=ru</v>
      </c>
      <c r="R525" t="s">
        <v>184</v>
      </c>
      <c r="S525" t="s">
        <v>125</v>
      </c>
      <c r="W525">
        <v>0</v>
      </c>
      <c r="X525">
        <v>0</v>
      </c>
      <c r="AH525">
        <v>3</v>
      </c>
      <c r="AM525" t="s">
        <v>129</v>
      </c>
      <c r="AN525" t="s">
        <v>130</v>
      </c>
      <c r="AP525" t="s">
        <v>41</v>
      </c>
      <c r="AU525" t="s">
        <v>46</v>
      </c>
      <c r="AY525" t="s">
        <v>50</v>
      </c>
      <c r="AZ525" t="s">
        <v>51</v>
      </c>
      <c r="BA525" t="s">
        <v>52</v>
      </c>
      <c r="BQ525" t="s">
        <v>68</v>
      </c>
    </row>
    <row r="526" spans="1:77" x14ac:dyDescent="0.2">
      <c r="A526" t="s">
        <v>1846</v>
      </c>
      <c r="B526" t="s">
        <v>2248</v>
      </c>
      <c r="C526" t="s">
        <v>2249</v>
      </c>
      <c r="D526" t="s">
        <v>731</v>
      </c>
      <c r="E526" t="s">
        <v>2250</v>
      </c>
      <c r="F526" t="s">
        <v>118</v>
      </c>
      <c r="G526" t="str">
        <f>HYPERLINK("https://vk.com/wall-61101621_254853?reply=254864")</f>
        <v>https://vk.com/wall-61101621_254853?reply=254864</v>
      </c>
      <c r="H526" t="s">
        <v>119</v>
      </c>
      <c r="I526" t="s">
        <v>2251</v>
      </c>
      <c r="J526" t="str">
        <f>HYPERLINK("http://vk.com/id170066130")</f>
        <v>http://vk.com/id170066130</v>
      </c>
      <c r="K526">
        <v>166</v>
      </c>
      <c r="N526" t="s">
        <v>122</v>
      </c>
      <c r="O526" t="s">
        <v>160</v>
      </c>
      <c r="P526" t="str">
        <f>HYPERLINK("http://vk.com/club61101621")</f>
        <v>http://vk.com/club61101621</v>
      </c>
      <c r="Q526">
        <v>21119</v>
      </c>
      <c r="R526" t="s">
        <v>124</v>
      </c>
      <c r="S526" t="s">
        <v>125</v>
      </c>
      <c r="W526">
        <v>0</v>
      </c>
      <c r="X526">
        <v>0</v>
      </c>
      <c r="AM526" t="s">
        <v>129</v>
      </c>
      <c r="AN526" t="s">
        <v>130</v>
      </c>
      <c r="AP526" t="s">
        <v>41</v>
      </c>
      <c r="AZ526" t="s">
        <v>51</v>
      </c>
      <c r="BA526" t="s">
        <v>52</v>
      </c>
      <c r="BL526" t="s">
        <v>63</v>
      </c>
    </row>
    <row r="527" spans="1:77" x14ac:dyDescent="0.2">
      <c r="A527" t="s">
        <v>1846</v>
      </c>
      <c r="B527" t="s">
        <v>2252</v>
      </c>
      <c r="C527" t="s">
        <v>2253</v>
      </c>
      <c r="D527" t="s">
        <v>2254</v>
      </c>
      <c r="E527" t="s">
        <v>2255</v>
      </c>
      <c r="F527" t="s">
        <v>180</v>
      </c>
      <c r="G527" t="str">
        <f>HYPERLINK("https://otvet.mail.ru/answer/1994584688/cid-331581844/")</f>
        <v>https://otvet.mail.ru/answer/1994584688/cid-331581844/</v>
      </c>
      <c r="H527" t="s">
        <v>119</v>
      </c>
      <c r="I527" t="s">
        <v>2256</v>
      </c>
      <c r="J527" t="str">
        <f>HYPERLINK("http://otvet.mail.ru/profile/id89470189")</f>
        <v>http://otvet.mail.ru/profile/id89470189</v>
      </c>
      <c r="L527" t="s">
        <v>121</v>
      </c>
      <c r="N527" t="s">
        <v>690</v>
      </c>
      <c r="O527" t="s">
        <v>2257</v>
      </c>
      <c r="P527" t="str">
        <f>HYPERLINK("https://otvet.mail.ru/politics/")</f>
        <v>https://otvet.mail.ru/politics/</v>
      </c>
      <c r="R527" t="s">
        <v>295</v>
      </c>
      <c r="S527" t="s">
        <v>125</v>
      </c>
      <c r="AM527" t="s">
        <v>129</v>
      </c>
      <c r="AN527" t="s">
        <v>130</v>
      </c>
      <c r="AP527" t="s">
        <v>41</v>
      </c>
      <c r="AU527" t="s">
        <v>46</v>
      </c>
      <c r="AZ527" t="s">
        <v>51</v>
      </c>
      <c r="BB527" t="s">
        <v>53</v>
      </c>
      <c r="BM527" t="s">
        <v>64</v>
      </c>
    </row>
    <row r="528" spans="1:77" x14ac:dyDescent="0.2">
      <c r="A528" t="s">
        <v>1846</v>
      </c>
      <c r="B528" t="s">
        <v>2258</v>
      </c>
      <c r="C528" t="s">
        <v>2259</v>
      </c>
      <c r="D528" t="s">
        <v>129</v>
      </c>
      <c r="E528" t="s">
        <v>2260</v>
      </c>
      <c r="F528" t="s">
        <v>118</v>
      </c>
      <c r="G528" t="str">
        <f>HYPERLINK("https://www.facebook.com/groups/NeStrelyaj/permalink/954171108460989/?comment_id=954509255093841")</f>
        <v>https://www.facebook.com/groups/NeStrelyaj/permalink/954171108460989/?comment_id=954509255093841</v>
      </c>
      <c r="H528" t="s">
        <v>119</v>
      </c>
      <c r="I528" t="s">
        <v>695</v>
      </c>
      <c r="J528" t="str">
        <f>HYPERLINK("https://www.facebook.com/100002360413124")</f>
        <v>https://www.facebook.com/100002360413124</v>
      </c>
      <c r="K528">
        <v>5211</v>
      </c>
      <c r="L528" t="s">
        <v>121</v>
      </c>
      <c r="N528" t="s">
        <v>305</v>
      </c>
      <c r="O528" t="s">
        <v>696</v>
      </c>
      <c r="P528" t="str">
        <f>HYPERLINK("https://www.facebook.com/461171627760942")</f>
        <v>https://www.facebook.com/461171627760942</v>
      </c>
      <c r="Q528">
        <v>10929</v>
      </c>
      <c r="R528" t="s">
        <v>124</v>
      </c>
      <c r="S528" t="s">
        <v>125</v>
      </c>
      <c r="T528" t="s">
        <v>372</v>
      </c>
      <c r="U528" t="s">
        <v>373</v>
      </c>
      <c r="W528">
        <v>0</v>
      </c>
      <c r="X528">
        <v>0</v>
      </c>
      <c r="AE528">
        <v>0</v>
      </c>
      <c r="AM528" t="s">
        <v>129</v>
      </c>
      <c r="AN528" t="s">
        <v>130</v>
      </c>
      <c r="AP528" t="s">
        <v>41</v>
      </c>
      <c r="AU528" t="s">
        <v>46</v>
      </c>
      <c r="AZ528" t="s">
        <v>51</v>
      </c>
      <c r="BA528" t="s">
        <v>52</v>
      </c>
      <c r="BY528" t="s">
        <v>76</v>
      </c>
    </row>
    <row r="529" spans="1:64" x14ac:dyDescent="0.2">
      <c r="A529" t="s">
        <v>1846</v>
      </c>
      <c r="B529" t="s">
        <v>2261</v>
      </c>
      <c r="C529" t="s">
        <v>2262</v>
      </c>
      <c r="D529" t="s">
        <v>1031</v>
      </c>
      <c r="E529" t="s">
        <v>2263</v>
      </c>
      <c r="F529" t="s">
        <v>118</v>
      </c>
      <c r="G529" t="str">
        <f>HYPERLINK("https://vk.com/wall-27863223_292230?reply=292350")</f>
        <v>https://vk.com/wall-27863223_292230?reply=292350</v>
      </c>
      <c r="H529" t="s">
        <v>119</v>
      </c>
      <c r="I529" t="s">
        <v>745</v>
      </c>
      <c r="J529" t="str">
        <f>HYPERLINK("http://vk.com/id254497597")</f>
        <v>http://vk.com/id254497597</v>
      </c>
      <c r="L529" t="s">
        <v>151</v>
      </c>
      <c r="N529" t="s">
        <v>122</v>
      </c>
      <c r="O529" t="s">
        <v>175</v>
      </c>
      <c r="P529" t="str">
        <f>HYPERLINK("http://vk.com/club27863223")</f>
        <v>http://vk.com/club27863223</v>
      </c>
      <c r="Q529">
        <v>134698</v>
      </c>
      <c r="R529" t="s">
        <v>124</v>
      </c>
      <c r="W529">
        <v>0</v>
      </c>
      <c r="X529">
        <v>0</v>
      </c>
      <c r="AM529" t="s">
        <v>129</v>
      </c>
      <c r="AN529" t="s">
        <v>130</v>
      </c>
      <c r="AO529" t="s">
        <v>40</v>
      </c>
      <c r="AP529" t="s">
        <v>41</v>
      </c>
      <c r="AZ529" t="s">
        <v>51</v>
      </c>
      <c r="BA529" t="s">
        <v>52</v>
      </c>
    </row>
    <row r="530" spans="1:64" x14ac:dyDescent="0.2">
      <c r="A530" t="s">
        <v>1846</v>
      </c>
      <c r="B530" t="s">
        <v>2264</v>
      </c>
      <c r="C530" t="s">
        <v>2262</v>
      </c>
      <c r="D530" t="s">
        <v>1031</v>
      </c>
      <c r="E530" t="s">
        <v>2265</v>
      </c>
      <c r="F530" t="s">
        <v>118</v>
      </c>
      <c r="G530" t="str">
        <f>HYPERLINK("https://vk.com/wall-27863223_292230?reply=292349")</f>
        <v>https://vk.com/wall-27863223_292230?reply=292349</v>
      </c>
      <c r="H530" t="s">
        <v>119</v>
      </c>
      <c r="I530" t="s">
        <v>272</v>
      </c>
      <c r="J530" t="str">
        <f>HYPERLINK("http://vk.com/id121820961")</f>
        <v>http://vk.com/id121820961</v>
      </c>
      <c r="K530">
        <v>78</v>
      </c>
      <c r="L530" t="s">
        <v>121</v>
      </c>
      <c r="M530">
        <v>29</v>
      </c>
      <c r="N530" t="s">
        <v>122</v>
      </c>
      <c r="O530" t="s">
        <v>175</v>
      </c>
      <c r="P530" t="str">
        <f>HYPERLINK("http://vk.com/club27863223")</f>
        <v>http://vk.com/club27863223</v>
      </c>
      <c r="Q530">
        <v>134698</v>
      </c>
      <c r="R530" t="s">
        <v>124</v>
      </c>
      <c r="S530" t="s">
        <v>125</v>
      </c>
      <c r="T530" t="s">
        <v>273</v>
      </c>
      <c r="U530" t="s">
        <v>274</v>
      </c>
      <c r="W530">
        <v>0</v>
      </c>
      <c r="X530">
        <v>0</v>
      </c>
      <c r="AM530" t="s">
        <v>129</v>
      </c>
      <c r="AN530" t="s">
        <v>130</v>
      </c>
      <c r="AO530" t="s">
        <v>40</v>
      </c>
      <c r="AP530" t="s">
        <v>41</v>
      </c>
      <c r="AZ530" t="s">
        <v>51</v>
      </c>
      <c r="BA530" t="s">
        <v>52</v>
      </c>
    </row>
    <row r="531" spans="1:64" x14ac:dyDescent="0.2">
      <c r="A531" t="s">
        <v>1846</v>
      </c>
      <c r="B531" t="s">
        <v>2266</v>
      </c>
      <c r="C531" t="s">
        <v>2267</v>
      </c>
      <c r="D531" t="s">
        <v>2040</v>
      </c>
      <c r="E531" t="s">
        <v>2268</v>
      </c>
      <c r="F531" t="s">
        <v>118</v>
      </c>
      <c r="G531" t="str">
        <f>HYPERLINK("https://vk.com/wall-124454000_768761?reply=768951")</f>
        <v>https://vk.com/wall-124454000_768761?reply=768951</v>
      </c>
      <c r="H531" t="s">
        <v>228</v>
      </c>
      <c r="I531" t="s">
        <v>2269</v>
      </c>
      <c r="J531" t="str">
        <f>HYPERLINK("http://vk.com/id102054988")</f>
        <v>http://vk.com/id102054988</v>
      </c>
      <c r="K531">
        <v>278</v>
      </c>
      <c r="L531" t="s">
        <v>121</v>
      </c>
      <c r="M531">
        <v>31</v>
      </c>
      <c r="N531" t="s">
        <v>122</v>
      </c>
      <c r="O531" t="s">
        <v>2042</v>
      </c>
      <c r="P531" t="str">
        <f>HYPERLINK("http://vk.com/club124454000")</f>
        <v>http://vk.com/club124454000</v>
      </c>
      <c r="Q531">
        <v>26581</v>
      </c>
      <c r="R531" t="s">
        <v>124</v>
      </c>
      <c r="S531" t="s">
        <v>125</v>
      </c>
      <c r="AM531" t="s">
        <v>129</v>
      </c>
      <c r="AN531" t="s">
        <v>130</v>
      </c>
      <c r="AP531" t="s">
        <v>41</v>
      </c>
      <c r="AY531" t="s">
        <v>50</v>
      </c>
      <c r="AZ531" t="s">
        <v>51</v>
      </c>
      <c r="BA531" t="s">
        <v>52</v>
      </c>
    </row>
    <row r="532" spans="1:64" x14ac:dyDescent="0.2">
      <c r="A532" t="s">
        <v>1846</v>
      </c>
      <c r="B532" t="s">
        <v>2270</v>
      </c>
      <c r="C532" t="s">
        <v>2271</v>
      </c>
      <c r="D532" t="s">
        <v>567</v>
      </c>
      <c r="E532" t="s">
        <v>2272</v>
      </c>
      <c r="F532" t="s">
        <v>118</v>
      </c>
      <c r="G532" t="str">
        <f>HYPERLINK("https://vk.com/topic-27863223_35936941?post=116008")</f>
        <v>https://vk.com/topic-27863223_35936941?post=116008</v>
      </c>
      <c r="H532" t="s">
        <v>119</v>
      </c>
      <c r="I532" t="s">
        <v>2273</v>
      </c>
      <c r="J532" t="str">
        <f>HYPERLINK("http://vk.com/id543559744")</f>
        <v>http://vk.com/id543559744</v>
      </c>
      <c r="L532" t="s">
        <v>121</v>
      </c>
      <c r="N532" t="s">
        <v>122</v>
      </c>
      <c r="O532" t="s">
        <v>175</v>
      </c>
      <c r="P532" t="str">
        <f>HYPERLINK("http://vk.com/club27863223")</f>
        <v>http://vk.com/club27863223</v>
      </c>
      <c r="Q532">
        <v>134698</v>
      </c>
      <c r="R532" t="s">
        <v>124</v>
      </c>
      <c r="S532" t="s">
        <v>125</v>
      </c>
      <c r="T532" t="s">
        <v>1103</v>
      </c>
      <c r="U532" t="s">
        <v>1104</v>
      </c>
      <c r="AM532" t="s">
        <v>129</v>
      </c>
      <c r="AN532" t="s">
        <v>130</v>
      </c>
      <c r="AP532" t="s">
        <v>41</v>
      </c>
      <c r="AZ532" t="s">
        <v>51</v>
      </c>
      <c r="BA532" t="s">
        <v>52</v>
      </c>
      <c r="BL532" t="s">
        <v>63</v>
      </c>
    </row>
    <row r="533" spans="1:64" x14ac:dyDescent="0.2">
      <c r="A533" t="s">
        <v>2274</v>
      </c>
      <c r="B533" t="s">
        <v>2275</v>
      </c>
      <c r="C533" t="s">
        <v>2276</v>
      </c>
      <c r="D533" t="s">
        <v>2277</v>
      </c>
      <c r="E533" t="s">
        <v>2278</v>
      </c>
      <c r="F533" t="s">
        <v>118</v>
      </c>
      <c r="G533" t="str">
        <f>HYPERLINK("https://vk.com/wall-61101621_254781?w=wall-61101621_254781_r254863")</f>
        <v>https://vk.com/wall-61101621_254781?w=wall-61101621_254781_r254863</v>
      </c>
      <c r="H533" t="s">
        <v>119</v>
      </c>
      <c r="I533" t="s">
        <v>2279</v>
      </c>
      <c r="J533" t="str">
        <f>HYPERLINK("http://vk.com/id445160085")</f>
        <v>http://vk.com/id445160085</v>
      </c>
      <c r="K533">
        <v>115</v>
      </c>
      <c r="L533" t="s">
        <v>121</v>
      </c>
      <c r="M533">
        <v>23</v>
      </c>
      <c r="N533" t="s">
        <v>122</v>
      </c>
      <c r="O533" t="s">
        <v>160</v>
      </c>
      <c r="P533" t="str">
        <f>HYPERLINK("http://vk.com/club61101621")</f>
        <v>http://vk.com/club61101621</v>
      </c>
      <c r="Q533">
        <v>21119</v>
      </c>
      <c r="R533" t="s">
        <v>124</v>
      </c>
      <c r="S533" t="s">
        <v>125</v>
      </c>
      <c r="T533" t="s">
        <v>494</v>
      </c>
      <c r="U533" t="s">
        <v>2280</v>
      </c>
      <c r="W533">
        <v>0</v>
      </c>
      <c r="X533">
        <v>0</v>
      </c>
      <c r="AM533" t="s">
        <v>129</v>
      </c>
      <c r="AN533" t="s">
        <v>130</v>
      </c>
      <c r="AP533" t="s">
        <v>41</v>
      </c>
      <c r="AY533" t="s">
        <v>50</v>
      </c>
      <c r="AZ533" t="s">
        <v>51</v>
      </c>
      <c r="BA533" t="s">
        <v>52</v>
      </c>
    </row>
    <row r="534" spans="1:64" x14ac:dyDescent="0.2">
      <c r="A534" t="s">
        <v>2274</v>
      </c>
      <c r="B534" t="s">
        <v>1847</v>
      </c>
      <c r="C534" t="s">
        <v>2281</v>
      </c>
      <c r="D534" t="s">
        <v>567</v>
      </c>
      <c r="E534" t="s">
        <v>2282</v>
      </c>
      <c r="F534" t="s">
        <v>118</v>
      </c>
      <c r="G534" t="str">
        <f>HYPERLINK("https://vk.com/topic-27863223_35936941?post=116006")</f>
        <v>https://vk.com/topic-27863223_35936941?post=116006</v>
      </c>
      <c r="H534" t="s">
        <v>119</v>
      </c>
      <c r="I534" t="s">
        <v>2273</v>
      </c>
      <c r="J534" t="str">
        <f>HYPERLINK("http://vk.com/id543559744")</f>
        <v>http://vk.com/id543559744</v>
      </c>
      <c r="L534" t="s">
        <v>121</v>
      </c>
      <c r="N534" t="s">
        <v>122</v>
      </c>
      <c r="O534" t="s">
        <v>175</v>
      </c>
      <c r="P534" t="str">
        <f>HYPERLINK("http://vk.com/club27863223")</f>
        <v>http://vk.com/club27863223</v>
      </c>
      <c r="Q534">
        <v>134698</v>
      </c>
      <c r="R534" t="s">
        <v>124</v>
      </c>
      <c r="S534" t="s">
        <v>125</v>
      </c>
      <c r="T534" t="s">
        <v>1103</v>
      </c>
      <c r="U534" t="s">
        <v>1104</v>
      </c>
      <c r="AM534" t="s">
        <v>129</v>
      </c>
      <c r="AN534" t="s">
        <v>130</v>
      </c>
      <c r="AP534" t="s">
        <v>41</v>
      </c>
      <c r="AZ534" t="s">
        <v>51</v>
      </c>
      <c r="BA534" t="s">
        <v>52</v>
      </c>
      <c r="BL534" t="s">
        <v>63</v>
      </c>
    </row>
    <row r="535" spans="1:64" x14ac:dyDescent="0.2">
      <c r="A535" t="s">
        <v>2274</v>
      </c>
      <c r="B535" t="s">
        <v>1852</v>
      </c>
      <c r="C535" t="s">
        <v>2283</v>
      </c>
      <c r="D535" t="s">
        <v>1031</v>
      </c>
      <c r="E535" t="s">
        <v>2284</v>
      </c>
      <c r="F535" t="s">
        <v>118</v>
      </c>
      <c r="G535" t="str">
        <f>HYPERLINK("https://vk.com/wall-27863223_292230?reply=292342")</f>
        <v>https://vk.com/wall-27863223_292230?reply=292342</v>
      </c>
      <c r="H535" t="s">
        <v>119</v>
      </c>
      <c r="I535" t="s">
        <v>2285</v>
      </c>
      <c r="J535" t="str">
        <f>HYPERLINK("http://vk.com/id609818824")</f>
        <v>http://vk.com/id609818824</v>
      </c>
      <c r="K535">
        <v>59</v>
      </c>
      <c r="L535" t="s">
        <v>121</v>
      </c>
      <c r="M535">
        <v>43</v>
      </c>
      <c r="N535" t="s">
        <v>122</v>
      </c>
      <c r="O535" t="s">
        <v>175</v>
      </c>
      <c r="P535" t="str">
        <f>HYPERLINK("http://vk.com/club27863223")</f>
        <v>http://vk.com/club27863223</v>
      </c>
      <c r="Q535">
        <v>134698</v>
      </c>
      <c r="R535" t="s">
        <v>124</v>
      </c>
      <c r="S535" t="s">
        <v>125</v>
      </c>
      <c r="W535">
        <v>0</v>
      </c>
      <c r="X535">
        <v>0</v>
      </c>
      <c r="AM535" t="s">
        <v>129</v>
      </c>
      <c r="AN535" t="s">
        <v>130</v>
      </c>
      <c r="AO535" t="s">
        <v>40</v>
      </c>
      <c r="AP535" t="s">
        <v>41</v>
      </c>
      <c r="AZ535" t="s">
        <v>51</v>
      </c>
      <c r="BA535" t="s">
        <v>52</v>
      </c>
    </row>
    <row r="536" spans="1:64" x14ac:dyDescent="0.2">
      <c r="A536" t="s">
        <v>2274</v>
      </c>
      <c r="B536" t="s">
        <v>2286</v>
      </c>
      <c r="C536" t="s">
        <v>2287</v>
      </c>
      <c r="D536" t="s">
        <v>2288</v>
      </c>
      <c r="E536" t="s">
        <v>2289</v>
      </c>
      <c r="F536" t="s">
        <v>118</v>
      </c>
      <c r="G536" t="str">
        <f>HYPERLINK("https://vk.com/wall-17049131_18018?reply=18093&amp;thread=18019")</f>
        <v>https://vk.com/wall-17049131_18018?reply=18093&amp;thread=18019</v>
      </c>
      <c r="H536" t="s">
        <v>181</v>
      </c>
      <c r="I536" t="s">
        <v>2290</v>
      </c>
      <c r="J536" t="str">
        <f>HYPERLINK("http://vk.com/id603443350")</f>
        <v>http://vk.com/id603443350</v>
      </c>
      <c r="K536">
        <v>53</v>
      </c>
      <c r="L536" t="s">
        <v>151</v>
      </c>
      <c r="M536">
        <v>33</v>
      </c>
      <c r="N536" t="s">
        <v>122</v>
      </c>
      <c r="O536" t="s">
        <v>2291</v>
      </c>
      <c r="P536" t="str">
        <f>HYPERLINK("http://vk.com/club17049131")</f>
        <v>http://vk.com/club17049131</v>
      </c>
      <c r="Q536">
        <v>1746</v>
      </c>
      <c r="R536" t="s">
        <v>124</v>
      </c>
      <c r="S536" t="s">
        <v>125</v>
      </c>
      <c r="AM536" t="s">
        <v>129</v>
      </c>
      <c r="AN536" t="s">
        <v>130</v>
      </c>
      <c r="AP536" t="s">
        <v>41</v>
      </c>
      <c r="AU536" t="s">
        <v>46</v>
      </c>
      <c r="AZ536" t="s">
        <v>51</v>
      </c>
      <c r="BA536" t="s">
        <v>52</v>
      </c>
    </row>
    <row r="537" spans="1:64" x14ac:dyDescent="0.2">
      <c r="A537" t="s">
        <v>2274</v>
      </c>
      <c r="B537" t="s">
        <v>2286</v>
      </c>
      <c r="C537" t="s">
        <v>2292</v>
      </c>
      <c r="D537" t="s">
        <v>2293</v>
      </c>
      <c r="E537" t="s">
        <v>2294</v>
      </c>
      <c r="F537" t="s">
        <v>180</v>
      </c>
      <c r="G537" t="str">
        <f>HYPERLINK("https://4pda.to/forum/index.php?showtopic=928322&amp;st=48080#entry108259083")</f>
        <v>https://4pda.to/forum/index.php?showtopic=928322&amp;st=48080#entry108259083</v>
      </c>
      <c r="H537" t="s">
        <v>119</v>
      </c>
      <c r="I537" t="s">
        <v>2295</v>
      </c>
      <c r="J537" t="str">
        <f>HYPERLINK("https://4pda.to/forum/index.php?showuser=2692583")</f>
        <v>https://4pda.to/forum/index.php?showuser=2692583</v>
      </c>
      <c r="N537" t="s">
        <v>293</v>
      </c>
      <c r="O537" t="s">
        <v>1695</v>
      </c>
      <c r="P537" t="str">
        <f>HYPERLINK("https://4pda.to/forum/index.php?showforum=640")</f>
        <v>https://4pda.to/forum/index.php?showforum=640</v>
      </c>
      <c r="R537" t="s">
        <v>295</v>
      </c>
      <c r="S537" t="s">
        <v>125</v>
      </c>
      <c r="AM537" t="s">
        <v>129</v>
      </c>
      <c r="AN537" t="s">
        <v>130</v>
      </c>
      <c r="AP537" t="s">
        <v>41</v>
      </c>
      <c r="AU537" t="s">
        <v>46</v>
      </c>
      <c r="AZ537" t="s">
        <v>51</v>
      </c>
      <c r="BA537" t="s">
        <v>52</v>
      </c>
      <c r="BL537" t="s">
        <v>63</v>
      </c>
    </row>
    <row r="538" spans="1:64" x14ac:dyDescent="0.2">
      <c r="A538" t="s">
        <v>2274</v>
      </c>
      <c r="B538" t="s">
        <v>2296</v>
      </c>
      <c r="C538" t="s">
        <v>2297</v>
      </c>
      <c r="D538" t="s">
        <v>1031</v>
      </c>
      <c r="E538" t="s">
        <v>2298</v>
      </c>
      <c r="F538" t="s">
        <v>118</v>
      </c>
      <c r="G538" t="str">
        <f>HYPERLINK("https://vk.com/wall-27863223_292230?reply=292340")</f>
        <v>https://vk.com/wall-27863223_292230?reply=292340</v>
      </c>
      <c r="H538" t="s">
        <v>119</v>
      </c>
      <c r="I538" t="s">
        <v>363</v>
      </c>
      <c r="J538" t="str">
        <f>HYPERLINK("http://vk.com/id28210709")</f>
        <v>http://vk.com/id28210709</v>
      </c>
      <c r="K538">
        <v>249</v>
      </c>
      <c r="L538" t="s">
        <v>121</v>
      </c>
      <c r="M538">
        <v>32</v>
      </c>
      <c r="N538" t="s">
        <v>122</v>
      </c>
      <c r="O538" t="s">
        <v>175</v>
      </c>
      <c r="P538" t="str">
        <f>HYPERLINK("http://vk.com/club27863223")</f>
        <v>http://vk.com/club27863223</v>
      </c>
      <c r="Q538">
        <v>134698</v>
      </c>
      <c r="R538" t="s">
        <v>124</v>
      </c>
      <c r="S538" t="s">
        <v>125</v>
      </c>
      <c r="T538" t="s">
        <v>364</v>
      </c>
      <c r="U538" t="s">
        <v>365</v>
      </c>
      <c r="W538">
        <v>0</v>
      </c>
      <c r="X538">
        <v>0</v>
      </c>
      <c r="AM538" t="s">
        <v>129</v>
      </c>
      <c r="AN538" t="s">
        <v>130</v>
      </c>
      <c r="AO538" t="s">
        <v>40</v>
      </c>
      <c r="AP538" t="s">
        <v>41</v>
      </c>
      <c r="AZ538" t="s">
        <v>51</v>
      </c>
      <c r="BA538" t="s">
        <v>52</v>
      </c>
    </row>
    <row r="539" spans="1:64" x14ac:dyDescent="0.2">
      <c r="A539" t="s">
        <v>2274</v>
      </c>
      <c r="B539" t="s">
        <v>2296</v>
      </c>
      <c r="C539" t="s">
        <v>2297</v>
      </c>
      <c r="D539" t="s">
        <v>1031</v>
      </c>
      <c r="E539" t="s">
        <v>2082</v>
      </c>
      <c r="F539" t="s">
        <v>118</v>
      </c>
      <c r="G539" t="str">
        <f>HYPERLINK("https://vk.com/wall-27863223_292230?reply=292339")</f>
        <v>https://vk.com/wall-27863223_292230?reply=292339</v>
      </c>
      <c r="H539" t="s">
        <v>119</v>
      </c>
      <c r="I539" t="s">
        <v>799</v>
      </c>
      <c r="J539" t="str">
        <f>HYPERLINK("http://vk.com/id177360670")</f>
        <v>http://vk.com/id177360670</v>
      </c>
      <c r="K539">
        <v>270</v>
      </c>
      <c r="L539" t="s">
        <v>151</v>
      </c>
      <c r="N539" t="s">
        <v>122</v>
      </c>
      <c r="O539" t="s">
        <v>175</v>
      </c>
      <c r="P539" t="str">
        <f>HYPERLINK("http://vk.com/club27863223")</f>
        <v>http://vk.com/club27863223</v>
      </c>
      <c r="Q539">
        <v>134698</v>
      </c>
      <c r="R539" t="s">
        <v>124</v>
      </c>
      <c r="S539" t="s">
        <v>125</v>
      </c>
      <c r="W539">
        <v>0</v>
      </c>
      <c r="X539">
        <v>0</v>
      </c>
      <c r="AM539" t="s">
        <v>129</v>
      </c>
      <c r="AN539" t="s">
        <v>130</v>
      </c>
      <c r="AO539" t="s">
        <v>40</v>
      </c>
      <c r="AP539" t="s">
        <v>41</v>
      </c>
      <c r="AZ539" t="s">
        <v>51</v>
      </c>
      <c r="BA539" t="s">
        <v>52</v>
      </c>
    </row>
    <row r="540" spans="1:64" x14ac:dyDescent="0.2">
      <c r="A540" t="s">
        <v>2274</v>
      </c>
      <c r="B540" t="s">
        <v>2299</v>
      </c>
      <c r="C540" t="s">
        <v>2300</v>
      </c>
      <c r="D540" t="s">
        <v>731</v>
      </c>
      <c r="E540" t="s">
        <v>2301</v>
      </c>
      <c r="F540" t="s">
        <v>118</v>
      </c>
      <c r="G540" t="str">
        <f>HYPERLINK("https://vk.com/wall-61101621_254853?reply=254859")</f>
        <v>https://vk.com/wall-61101621_254853?reply=254859</v>
      </c>
      <c r="H540" t="s">
        <v>119</v>
      </c>
      <c r="I540" t="s">
        <v>2302</v>
      </c>
      <c r="J540" t="str">
        <f>HYPERLINK("http://vk.com/id21727663")</f>
        <v>http://vk.com/id21727663</v>
      </c>
      <c r="K540">
        <v>402</v>
      </c>
      <c r="L540" t="s">
        <v>121</v>
      </c>
      <c r="M540">
        <v>33</v>
      </c>
      <c r="N540" t="s">
        <v>122</v>
      </c>
      <c r="O540" t="s">
        <v>160</v>
      </c>
      <c r="P540" t="str">
        <f>HYPERLINK("http://vk.com/club61101621")</f>
        <v>http://vk.com/club61101621</v>
      </c>
      <c r="Q540">
        <v>21119</v>
      </c>
      <c r="R540" t="s">
        <v>124</v>
      </c>
      <c r="S540" t="s">
        <v>125</v>
      </c>
      <c r="T540" t="s">
        <v>487</v>
      </c>
      <c r="U540" t="s">
        <v>488</v>
      </c>
      <c r="W540">
        <v>0</v>
      </c>
      <c r="X540">
        <v>0</v>
      </c>
      <c r="AM540" t="s">
        <v>129</v>
      </c>
      <c r="AN540" t="s">
        <v>130</v>
      </c>
      <c r="AP540" t="s">
        <v>41</v>
      </c>
      <c r="AZ540" t="s">
        <v>51</v>
      </c>
      <c r="BA540" t="s">
        <v>52</v>
      </c>
      <c r="BL540" t="s">
        <v>63</v>
      </c>
    </row>
    <row r="541" spans="1:64" x14ac:dyDescent="0.2">
      <c r="A541" t="s">
        <v>2274</v>
      </c>
      <c r="B541" t="s">
        <v>155</v>
      </c>
      <c r="C541" t="s">
        <v>2303</v>
      </c>
      <c r="D541" t="s">
        <v>2304</v>
      </c>
      <c r="E541" t="s">
        <v>2305</v>
      </c>
      <c r="F541" t="s">
        <v>118</v>
      </c>
      <c r="G541" t="str">
        <f>HYPERLINK("https://www.youtube.com/watch?v=cpy1_cJ5jYo&amp;lc=Ugxdsi8okNQNqirPzbZ4AaABAg")</f>
        <v>https://www.youtube.com/watch?v=cpy1_cJ5jYo&amp;lc=Ugxdsi8okNQNqirPzbZ4AaABAg</v>
      </c>
      <c r="H541" t="s">
        <v>119</v>
      </c>
      <c r="I541" t="s">
        <v>2306</v>
      </c>
      <c r="J541" t="str">
        <f>HYPERLINK("https://www.youtube.com/channel/UC3OKFyCMY94gyzW9baeDijg")</f>
        <v>https://www.youtube.com/channel/UC3OKFyCMY94gyzW9baeDijg</v>
      </c>
      <c r="N541" t="s">
        <v>248</v>
      </c>
      <c r="O541" t="s">
        <v>2307</v>
      </c>
      <c r="P541" t="str">
        <f>HYPERLINK("https://www.youtube.com/channel/UCfV0sfiYm-_0X3ULYnctXxw")</f>
        <v>https://www.youtube.com/channel/UCfV0sfiYm-_0X3ULYnctXxw</v>
      </c>
      <c r="Q541">
        <v>25000</v>
      </c>
      <c r="R541" t="s">
        <v>124</v>
      </c>
      <c r="S541" t="s">
        <v>125</v>
      </c>
      <c r="W541">
        <v>0</v>
      </c>
      <c r="X541">
        <v>0</v>
      </c>
      <c r="AE541">
        <v>0</v>
      </c>
      <c r="AM541" t="s">
        <v>129</v>
      </c>
      <c r="AN541" t="s">
        <v>130</v>
      </c>
      <c r="AP541" t="s">
        <v>41</v>
      </c>
      <c r="AT541" t="s">
        <v>45</v>
      </c>
      <c r="AZ541" t="s">
        <v>51</v>
      </c>
      <c r="BA541" t="s">
        <v>52</v>
      </c>
    </row>
    <row r="542" spans="1:64" x14ac:dyDescent="0.2">
      <c r="A542" t="s">
        <v>2274</v>
      </c>
      <c r="B542" t="s">
        <v>155</v>
      </c>
      <c r="C542" t="s">
        <v>2300</v>
      </c>
      <c r="D542" t="s">
        <v>731</v>
      </c>
      <c r="E542" t="s">
        <v>2308</v>
      </c>
      <c r="F542" t="s">
        <v>118</v>
      </c>
      <c r="G542" t="str">
        <f>HYPERLINK("https://vk.com/wall-61101621_254853?w=wall-61101621_254853_r254858")</f>
        <v>https://vk.com/wall-61101621_254853?w=wall-61101621_254853_r254858</v>
      </c>
      <c r="H542" t="s">
        <v>119</v>
      </c>
      <c r="I542" t="s">
        <v>2302</v>
      </c>
      <c r="J542" t="str">
        <f>HYPERLINK("http://vk.com/id21727663")</f>
        <v>http://vk.com/id21727663</v>
      </c>
      <c r="K542">
        <v>402</v>
      </c>
      <c r="L542" t="s">
        <v>121</v>
      </c>
      <c r="M542">
        <v>33</v>
      </c>
      <c r="N542" t="s">
        <v>122</v>
      </c>
      <c r="O542" t="s">
        <v>160</v>
      </c>
      <c r="P542" t="str">
        <f>HYPERLINK("http://vk.com/club61101621")</f>
        <v>http://vk.com/club61101621</v>
      </c>
      <c r="Q542">
        <v>21119</v>
      </c>
      <c r="R542" t="s">
        <v>124</v>
      </c>
      <c r="S542" t="s">
        <v>125</v>
      </c>
      <c r="T542" t="s">
        <v>487</v>
      </c>
      <c r="U542" t="s">
        <v>488</v>
      </c>
      <c r="W542">
        <v>0</v>
      </c>
      <c r="X542">
        <v>0</v>
      </c>
      <c r="AM542" t="s">
        <v>129</v>
      </c>
      <c r="AN542" t="s">
        <v>130</v>
      </c>
      <c r="AP542" t="s">
        <v>41</v>
      </c>
      <c r="AT542" t="s">
        <v>45</v>
      </c>
      <c r="AZ542" t="s">
        <v>51</v>
      </c>
      <c r="BA542" t="s">
        <v>52</v>
      </c>
    </row>
    <row r="543" spans="1:64" x14ac:dyDescent="0.2">
      <c r="A543" t="s">
        <v>2274</v>
      </c>
      <c r="B543" t="s">
        <v>2309</v>
      </c>
      <c r="C543" t="s">
        <v>2300</v>
      </c>
      <c r="D543" t="s">
        <v>731</v>
      </c>
      <c r="E543" t="s">
        <v>2310</v>
      </c>
      <c r="F543" t="s">
        <v>118</v>
      </c>
      <c r="G543" t="str">
        <f>HYPERLINK("https://vk.com/wall-61101621_254853?w=wall-61101621_254853_r254857")</f>
        <v>https://vk.com/wall-61101621_254853?w=wall-61101621_254853_r254857</v>
      </c>
      <c r="H543" t="s">
        <v>119</v>
      </c>
      <c r="I543" t="s">
        <v>2302</v>
      </c>
      <c r="J543" t="str">
        <f>HYPERLINK("http://vk.com/id21727663")</f>
        <v>http://vk.com/id21727663</v>
      </c>
      <c r="K543">
        <v>402</v>
      </c>
      <c r="L543" t="s">
        <v>121</v>
      </c>
      <c r="M543">
        <v>33</v>
      </c>
      <c r="N543" t="s">
        <v>122</v>
      </c>
      <c r="O543" t="s">
        <v>160</v>
      </c>
      <c r="P543" t="str">
        <f>HYPERLINK("http://vk.com/club61101621")</f>
        <v>http://vk.com/club61101621</v>
      </c>
      <c r="Q543">
        <v>21119</v>
      </c>
      <c r="R543" t="s">
        <v>124</v>
      </c>
      <c r="S543" t="s">
        <v>125</v>
      </c>
      <c r="T543" t="s">
        <v>487</v>
      </c>
      <c r="U543" t="s">
        <v>488</v>
      </c>
      <c r="W543">
        <v>0</v>
      </c>
      <c r="X543">
        <v>0</v>
      </c>
      <c r="AM543" t="s">
        <v>129</v>
      </c>
      <c r="AN543" t="s">
        <v>130</v>
      </c>
      <c r="AP543" t="s">
        <v>41</v>
      </c>
      <c r="AT543" t="s">
        <v>45</v>
      </c>
      <c r="AZ543" t="s">
        <v>51</v>
      </c>
      <c r="BA543" t="s">
        <v>52</v>
      </c>
    </row>
    <row r="544" spans="1:64" x14ac:dyDescent="0.2">
      <c r="A544" t="s">
        <v>2274</v>
      </c>
      <c r="B544" t="s">
        <v>2311</v>
      </c>
      <c r="C544" t="s">
        <v>2312</v>
      </c>
      <c r="D544" t="s">
        <v>1829</v>
      </c>
      <c r="E544" t="s">
        <v>2313</v>
      </c>
      <c r="F544" t="s">
        <v>118</v>
      </c>
      <c r="G544" t="str">
        <f>HYPERLINK("https://vk.com/wall-27863223_292322?reply=292338")</f>
        <v>https://vk.com/wall-27863223_292322?reply=292338</v>
      </c>
      <c r="H544" t="s">
        <v>119</v>
      </c>
      <c r="I544" t="s">
        <v>2008</v>
      </c>
      <c r="J544" t="str">
        <f>HYPERLINK("http://vk.com/id172907459")</f>
        <v>http://vk.com/id172907459</v>
      </c>
      <c r="K544">
        <v>75</v>
      </c>
      <c r="L544" t="s">
        <v>121</v>
      </c>
      <c r="N544" t="s">
        <v>122</v>
      </c>
      <c r="O544" t="s">
        <v>175</v>
      </c>
      <c r="P544" t="str">
        <f>HYPERLINK("http://vk.com/club27863223")</f>
        <v>http://vk.com/club27863223</v>
      </c>
      <c r="Q544">
        <v>134698</v>
      </c>
      <c r="R544" t="s">
        <v>124</v>
      </c>
      <c r="AM544" t="s">
        <v>129</v>
      </c>
      <c r="AN544" t="s">
        <v>130</v>
      </c>
      <c r="AP544" t="s">
        <v>41</v>
      </c>
      <c r="AU544" t="s">
        <v>46</v>
      </c>
      <c r="AZ544" t="s">
        <v>51</v>
      </c>
      <c r="BA544" t="s">
        <v>52</v>
      </c>
    </row>
    <row r="545" spans="1:67" x14ac:dyDescent="0.2">
      <c r="A545" t="s">
        <v>2274</v>
      </c>
      <c r="B545" t="s">
        <v>796</v>
      </c>
      <c r="C545" t="s">
        <v>2314</v>
      </c>
      <c r="D545" t="s">
        <v>1822</v>
      </c>
      <c r="E545" t="s">
        <v>2315</v>
      </c>
      <c r="F545" t="s">
        <v>118</v>
      </c>
      <c r="G545" t="str">
        <f>HYPERLINK("https://vk.com/wall-61100487_219522?reply=219527")</f>
        <v>https://vk.com/wall-61100487_219522?reply=219527</v>
      </c>
      <c r="H545" t="s">
        <v>119</v>
      </c>
      <c r="I545" t="s">
        <v>2316</v>
      </c>
      <c r="J545" t="str">
        <f>HYPERLINK("http://vk.com/id452406005")</f>
        <v>http://vk.com/id452406005</v>
      </c>
      <c r="K545">
        <v>50</v>
      </c>
      <c r="L545" t="s">
        <v>151</v>
      </c>
      <c r="N545" t="s">
        <v>122</v>
      </c>
      <c r="O545" t="s">
        <v>1825</v>
      </c>
      <c r="P545" t="str">
        <f>HYPERLINK("http://vk.com/club61100487")</f>
        <v>http://vk.com/club61100487</v>
      </c>
      <c r="Q545">
        <v>13290</v>
      </c>
      <c r="R545" t="s">
        <v>124</v>
      </c>
      <c r="S545" t="s">
        <v>125</v>
      </c>
      <c r="T545" t="s">
        <v>487</v>
      </c>
      <c r="U545" t="s">
        <v>488</v>
      </c>
      <c r="AM545" t="s">
        <v>129</v>
      </c>
      <c r="AN545" t="s">
        <v>130</v>
      </c>
      <c r="AP545" t="s">
        <v>41</v>
      </c>
      <c r="AZ545" t="s">
        <v>51</v>
      </c>
      <c r="BA545" t="s">
        <v>52</v>
      </c>
      <c r="BM545" t="s">
        <v>64</v>
      </c>
    </row>
    <row r="546" spans="1:67" x14ac:dyDescent="0.2">
      <c r="A546" t="s">
        <v>2274</v>
      </c>
      <c r="B546" t="s">
        <v>2317</v>
      </c>
      <c r="C546" t="s">
        <v>2318</v>
      </c>
      <c r="D546" t="s">
        <v>2319</v>
      </c>
      <c r="E546" t="s">
        <v>2320</v>
      </c>
      <c r="F546" t="s">
        <v>118</v>
      </c>
      <c r="G546" t="str">
        <f>HYPERLINK("https://vk.com/wall-16413643_817218?reply=817241&amp;thread=817225")</f>
        <v>https://vk.com/wall-16413643_817218?reply=817241&amp;thread=817225</v>
      </c>
      <c r="H546" t="s">
        <v>181</v>
      </c>
      <c r="I546" t="s">
        <v>2321</v>
      </c>
      <c r="J546" t="str">
        <f>HYPERLINK("http://vk.com/id544020604")</f>
        <v>http://vk.com/id544020604</v>
      </c>
      <c r="K546">
        <v>178</v>
      </c>
      <c r="L546" t="s">
        <v>121</v>
      </c>
      <c r="M546">
        <v>29</v>
      </c>
      <c r="N546" t="s">
        <v>122</v>
      </c>
      <c r="O546" t="s">
        <v>2322</v>
      </c>
      <c r="P546" t="str">
        <f>HYPERLINK("http://vk.com/club16413643")</f>
        <v>http://vk.com/club16413643</v>
      </c>
      <c r="Q546">
        <v>23561</v>
      </c>
      <c r="R546" t="s">
        <v>124</v>
      </c>
      <c r="S546" t="s">
        <v>125</v>
      </c>
      <c r="T546" t="s">
        <v>570</v>
      </c>
      <c r="U546" t="s">
        <v>2323</v>
      </c>
      <c r="AM546" t="s">
        <v>129</v>
      </c>
      <c r="AN546" t="s">
        <v>130</v>
      </c>
      <c r="AP546" t="s">
        <v>41</v>
      </c>
      <c r="AT546" t="s">
        <v>45</v>
      </c>
      <c r="AW546" t="s">
        <v>48</v>
      </c>
      <c r="AZ546" t="s">
        <v>51</v>
      </c>
      <c r="BA546" t="s">
        <v>52</v>
      </c>
    </row>
    <row r="547" spans="1:67" x14ac:dyDescent="0.2">
      <c r="A547" t="s">
        <v>2274</v>
      </c>
      <c r="B547" t="s">
        <v>2324</v>
      </c>
      <c r="C547" t="s">
        <v>2325</v>
      </c>
      <c r="D547" t="s">
        <v>2326</v>
      </c>
      <c r="E547" t="s">
        <v>2327</v>
      </c>
      <c r="F547" t="s">
        <v>118</v>
      </c>
      <c r="G547" t="str">
        <f>HYPERLINK("https://vk.com/topic-27863223_35421989?post=116004")</f>
        <v>https://vk.com/topic-27863223_35421989?post=116004</v>
      </c>
      <c r="H547" t="s">
        <v>119</v>
      </c>
      <c r="I547" t="s">
        <v>2328</v>
      </c>
      <c r="J547" t="str">
        <f>HYPERLINK("http://vk.com/id218965625")</f>
        <v>http://vk.com/id218965625</v>
      </c>
      <c r="K547">
        <v>56</v>
      </c>
      <c r="L547" t="s">
        <v>121</v>
      </c>
      <c r="N547" t="s">
        <v>122</v>
      </c>
      <c r="O547" t="s">
        <v>175</v>
      </c>
      <c r="P547" t="str">
        <f>HYPERLINK("http://vk.com/club27863223")</f>
        <v>http://vk.com/club27863223</v>
      </c>
      <c r="Q547">
        <v>134698</v>
      </c>
      <c r="R547" t="s">
        <v>124</v>
      </c>
      <c r="S547" t="s">
        <v>125</v>
      </c>
      <c r="T547" t="s">
        <v>2166</v>
      </c>
      <c r="U547" t="s">
        <v>2167</v>
      </c>
      <c r="AM547" t="s">
        <v>129</v>
      </c>
      <c r="AN547" t="s">
        <v>130</v>
      </c>
      <c r="AP547" t="s">
        <v>41</v>
      </c>
      <c r="AU547" t="s">
        <v>46</v>
      </c>
      <c r="AZ547" t="s">
        <v>51</v>
      </c>
      <c r="BA547" t="s">
        <v>52</v>
      </c>
    </row>
    <row r="548" spans="1:67" x14ac:dyDescent="0.2">
      <c r="A548" t="s">
        <v>2274</v>
      </c>
      <c r="B548" t="s">
        <v>1313</v>
      </c>
      <c r="C548" t="s">
        <v>2329</v>
      </c>
      <c r="D548" t="s">
        <v>2330</v>
      </c>
      <c r="E548" t="s">
        <v>2331</v>
      </c>
      <c r="F548" t="s">
        <v>118</v>
      </c>
      <c r="G548" t="str">
        <f>HYPERLINK("https://vk.com/wall-194691373_408567?reply=408579")</f>
        <v>https://vk.com/wall-194691373_408567?reply=408579</v>
      </c>
      <c r="H548" t="s">
        <v>181</v>
      </c>
      <c r="I548" t="s">
        <v>2332</v>
      </c>
      <c r="J548" t="str">
        <f>HYPERLINK("http://vk.com/id289795290")</f>
        <v>http://vk.com/id289795290</v>
      </c>
      <c r="K548">
        <v>30</v>
      </c>
      <c r="L548" t="s">
        <v>121</v>
      </c>
      <c r="N548" t="s">
        <v>122</v>
      </c>
      <c r="O548" t="s">
        <v>2333</v>
      </c>
      <c r="P548" t="str">
        <f>HYPERLINK("http://vk.com/club194691373")</f>
        <v>http://vk.com/club194691373</v>
      </c>
      <c r="Q548">
        <v>77740</v>
      </c>
      <c r="R548" t="s">
        <v>124</v>
      </c>
      <c r="S548" t="s">
        <v>125</v>
      </c>
      <c r="AM548" t="s">
        <v>129</v>
      </c>
      <c r="AN548" t="s">
        <v>130</v>
      </c>
      <c r="AP548" t="s">
        <v>41</v>
      </c>
      <c r="AZ548" t="s">
        <v>51</v>
      </c>
      <c r="BA548" t="s">
        <v>52</v>
      </c>
    </row>
    <row r="549" spans="1:67" x14ac:dyDescent="0.2">
      <c r="A549" t="s">
        <v>2274</v>
      </c>
      <c r="B549" t="s">
        <v>2334</v>
      </c>
      <c r="C549" t="s">
        <v>2335</v>
      </c>
      <c r="D549" t="s">
        <v>1031</v>
      </c>
      <c r="E549" t="s">
        <v>2336</v>
      </c>
      <c r="F549" t="s">
        <v>118</v>
      </c>
      <c r="G549" t="str">
        <f>HYPERLINK("https://vk.com/wall-27863223_292230?reply=292337")</f>
        <v>https://vk.com/wall-27863223_292230?reply=292337</v>
      </c>
      <c r="H549" t="s">
        <v>119</v>
      </c>
      <c r="I549" t="s">
        <v>2337</v>
      </c>
      <c r="J549" t="str">
        <f>HYPERLINK("http://vk.com/id45702620")</f>
        <v>http://vk.com/id45702620</v>
      </c>
      <c r="K549">
        <v>947</v>
      </c>
      <c r="L549" t="s">
        <v>151</v>
      </c>
      <c r="N549" t="s">
        <v>122</v>
      </c>
      <c r="O549" t="s">
        <v>175</v>
      </c>
      <c r="P549" t="str">
        <f>HYPERLINK("http://vk.com/club27863223")</f>
        <v>http://vk.com/club27863223</v>
      </c>
      <c r="Q549">
        <v>134698</v>
      </c>
      <c r="R549" t="s">
        <v>124</v>
      </c>
      <c r="S549" t="s">
        <v>125</v>
      </c>
      <c r="T549" t="s">
        <v>325</v>
      </c>
      <c r="U549" t="s">
        <v>326</v>
      </c>
      <c r="W549">
        <v>0</v>
      </c>
      <c r="X549">
        <v>0</v>
      </c>
      <c r="AM549" t="s">
        <v>129</v>
      </c>
      <c r="AN549" t="s">
        <v>130</v>
      </c>
      <c r="AO549" t="s">
        <v>40</v>
      </c>
      <c r="AP549" t="s">
        <v>41</v>
      </c>
      <c r="AZ549" t="s">
        <v>51</v>
      </c>
      <c r="BA549" t="s">
        <v>52</v>
      </c>
    </row>
    <row r="550" spans="1:67" x14ac:dyDescent="0.2">
      <c r="A550" t="s">
        <v>2274</v>
      </c>
      <c r="B550" t="s">
        <v>2334</v>
      </c>
      <c r="C550" t="s">
        <v>2338</v>
      </c>
      <c r="D550" t="s">
        <v>2339</v>
      </c>
      <c r="E550" t="s">
        <v>2340</v>
      </c>
      <c r="F550" t="s">
        <v>118</v>
      </c>
      <c r="G550" t="str">
        <f>HYPERLINK("https://vk.com/wall-60477094_1148882?reply=1148939&amp;thread=1148916")</f>
        <v>https://vk.com/wall-60477094_1148882?reply=1148939&amp;thread=1148916</v>
      </c>
      <c r="H550" t="s">
        <v>119</v>
      </c>
      <c r="I550" t="s">
        <v>2341</v>
      </c>
      <c r="J550" t="str">
        <f>HYPERLINK("http://vk.com/id216746776")</f>
        <v>http://vk.com/id216746776</v>
      </c>
      <c r="K550">
        <v>123</v>
      </c>
      <c r="L550" t="s">
        <v>121</v>
      </c>
      <c r="N550" t="s">
        <v>122</v>
      </c>
      <c r="O550" t="s">
        <v>2342</v>
      </c>
      <c r="P550" t="str">
        <f>HYPERLINK("http://vk.com/club60477094")</f>
        <v>http://vk.com/club60477094</v>
      </c>
      <c r="Q550">
        <v>22498</v>
      </c>
      <c r="R550" t="s">
        <v>124</v>
      </c>
      <c r="S550" t="s">
        <v>125</v>
      </c>
      <c r="T550" t="s">
        <v>256</v>
      </c>
      <c r="U550" t="s">
        <v>2343</v>
      </c>
      <c r="AM550" t="s">
        <v>129</v>
      </c>
      <c r="AN550" t="s">
        <v>130</v>
      </c>
      <c r="AP550" t="s">
        <v>41</v>
      </c>
      <c r="AW550" t="s">
        <v>48</v>
      </c>
      <c r="AZ550" t="s">
        <v>51</v>
      </c>
      <c r="BA550" t="s">
        <v>52</v>
      </c>
    </row>
    <row r="551" spans="1:67" x14ac:dyDescent="0.2">
      <c r="A551" t="s">
        <v>2274</v>
      </c>
      <c r="B551" t="s">
        <v>193</v>
      </c>
      <c r="C551" t="s">
        <v>2344</v>
      </c>
      <c r="D551" t="s">
        <v>2345</v>
      </c>
      <c r="E551" t="s">
        <v>2346</v>
      </c>
      <c r="F551" t="s">
        <v>118</v>
      </c>
      <c r="G551" t="str">
        <f>HYPERLINK("https://vk.com/wall-183596816_520100?reply=520102")</f>
        <v>https://vk.com/wall-183596816_520100?reply=520102</v>
      </c>
      <c r="H551" t="s">
        <v>119</v>
      </c>
      <c r="I551" t="s">
        <v>2347</v>
      </c>
      <c r="J551" t="str">
        <f>HYPERLINK("http://vk.com/id433097936")</f>
        <v>http://vk.com/id433097936</v>
      </c>
      <c r="K551">
        <v>304</v>
      </c>
      <c r="L551" t="s">
        <v>121</v>
      </c>
      <c r="N551" t="s">
        <v>122</v>
      </c>
      <c r="O551" t="s">
        <v>2348</v>
      </c>
      <c r="P551" t="str">
        <f>HYPERLINK("http://vk.com/club183596816")</f>
        <v>http://vk.com/club183596816</v>
      </c>
      <c r="Q551">
        <v>156110</v>
      </c>
      <c r="R551" t="s">
        <v>124</v>
      </c>
      <c r="S551" t="s">
        <v>125</v>
      </c>
      <c r="T551" t="s">
        <v>1295</v>
      </c>
      <c r="U551" t="s">
        <v>2349</v>
      </c>
      <c r="AM551" t="s">
        <v>129</v>
      </c>
      <c r="AN551" t="s">
        <v>130</v>
      </c>
      <c r="AP551" t="s">
        <v>41</v>
      </c>
      <c r="AZ551" t="s">
        <v>51</v>
      </c>
      <c r="BA551" t="s">
        <v>52</v>
      </c>
      <c r="BL551" t="s">
        <v>63</v>
      </c>
    </row>
    <row r="552" spans="1:67" x14ac:dyDescent="0.2">
      <c r="A552" t="s">
        <v>2274</v>
      </c>
      <c r="B552" t="s">
        <v>2350</v>
      </c>
      <c r="C552" t="s">
        <v>2351</v>
      </c>
      <c r="D552" t="s">
        <v>2215</v>
      </c>
      <c r="E552" t="s">
        <v>2352</v>
      </c>
      <c r="F552" t="s">
        <v>118</v>
      </c>
      <c r="G552" t="str">
        <f>HYPERLINK("https://vk.com/wall-27863223_292151?reply=292335&amp;thread=292324")</f>
        <v>https://vk.com/wall-27863223_292151?reply=292335&amp;thread=292324</v>
      </c>
      <c r="H552" t="s">
        <v>228</v>
      </c>
      <c r="I552" t="s">
        <v>2353</v>
      </c>
      <c r="J552" t="str">
        <f>HYPERLINK("http://vk.com/id26675501")</f>
        <v>http://vk.com/id26675501</v>
      </c>
      <c r="K552">
        <v>163</v>
      </c>
      <c r="L552" t="s">
        <v>121</v>
      </c>
      <c r="M552">
        <v>31</v>
      </c>
      <c r="N552" t="s">
        <v>122</v>
      </c>
      <c r="O552" t="s">
        <v>175</v>
      </c>
      <c r="P552" t="str">
        <f>HYPERLINK("http://vk.com/club27863223")</f>
        <v>http://vk.com/club27863223</v>
      </c>
      <c r="Q552">
        <v>134698</v>
      </c>
      <c r="R552" t="s">
        <v>124</v>
      </c>
      <c r="S552" t="s">
        <v>125</v>
      </c>
      <c r="T552" t="s">
        <v>137</v>
      </c>
      <c r="U552" t="s">
        <v>137</v>
      </c>
      <c r="AM552" t="s">
        <v>129</v>
      </c>
      <c r="AN552" t="s">
        <v>130</v>
      </c>
      <c r="AP552" t="s">
        <v>41</v>
      </c>
      <c r="AU552" t="s">
        <v>46</v>
      </c>
      <c r="AZ552" t="s">
        <v>51</v>
      </c>
      <c r="BA552" t="s">
        <v>52</v>
      </c>
    </row>
    <row r="553" spans="1:67" x14ac:dyDescent="0.2">
      <c r="A553" t="s">
        <v>2274</v>
      </c>
      <c r="B553" t="s">
        <v>2354</v>
      </c>
      <c r="C553" t="s">
        <v>2355</v>
      </c>
      <c r="D553" t="s">
        <v>1074</v>
      </c>
      <c r="E553" t="s">
        <v>2356</v>
      </c>
      <c r="F553" t="s">
        <v>118</v>
      </c>
      <c r="G553" t="str">
        <f>HYPERLINK("https://vk.com/wall-80149142_348548?reply=348663&amp;thread=348594")</f>
        <v>https://vk.com/wall-80149142_348548?reply=348663&amp;thread=348594</v>
      </c>
      <c r="H553" t="s">
        <v>119</v>
      </c>
      <c r="I553" t="s">
        <v>2357</v>
      </c>
      <c r="J553" t="str">
        <f>HYPERLINK("http://vk.com/id4150655")</f>
        <v>http://vk.com/id4150655</v>
      </c>
      <c r="K553">
        <v>673</v>
      </c>
      <c r="L553" t="s">
        <v>121</v>
      </c>
      <c r="M553">
        <v>33</v>
      </c>
      <c r="N553" t="s">
        <v>122</v>
      </c>
      <c r="O553" t="s">
        <v>1076</v>
      </c>
      <c r="P553" t="str">
        <f>HYPERLINK("http://vk.com/club80149142")</f>
        <v>http://vk.com/club80149142</v>
      </c>
      <c r="Q553">
        <v>59466</v>
      </c>
      <c r="R553" t="s">
        <v>124</v>
      </c>
      <c r="S553" t="s">
        <v>125</v>
      </c>
      <c r="T553" t="s">
        <v>667</v>
      </c>
      <c r="U553" t="s">
        <v>668</v>
      </c>
      <c r="AM553" t="s">
        <v>129</v>
      </c>
      <c r="AN553" t="s">
        <v>130</v>
      </c>
      <c r="AP553" t="s">
        <v>41</v>
      </c>
      <c r="AZ553" t="s">
        <v>51</v>
      </c>
      <c r="BA553" t="s">
        <v>52</v>
      </c>
    </row>
    <row r="554" spans="1:67" x14ac:dyDescent="0.2">
      <c r="A554" t="s">
        <v>2274</v>
      </c>
      <c r="B554" t="s">
        <v>1324</v>
      </c>
      <c r="C554" t="s">
        <v>2358</v>
      </c>
      <c r="D554" t="s">
        <v>1031</v>
      </c>
      <c r="E554" t="s">
        <v>2359</v>
      </c>
      <c r="F554" t="s">
        <v>118</v>
      </c>
      <c r="G554" t="str">
        <f>HYPERLINK("https://vk.com/wall-27863223_292230?reply=292333")</f>
        <v>https://vk.com/wall-27863223_292230?reply=292333</v>
      </c>
      <c r="H554" t="s">
        <v>119</v>
      </c>
      <c r="I554" t="s">
        <v>1485</v>
      </c>
      <c r="J554" t="str">
        <f>HYPERLINK("http://vk.com/id3637189")</f>
        <v>http://vk.com/id3637189</v>
      </c>
      <c r="K554">
        <v>689</v>
      </c>
      <c r="L554" t="s">
        <v>121</v>
      </c>
      <c r="M554">
        <v>49</v>
      </c>
      <c r="N554" t="s">
        <v>122</v>
      </c>
      <c r="O554" t="s">
        <v>175</v>
      </c>
      <c r="P554" t="str">
        <f>HYPERLINK("http://vk.com/club27863223")</f>
        <v>http://vk.com/club27863223</v>
      </c>
      <c r="Q554">
        <v>134698</v>
      </c>
      <c r="R554" t="s">
        <v>124</v>
      </c>
      <c r="S554" t="s">
        <v>125</v>
      </c>
      <c r="T554" t="s">
        <v>189</v>
      </c>
      <c r="U554" t="s">
        <v>190</v>
      </c>
      <c r="W554">
        <v>0</v>
      </c>
      <c r="X554">
        <v>0</v>
      </c>
      <c r="AM554" t="s">
        <v>129</v>
      </c>
      <c r="AN554" t="s">
        <v>130</v>
      </c>
      <c r="AO554" t="s">
        <v>40</v>
      </c>
      <c r="AP554" t="s">
        <v>41</v>
      </c>
      <c r="AZ554" t="s">
        <v>51</v>
      </c>
      <c r="BA554" t="s">
        <v>52</v>
      </c>
    </row>
    <row r="555" spans="1:67" x14ac:dyDescent="0.2">
      <c r="A555" t="s">
        <v>2274</v>
      </c>
      <c r="B555" t="s">
        <v>2360</v>
      </c>
      <c r="C555" t="s">
        <v>2358</v>
      </c>
      <c r="D555" t="s">
        <v>1031</v>
      </c>
      <c r="E555" t="s">
        <v>2116</v>
      </c>
      <c r="F555" t="s">
        <v>118</v>
      </c>
      <c r="G555" t="str">
        <f>HYPERLINK("https://vk.com/wall-27863223_292230?reply=292332")</f>
        <v>https://vk.com/wall-27863223_292230?reply=292332</v>
      </c>
      <c r="H555" t="s">
        <v>119</v>
      </c>
      <c r="I555" t="s">
        <v>554</v>
      </c>
      <c r="J555" t="str">
        <f>HYPERLINK("http://vk.com/id141852871")</f>
        <v>http://vk.com/id141852871</v>
      </c>
      <c r="K555">
        <v>210</v>
      </c>
      <c r="L555" t="s">
        <v>151</v>
      </c>
      <c r="M555">
        <v>36</v>
      </c>
      <c r="N555" t="s">
        <v>122</v>
      </c>
      <c r="O555" t="s">
        <v>175</v>
      </c>
      <c r="P555" t="str">
        <f>HYPERLINK("http://vk.com/club27863223")</f>
        <v>http://vk.com/club27863223</v>
      </c>
      <c r="Q555">
        <v>134698</v>
      </c>
      <c r="R555" t="s">
        <v>124</v>
      </c>
      <c r="S555" t="s">
        <v>125</v>
      </c>
      <c r="T555" t="s">
        <v>153</v>
      </c>
      <c r="U555" t="s">
        <v>555</v>
      </c>
      <c r="W555">
        <v>0</v>
      </c>
      <c r="X555">
        <v>0</v>
      </c>
      <c r="AM555" t="s">
        <v>129</v>
      </c>
      <c r="AN555" t="s">
        <v>130</v>
      </c>
      <c r="AO555" t="s">
        <v>40</v>
      </c>
      <c r="AP555" t="s">
        <v>41</v>
      </c>
      <c r="AZ555" t="s">
        <v>51</v>
      </c>
      <c r="BA555" t="s">
        <v>52</v>
      </c>
    </row>
    <row r="556" spans="1:67" x14ac:dyDescent="0.2">
      <c r="A556" t="s">
        <v>2274</v>
      </c>
      <c r="B556" t="s">
        <v>2361</v>
      </c>
      <c r="C556" t="s">
        <v>2358</v>
      </c>
      <c r="D556" t="s">
        <v>1031</v>
      </c>
      <c r="E556" t="s">
        <v>2086</v>
      </c>
      <c r="F556" t="s">
        <v>118</v>
      </c>
      <c r="G556" t="str">
        <f>HYPERLINK("https://vk.com/wall-27863223_292230?reply=292331")</f>
        <v>https://vk.com/wall-27863223_292230?reply=292331</v>
      </c>
      <c r="H556" t="s">
        <v>119</v>
      </c>
      <c r="I556" t="s">
        <v>2362</v>
      </c>
      <c r="J556" t="str">
        <f>HYPERLINK("http://vk.com/id627172942")</f>
        <v>http://vk.com/id627172942</v>
      </c>
      <c r="K556">
        <v>38</v>
      </c>
      <c r="M556">
        <v>31</v>
      </c>
      <c r="N556" t="s">
        <v>122</v>
      </c>
      <c r="O556" t="s">
        <v>175</v>
      </c>
      <c r="P556" t="str">
        <f>HYPERLINK("http://vk.com/club27863223")</f>
        <v>http://vk.com/club27863223</v>
      </c>
      <c r="Q556">
        <v>134698</v>
      </c>
      <c r="R556" t="s">
        <v>124</v>
      </c>
      <c r="S556" t="s">
        <v>125</v>
      </c>
      <c r="T556" t="s">
        <v>169</v>
      </c>
      <c r="U556" t="s">
        <v>169</v>
      </c>
      <c r="W556">
        <v>0</v>
      </c>
      <c r="X556">
        <v>0</v>
      </c>
      <c r="AM556" t="s">
        <v>129</v>
      </c>
      <c r="AN556" t="s">
        <v>130</v>
      </c>
      <c r="AO556" t="s">
        <v>40</v>
      </c>
      <c r="AP556" t="s">
        <v>41</v>
      </c>
      <c r="AZ556" t="s">
        <v>51</v>
      </c>
      <c r="BA556" t="s">
        <v>52</v>
      </c>
    </row>
    <row r="557" spans="1:67" x14ac:dyDescent="0.2">
      <c r="A557" t="s">
        <v>2274</v>
      </c>
      <c r="B557" t="s">
        <v>2363</v>
      </c>
      <c r="C557" t="s">
        <v>2364</v>
      </c>
      <c r="D557" t="s">
        <v>1074</v>
      </c>
      <c r="E557" t="s">
        <v>2365</v>
      </c>
      <c r="F557" t="s">
        <v>118</v>
      </c>
      <c r="G557" t="str">
        <f>HYPERLINK("https://vk.com/wall-80149142_348548?reply=348659&amp;thread=348594")</f>
        <v>https://vk.com/wall-80149142_348548?reply=348659&amp;thread=348594</v>
      </c>
      <c r="H557" t="s">
        <v>119</v>
      </c>
      <c r="I557" t="s">
        <v>2366</v>
      </c>
      <c r="J557" t="str">
        <f>HYPERLINK("http://vk.com/id5466232")</f>
        <v>http://vk.com/id5466232</v>
      </c>
      <c r="K557">
        <v>470</v>
      </c>
      <c r="L557" t="s">
        <v>151</v>
      </c>
      <c r="N557" t="s">
        <v>122</v>
      </c>
      <c r="O557" t="s">
        <v>1076</v>
      </c>
      <c r="P557" t="str">
        <f>HYPERLINK("http://vk.com/club80149142")</f>
        <v>http://vk.com/club80149142</v>
      </c>
      <c r="Q557">
        <v>59466</v>
      </c>
      <c r="R557" t="s">
        <v>124</v>
      </c>
      <c r="S557" t="s">
        <v>125</v>
      </c>
      <c r="T557" t="s">
        <v>667</v>
      </c>
      <c r="U557" t="s">
        <v>668</v>
      </c>
      <c r="AM557" t="s">
        <v>129</v>
      </c>
      <c r="AN557" t="s">
        <v>130</v>
      </c>
      <c r="AP557" t="s">
        <v>41</v>
      </c>
      <c r="AT557" t="s">
        <v>45</v>
      </c>
      <c r="AZ557" t="s">
        <v>51</v>
      </c>
      <c r="BA557" t="s">
        <v>52</v>
      </c>
      <c r="BO557" t="s">
        <v>66</v>
      </c>
    </row>
    <row r="558" spans="1:67" x14ac:dyDescent="0.2">
      <c r="A558" t="s">
        <v>2274</v>
      </c>
      <c r="B558" t="s">
        <v>2367</v>
      </c>
      <c r="C558" t="s">
        <v>2368</v>
      </c>
      <c r="D558" t="s">
        <v>731</v>
      </c>
      <c r="E558" t="s">
        <v>2369</v>
      </c>
      <c r="F558" t="s">
        <v>118</v>
      </c>
      <c r="G558" t="str">
        <f>HYPERLINK("https://vk.com/wall-61101621_254853?reply=254854")</f>
        <v>https://vk.com/wall-61101621_254853?reply=254854</v>
      </c>
      <c r="H558" t="s">
        <v>119</v>
      </c>
      <c r="I558" t="s">
        <v>2370</v>
      </c>
      <c r="J558" t="str">
        <f>HYPERLINK("http://vk.com/id31181077")</f>
        <v>http://vk.com/id31181077</v>
      </c>
      <c r="K558">
        <v>24</v>
      </c>
      <c r="L558" t="s">
        <v>121</v>
      </c>
      <c r="N558" t="s">
        <v>122</v>
      </c>
      <c r="O558" t="s">
        <v>160</v>
      </c>
      <c r="P558" t="str">
        <f>HYPERLINK("http://vk.com/club61101621")</f>
        <v>http://vk.com/club61101621</v>
      </c>
      <c r="Q558">
        <v>21119</v>
      </c>
      <c r="R558" t="s">
        <v>124</v>
      </c>
      <c r="S558" t="s">
        <v>125</v>
      </c>
      <c r="T558" t="s">
        <v>759</v>
      </c>
      <c r="U558" t="s">
        <v>2371</v>
      </c>
      <c r="W558">
        <v>0</v>
      </c>
      <c r="X558">
        <v>0</v>
      </c>
      <c r="AM558" t="s">
        <v>129</v>
      </c>
      <c r="AN558" t="s">
        <v>130</v>
      </c>
      <c r="AP558" t="s">
        <v>41</v>
      </c>
      <c r="AT558" t="s">
        <v>45</v>
      </c>
      <c r="AZ558" t="s">
        <v>51</v>
      </c>
      <c r="BA558" t="s">
        <v>52</v>
      </c>
    </row>
    <row r="559" spans="1:67" x14ac:dyDescent="0.2">
      <c r="A559" t="s">
        <v>2274</v>
      </c>
      <c r="B559" t="s">
        <v>2372</v>
      </c>
      <c r="C559" t="s">
        <v>2373</v>
      </c>
      <c r="D559" t="s">
        <v>1074</v>
      </c>
      <c r="E559" t="s">
        <v>2374</v>
      </c>
      <c r="F559" t="s">
        <v>118</v>
      </c>
      <c r="G559" t="str">
        <f>HYPERLINK("https://vk.com/wall-80149142_348548?reply=348656&amp;thread=348594")</f>
        <v>https://vk.com/wall-80149142_348548?reply=348656&amp;thread=348594</v>
      </c>
      <c r="H559" t="s">
        <v>228</v>
      </c>
      <c r="I559" t="s">
        <v>2375</v>
      </c>
      <c r="J559" t="str">
        <f>HYPERLINK("http://vk.com/id286872358")</f>
        <v>http://vk.com/id286872358</v>
      </c>
      <c r="K559">
        <v>304</v>
      </c>
      <c r="L559" t="s">
        <v>121</v>
      </c>
      <c r="N559" t="s">
        <v>122</v>
      </c>
      <c r="O559" t="s">
        <v>1076</v>
      </c>
      <c r="P559" t="str">
        <f>HYPERLINK("http://vk.com/club80149142")</f>
        <v>http://vk.com/club80149142</v>
      </c>
      <c r="Q559">
        <v>59466</v>
      </c>
      <c r="R559" t="s">
        <v>124</v>
      </c>
      <c r="S559" t="s">
        <v>125</v>
      </c>
      <c r="T559" t="s">
        <v>667</v>
      </c>
      <c r="U559" t="s">
        <v>668</v>
      </c>
      <c r="AM559" t="s">
        <v>129</v>
      </c>
      <c r="AN559" t="s">
        <v>130</v>
      </c>
      <c r="AP559" t="s">
        <v>41</v>
      </c>
      <c r="AT559" t="s">
        <v>45</v>
      </c>
      <c r="AZ559" t="s">
        <v>51</v>
      </c>
      <c r="BA559" t="s">
        <v>52</v>
      </c>
    </row>
    <row r="560" spans="1:67" x14ac:dyDescent="0.2">
      <c r="A560" t="s">
        <v>2274</v>
      </c>
      <c r="B560" t="s">
        <v>1334</v>
      </c>
      <c r="C560" t="s">
        <v>2368</v>
      </c>
      <c r="D560" t="s">
        <v>1031</v>
      </c>
      <c r="E560" t="s">
        <v>2376</v>
      </c>
      <c r="F560" t="s">
        <v>118</v>
      </c>
      <c r="G560" t="str">
        <f>HYPERLINK("https://vk.com/wall-27863223_292230?reply=292330")</f>
        <v>https://vk.com/wall-27863223_292230?reply=292330</v>
      </c>
      <c r="H560" t="s">
        <v>119</v>
      </c>
      <c r="I560" t="s">
        <v>2377</v>
      </c>
      <c r="J560" t="str">
        <f>HYPERLINK("http://vk.com/id12621817")</f>
        <v>http://vk.com/id12621817</v>
      </c>
      <c r="K560">
        <v>39</v>
      </c>
      <c r="L560" t="s">
        <v>121</v>
      </c>
      <c r="N560" t="s">
        <v>122</v>
      </c>
      <c r="O560" t="s">
        <v>175</v>
      </c>
      <c r="P560" t="str">
        <f>HYPERLINK("http://vk.com/club27863223")</f>
        <v>http://vk.com/club27863223</v>
      </c>
      <c r="Q560">
        <v>134698</v>
      </c>
      <c r="R560" t="s">
        <v>124</v>
      </c>
      <c r="S560" t="s">
        <v>125</v>
      </c>
      <c r="T560" t="s">
        <v>487</v>
      </c>
      <c r="U560" t="s">
        <v>2378</v>
      </c>
      <c r="W560">
        <v>0</v>
      </c>
      <c r="X560">
        <v>0</v>
      </c>
      <c r="AM560" t="s">
        <v>129</v>
      </c>
      <c r="AN560" t="s">
        <v>130</v>
      </c>
      <c r="AO560" t="s">
        <v>40</v>
      </c>
      <c r="AP560" t="s">
        <v>41</v>
      </c>
      <c r="AZ560" t="s">
        <v>51</v>
      </c>
      <c r="BA560" t="s">
        <v>52</v>
      </c>
    </row>
    <row r="561" spans="1:77" x14ac:dyDescent="0.2">
      <c r="A561" t="s">
        <v>2274</v>
      </c>
      <c r="B561" t="s">
        <v>1345</v>
      </c>
      <c r="C561" t="s">
        <v>2379</v>
      </c>
      <c r="D561" t="s">
        <v>1074</v>
      </c>
      <c r="E561" t="s">
        <v>2380</v>
      </c>
      <c r="F561" t="s">
        <v>118</v>
      </c>
      <c r="G561" t="str">
        <f>HYPERLINK("https://vk.com/wall-80149142_348548?reply=348653&amp;thread=348594")</f>
        <v>https://vk.com/wall-80149142_348548?reply=348653&amp;thread=348594</v>
      </c>
      <c r="H561" t="s">
        <v>119</v>
      </c>
      <c r="I561" t="s">
        <v>2366</v>
      </c>
      <c r="J561" t="str">
        <f>HYPERLINK("http://vk.com/id5466232")</f>
        <v>http://vk.com/id5466232</v>
      </c>
      <c r="K561">
        <v>470</v>
      </c>
      <c r="L561" t="s">
        <v>151</v>
      </c>
      <c r="N561" t="s">
        <v>122</v>
      </c>
      <c r="O561" t="s">
        <v>1076</v>
      </c>
      <c r="P561" t="str">
        <f>HYPERLINK("http://vk.com/club80149142")</f>
        <v>http://vk.com/club80149142</v>
      </c>
      <c r="Q561">
        <v>59466</v>
      </c>
      <c r="R561" t="s">
        <v>124</v>
      </c>
      <c r="S561" t="s">
        <v>125</v>
      </c>
      <c r="T561" t="s">
        <v>667</v>
      </c>
      <c r="U561" t="s">
        <v>668</v>
      </c>
      <c r="AM561" t="s">
        <v>129</v>
      </c>
      <c r="AN561" t="s">
        <v>130</v>
      </c>
      <c r="AP561" t="s">
        <v>41</v>
      </c>
      <c r="AU561" t="s">
        <v>46</v>
      </c>
      <c r="AZ561" t="s">
        <v>51</v>
      </c>
      <c r="BB561" t="s">
        <v>53</v>
      </c>
      <c r="BM561" t="s">
        <v>64</v>
      </c>
    </row>
    <row r="562" spans="1:77" x14ac:dyDescent="0.2">
      <c r="A562" t="s">
        <v>2274</v>
      </c>
      <c r="B562" t="s">
        <v>819</v>
      </c>
      <c r="C562" t="s">
        <v>2381</v>
      </c>
      <c r="D562" t="s">
        <v>2288</v>
      </c>
      <c r="E562" t="s">
        <v>2382</v>
      </c>
      <c r="F562" t="s">
        <v>118</v>
      </c>
      <c r="G562" t="str">
        <f>HYPERLINK("https://vk.com/wall-17049131_18018?reply=18087&amp;thread=18019")</f>
        <v>https://vk.com/wall-17049131_18018?reply=18087&amp;thread=18019</v>
      </c>
      <c r="H562" t="s">
        <v>119</v>
      </c>
      <c r="I562" t="s">
        <v>2383</v>
      </c>
      <c r="J562" t="str">
        <f>HYPERLINK("http://vk.com/id316680985")</f>
        <v>http://vk.com/id316680985</v>
      </c>
      <c r="K562">
        <v>100</v>
      </c>
      <c r="L562" t="s">
        <v>151</v>
      </c>
      <c r="N562" t="s">
        <v>122</v>
      </c>
      <c r="O562" t="s">
        <v>2291</v>
      </c>
      <c r="P562" t="str">
        <f>HYPERLINK("http://vk.com/club17049131")</f>
        <v>http://vk.com/club17049131</v>
      </c>
      <c r="Q562">
        <v>1746</v>
      </c>
      <c r="R562" t="s">
        <v>124</v>
      </c>
      <c r="S562" t="s">
        <v>125</v>
      </c>
      <c r="AM562" t="s">
        <v>129</v>
      </c>
      <c r="AN562" t="s">
        <v>130</v>
      </c>
      <c r="AP562" t="s">
        <v>41</v>
      </c>
      <c r="AU562" t="s">
        <v>46</v>
      </c>
      <c r="AZ562" t="s">
        <v>51</v>
      </c>
      <c r="BA562" t="s">
        <v>52</v>
      </c>
    </row>
    <row r="563" spans="1:77" x14ac:dyDescent="0.2">
      <c r="A563" t="s">
        <v>2274</v>
      </c>
      <c r="B563" t="s">
        <v>2384</v>
      </c>
      <c r="C563" t="s">
        <v>2385</v>
      </c>
      <c r="D563" t="s">
        <v>2215</v>
      </c>
      <c r="E563" t="s">
        <v>2386</v>
      </c>
      <c r="F563" t="s">
        <v>118</v>
      </c>
      <c r="G563" t="str">
        <f>HYPERLINK("https://vk.com/wall-27863223_292151?w=wall-27863223_292151_r292328")</f>
        <v>https://vk.com/wall-27863223_292151?w=wall-27863223_292151_r292328</v>
      </c>
      <c r="H563" t="s">
        <v>228</v>
      </c>
      <c r="I563" t="s">
        <v>2387</v>
      </c>
      <c r="J563" t="str">
        <f>HYPERLINK("http://vk.com/id30477318")</f>
        <v>http://vk.com/id30477318</v>
      </c>
      <c r="K563">
        <v>182</v>
      </c>
      <c r="L563" t="s">
        <v>151</v>
      </c>
      <c r="N563" t="s">
        <v>122</v>
      </c>
      <c r="O563" t="s">
        <v>175</v>
      </c>
      <c r="P563" t="str">
        <f>HYPERLINK("http://vk.com/club27863223")</f>
        <v>http://vk.com/club27863223</v>
      </c>
      <c r="Q563">
        <v>134698</v>
      </c>
      <c r="R563" t="s">
        <v>124</v>
      </c>
      <c r="S563" t="s">
        <v>125</v>
      </c>
      <c r="T563" t="s">
        <v>2388</v>
      </c>
      <c r="U563" t="s">
        <v>2389</v>
      </c>
      <c r="W563">
        <v>0</v>
      </c>
      <c r="X563">
        <v>0</v>
      </c>
      <c r="AM563" t="s">
        <v>129</v>
      </c>
      <c r="AN563" t="s">
        <v>130</v>
      </c>
      <c r="AP563" t="s">
        <v>41</v>
      </c>
      <c r="AU563" t="s">
        <v>46</v>
      </c>
      <c r="AZ563" t="s">
        <v>51</v>
      </c>
      <c r="BA563" t="s">
        <v>52</v>
      </c>
    </row>
    <row r="564" spans="1:77" x14ac:dyDescent="0.2">
      <c r="A564" t="s">
        <v>2274</v>
      </c>
      <c r="B564" t="s">
        <v>2390</v>
      </c>
      <c r="C564" t="s">
        <v>2391</v>
      </c>
      <c r="D564" t="s">
        <v>2392</v>
      </c>
      <c r="E564" t="s">
        <v>2393</v>
      </c>
      <c r="F564" t="s">
        <v>118</v>
      </c>
      <c r="G564" t="str">
        <f>HYPERLINK("https://www.youtube.com/watch?v=xaS9oAcoiHs&amp;lc=UgwCPYeKOCUYV0bReUJ4AaABAg")</f>
        <v>https://www.youtube.com/watch?v=xaS9oAcoiHs&amp;lc=UgwCPYeKOCUYV0bReUJ4AaABAg</v>
      </c>
      <c r="H564" t="s">
        <v>119</v>
      </c>
      <c r="I564" t="s">
        <v>2394</v>
      </c>
      <c r="J564" t="str">
        <f>HYPERLINK("https://www.youtube.com/channel/UCkKPjpRFrebBpKyiiUWZ8Iw")</f>
        <v>https://www.youtube.com/channel/UCkKPjpRFrebBpKyiiUWZ8Iw</v>
      </c>
      <c r="K564">
        <v>188</v>
      </c>
      <c r="N564" t="s">
        <v>248</v>
      </c>
      <c r="O564" t="s">
        <v>680</v>
      </c>
      <c r="P564" t="str">
        <f>HYPERLINK("https://www.youtube.com/channel/UCxnmhtdsil-s_rGuwunyZSA")</f>
        <v>https://www.youtube.com/channel/UCxnmhtdsil-s_rGuwunyZSA</v>
      </c>
      <c r="Q564">
        <v>124000</v>
      </c>
      <c r="R564" t="s">
        <v>124</v>
      </c>
      <c r="S564" t="s">
        <v>125</v>
      </c>
      <c r="W564">
        <v>0</v>
      </c>
      <c r="X564">
        <v>0</v>
      </c>
      <c r="AE564">
        <v>0</v>
      </c>
      <c r="AM564" t="s">
        <v>129</v>
      </c>
      <c r="AN564" t="s">
        <v>130</v>
      </c>
      <c r="AP564" t="s">
        <v>41</v>
      </c>
      <c r="AU564" t="s">
        <v>46</v>
      </c>
      <c r="AW564" t="s">
        <v>48</v>
      </c>
      <c r="AZ564" t="s">
        <v>51</v>
      </c>
    </row>
    <row r="565" spans="1:77" x14ac:dyDescent="0.2">
      <c r="A565" t="s">
        <v>2274</v>
      </c>
      <c r="B565" t="s">
        <v>2390</v>
      </c>
      <c r="C565" t="s">
        <v>2385</v>
      </c>
      <c r="D565" t="s">
        <v>2215</v>
      </c>
      <c r="E565" t="s">
        <v>2395</v>
      </c>
      <c r="F565" t="s">
        <v>118</v>
      </c>
      <c r="G565" t="str">
        <f>HYPERLINK("https://vk.com/wall-27863223_292151?w=wall-27863223_292151_r292326")</f>
        <v>https://vk.com/wall-27863223_292151?w=wall-27863223_292151_r292326</v>
      </c>
      <c r="H565" t="s">
        <v>119</v>
      </c>
      <c r="I565" t="s">
        <v>2387</v>
      </c>
      <c r="J565" t="str">
        <f>HYPERLINK("http://vk.com/id30477318")</f>
        <v>http://vk.com/id30477318</v>
      </c>
      <c r="K565">
        <v>182</v>
      </c>
      <c r="L565" t="s">
        <v>151</v>
      </c>
      <c r="N565" t="s">
        <v>122</v>
      </c>
      <c r="O565" t="s">
        <v>175</v>
      </c>
      <c r="P565" t="str">
        <f>HYPERLINK("http://vk.com/club27863223")</f>
        <v>http://vk.com/club27863223</v>
      </c>
      <c r="Q565">
        <v>134698</v>
      </c>
      <c r="R565" t="s">
        <v>124</v>
      </c>
      <c r="S565" t="s">
        <v>125</v>
      </c>
      <c r="T565" t="s">
        <v>2388</v>
      </c>
      <c r="U565" t="s">
        <v>2389</v>
      </c>
      <c r="W565">
        <v>0</v>
      </c>
      <c r="X565">
        <v>0</v>
      </c>
      <c r="AM565" t="s">
        <v>129</v>
      </c>
      <c r="AN565" t="s">
        <v>130</v>
      </c>
      <c r="AP565" t="s">
        <v>41</v>
      </c>
      <c r="AU565" t="s">
        <v>46</v>
      </c>
      <c r="AY565" t="s">
        <v>50</v>
      </c>
      <c r="AZ565" t="s">
        <v>51</v>
      </c>
      <c r="BA565" t="s">
        <v>52</v>
      </c>
    </row>
    <row r="566" spans="1:77" x14ac:dyDescent="0.2">
      <c r="A566" t="s">
        <v>2274</v>
      </c>
      <c r="B566" t="s">
        <v>2396</v>
      </c>
      <c r="C566" t="s">
        <v>2397</v>
      </c>
      <c r="D566" t="s">
        <v>2215</v>
      </c>
      <c r="E566" t="s">
        <v>2398</v>
      </c>
      <c r="F566" t="s">
        <v>118</v>
      </c>
      <c r="G566" t="str">
        <f>HYPERLINK("https://vk.com/wall-27863223_292151?reply=292324")</f>
        <v>https://vk.com/wall-27863223_292151?reply=292324</v>
      </c>
      <c r="H566" t="s">
        <v>228</v>
      </c>
      <c r="I566" t="s">
        <v>2387</v>
      </c>
      <c r="J566" t="str">
        <f>HYPERLINK("http://vk.com/id30477318")</f>
        <v>http://vk.com/id30477318</v>
      </c>
      <c r="K566">
        <v>182</v>
      </c>
      <c r="L566" t="s">
        <v>151</v>
      </c>
      <c r="N566" t="s">
        <v>122</v>
      </c>
      <c r="O566" t="s">
        <v>175</v>
      </c>
      <c r="P566" t="str">
        <f>HYPERLINK("http://vk.com/club27863223")</f>
        <v>http://vk.com/club27863223</v>
      </c>
      <c r="Q566">
        <v>134698</v>
      </c>
      <c r="R566" t="s">
        <v>124</v>
      </c>
      <c r="S566" t="s">
        <v>125</v>
      </c>
      <c r="T566" t="s">
        <v>2388</v>
      </c>
      <c r="U566" t="s">
        <v>2389</v>
      </c>
      <c r="W566">
        <v>0</v>
      </c>
      <c r="X566">
        <v>0</v>
      </c>
      <c r="AM566" t="s">
        <v>129</v>
      </c>
      <c r="AN566" t="s">
        <v>130</v>
      </c>
      <c r="AP566" t="s">
        <v>41</v>
      </c>
      <c r="AU566" t="s">
        <v>46</v>
      </c>
      <c r="AZ566" t="s">
        <v>51</v>
      </c>
      <c r="BA566" t="s">
        <v>52</v>
      </c>
    </row>
    <row r="567" spans="1:77" x14ac:dyDescent="0.2">
      <c r="A567" t="s">
        <v>2274</v>
      </c>
      <c r="B567" t="s">
        <v>2399</v>
      </c>
      <c r="C567" t="s">
        <v>2400</v>
      </c>
      <c r="D567" t="s">
        <v>175</v>
      </c>
      <c r="E567" t="s">
        <v>2401</v>
      </c>
      <c r="F567" t="s">
        <v>180</v>
      </c>
      <c r="G567" t="str">
        <f>HYPERLINK("https://yandex.ru/maps/org/1780446054#Nwa6-fXEcoQ26zwGHaT_DR6jGixeTFEf")</f>
        <v>https://yandex.ru/maps/org/1780446054#Nwa6-fXEcoQ26zwGHaT_DR6jGixeTFEf</v>
      </c>
      <c r="H567" t="s">
        <v>181</v>
      </c>
      <c r="I567" t="s">
        <v>2402</v>
      </c>
      <c r="J567" t="str">
        <f>HYPERLINK("https://yandex.ru/user/y0tzq1fvdf7ynezvfec3y8tm68")</f>
        <v>https://yandex.ru/user/y0tzq1fvdf7ynezvfec3y8tm68</v>
      </c>
      <c r="L567" t="s">
        <v>121</v>
      </c>
      <c r="N567" t="s">
        <v>236</v>
      </c>
      <c r="O567" t="s">
        <v>175</v>
      </c>
      <c r="P567" t="str">
        <f>HYPERLINK("https://yandex.ru/maps/org/1780446054")</f>
        <v>https://yandex.ru/maps/org/1780446054</v>
      </c>
      <c r="R567" t="s">
        <v>184</v>
      </c>
      <c r="S567" t="s">
        <v>125</v>
      </c>
      <c r="T567" t="s">
        <v>627</v>
      </c>
      <c r="U567" t="s">
        <v>634</v>
      </c>
      <c r="W567">
        <v>0</v>
      </c>
      <c r="X567">
        <v>0</v>
      </c>
      <c r="AH567">
        <v>5</v>
      </c>
      <c r="AM567" t="s">
        <v>129</v>
      </c>
      <c r="AN567" t="s">
        <v>130</v>
      </c>
      <c r="AP567" t="s">
        <v>41</v>
      </c>
      <c r="AT567" t="s">
        <v>45</v>
      </c>
      <c r="AX567" t="s">
        <v>49</v>
      </c>
      <c r="AY567" t="s">
        <v>50</v>
      </c>
      <c r="AZ567" t="s">
        <v>51</v>
      </c>
      <c r="BD567" t="s">
        <v>55</v>
      </c>
    </row>
    <row r="568" spans="1:77" x14ac:dyDescent="0.2">
      <c r="A568" t="s">
        <v>2274</v>
      </c>
      <c r="B568" t="s">
        <v>2403</v>
      </c>
      <c r="C568" t="s">
        <v>2404</v>
      </c>
      <c r="D568" t="s">
        <v>2215</v>
      </c>
      <c r="E568" t="s">
        <v>2405</v>
      </c>
      <c r="F568" t="s">
        <v>118</v>
      </c>
      <c r="G568" t="str">
        <f>HYPERLINK("https://vk.com/wall-27863223_292151?reply=292323&amp;thread=292158")</f>
        <v>https://vk.com/wall-27863223_292151?reply=292323&amp;thread=292158</v>
      </c>
      <c r="H568" t="s">
        <v>228</v>
      </c>
      <c r="I568" t="s">
        <v>1111</v>
      </c>
      <c r="J568" t="str">
        <f>HYPERLINK("http://vk.com/id575539922")</f>
        <v>http://vk.com/id575539922</v>
      </c>
      <c r="K568">
        <v>12</v>
      </c>
      <c r="L568" t="s">
        <v>121</v>
      </c>
      <c r="M568">
        <v>54</v>
      </c>
      <c r="N568" t="s">
        <v>122</v>
      </c>
      <c r="O568" t="s">
        <v>175</v>
      </c>
      <c r="P568" t="str">
        <f>HYPERLINK("http://vk.com/club27863223")</f>
        <v>http://vk.com/club27863223</v>
      </c>
      <c r="Q568">
        <v>134698</v>
      </c>
      <c r="R568" t="s">
        <v>124</v>
      </c>
      <c r="S568" t="s">
        <v>125</v>
      </c>
      <c r="T568" t="s">
        <v>627</v>
      </c>
      <c r="U568" t="s">
        <v>1112</v>
      </c>
      <c r="AM568" t="s">
        <v>129</v>
      </c>
      <c r="AN568" t="s">
        <v>130</v>
      </c>
      <c r="AP568" t="s">
        <v>41</v>
      </c>
      <c r="AU568" t="s">
        <v>46</v>
      </c>
      <c r="AZ568" t="s">
        <v>51</v>
      </c>
      <c r="BA568" t="s">
        <v>52</v>
      </c>
    </row>
    <row r="569" spans="1:77" x14ac:dyDescent="0.2">
      <c r="A569" t="s">
        <v>2274</v>
      </c>
      <c r="B569" t="s">
        <v>2406</v>
      </c>
      <c r="C569" t="s">
        <v>2407</v>
      </c>
      <c r="D569" t="s">
        <v>2408</v>
      </c>
      <c r="E569" t="s">
        <v>2409</v>
      </c>
      <c r="F569" t="s">
        <v>118</v>
      </c>
      <c r="G569" t="str">
        <f>HYPERLINK("https://vk.com/wall-64198898_116668?reply=116750&amp;thread=116734")</f>
        <v>https://vk.com/wall-64198898_116668?reply=116750&amp;thread=116734</v>
      </c>
      <c r="H569" t="s">
        <v>119</v>
      </c>
      <c r="I569" t="s">
        <v>2410</v>
      </c>
      <c r="J569" t="str">
        <f>HYPERLINK("http://vk.com/id523044838")</f>
        <v>http://vk.com/id523044838</v>
      </c>
      <c r="K569">
        <v>209</v>
      </c>
      <c r="L569" t="s">
        <v>121</v>
      </c>
      <c r="M569">
        <v>16</v>
      </c>
      <c r="N569" t="s">
        <v>122</v>
      </c>
      <c r="O569" t="s">
        <v>2411</v>
      </c>
      <c r="P569" t="str">
        <f>HYPERLINK("http://vk.com/club64198898")</f>
        <v>http://vk.com/club64198898</v>
      </c>
      <c r="Q569">
        <v>21232</v>
      </c>
      <c r="R569" t="s">
        <v>124</v>
      </c>
      <c r="S569" t="s">
        <v>125</v>
      </c>
      <c r="T569" t="s">
        <v>169</v>
      </c>
      <c r="U569" t="s">
        <v>169</v>
      </c>
      <c r="AM569" t="s">
        <v>129</v>
      </c>
      <c r="AN569" t="s">
        <v>130</v>
      </c>
      <c r="AP569" t="s">
        <v>41</v>
      </c>
      <c r="AU569" t="s">
        <v>46</v>
      </c>
      <c r="AZ569" t="s">
        <v>51</v>
      </c>
      <c r="BA569" t="s">
        <v>52</v>
      </c>
    </row>
    <row r="570" spans="1:77" x14ac:dyDescent="0.2">
      <c r="A570" t="s">
        <v>2274</v>
      </c>
      <c r="B570" t="s">
        <v>281</v>
      </c>
      <c r="C570" t="s">
        <v>2412</v>
      </c>
      <c r="D570" t="s">
        <v>129</v>
      </c>
      <c r="E570" t="s">
        <v>2413</v>
      </c>
      <c r="F570" t="s">
        <v>180</v>
      </c>
      <c r="G570" t="str">
        <f>HYPERLINK("https://twitter.com/360582757/status/1420060908613738496")</f>
        <v>https://twitter.com/360582757/status/1420060908613738496</v>
      </c>
      <c r="H570" t="s">
        <v>119</v>
      </c>
      <c r="I570" t="s">
        <v>175</v>
      </c>
      <c r="J570" t="str">
        <f>HYPERLINK("http://twitter.com/tricolortv")</f>
        <v>http://twitter.com/tricolortv</v>
      </c>
      <c r="K570">
        <v>5663</v>
      </c>
      <c r="N570" t="s">
        <v>350</v>
      </c>
      <c r="R570" t="s">
        <v>124</v>
      </c>
      <c r="S570" t="s">
        <v>125</v>
      </c>
      <c r="T570" t="s">
        <v>137</v>
      </c>
      <c r="U570" t="s">
        <v>137</v>
      </c>
      <c r="W570">
        <v>1</v>
      </c>
      <c r="X570">
        <v>1</v>
      </c>
      <c r="AE570">
        <v>0</v>
      </c>
      <c r="AF570">
        <v>0</v>
      </c>
      <c r="AJ570" t="s">
        <v>2414</v>
      </c>
      <c r="AK570" t="s">
        <v>129</v>
      </c>
      <c r="AL570" t="str">
        <f>HYPERLINK("https://pbs.twimg.com/ext_tw_video_thumb/1420060516958064644/pu/img/KkkspSxG62ybcrMY.jpg")</f>
        <v>https://pbs.twimg.com/ext_tw_video_thumb/1420060516958064644/pu/img/KkkspSxG62ybcrMY.jpg</v>
      </c>
      <c r="AM570" t="s">
        <v>129</v>
      </c>
      <c r="AN570" t="s">
        <v>130</v>
      </c>
      <c r="BI570" t="s">
        <v>60</v>
      </c>
    </row>
    <row r="571" spans="1:77" x14ac:dyDescent="0.2">
      <c r="A571" t="s">
        <v>2274</v>
      </c>
      <c r="B571" t="s">
        <v>281</v>
      </c>
      <c r="C571" t="s">
        <v>2415</v>
      </c>
      <c r="D571" t="s">
        <v>129</v>
      </c>
      <c r="E571" t="s">
        <v>2416</v>
      </c>
      <c r="F571" t="s">
        <v>180</v>
      </c>
      <c r="G571" t="str">
        <f>HYPERLINK("https://vk.com/wall-42402221_236172")</f>
        <v>https://vk.com/wall-42402221_236172</v>
      </c>
      <c r="H571" t="s">
        <v>119</v>
      </c>
      <c r="I571" t="s">
        <v>1264</v>
      </c>
      <c r="J571" t="str">
        <f>HYPERLINK("http://vk.com/club42402221")</f>
        <v>http://vk.com/club42402221</v>
      </c>
      <c r="K571">
        <v>546</v>
      </c>
      <c r="L571" t="s">
        <v>340</v>
      </c>
      <c r="N571" t="s">
        <v>122</v>
      </c>
      <c r="O571" t="s">
        <v>1264</v>
      </c>
      <c r="P571" t="str">
        <f>HYPERLINK("http://vk.com/club42402221")</f>
        <v>http://vk.com/club42402221</v>
      </c>
      <c r="Q571">
        <v>546</v>
      </c>
      <c r="R571" t="s">
        <v>124</v>
      </c>
      <c r="W571">
        <v>0</v>
      </c>
      <c r="X571">
        <v>0</v>
      </c>
      <c r="AE571">
        <v>0</v>
      </c>
      <c r="AF571">
        <v>0</v>
      </c>
      <c r="AG571">
        <v>6</v>
      </c>
      <c r="AM571" t="s">
        <v>129</v>
      </c>
      <c r="AN571" t="s">
        <v>130</v>
      </c>
      <c r="AP571" t="s">
        <v>41</v>
      </c>
      <c r="AZ571" t="s">
        <v>51</v>
      </c>
      <c r="BA571" t="s">
        <v>52</v>
      </c>
      <c r="BO571" t="s">
        <v>66</v>
      </c>
    </row>
    <row r="572" spans="1:77" x14ac:dyDescent="0.2">
      <c r="A572" t="s">
        <v>2274</v>
      </c>
      <c r="B572" t="s">
        <v>2417</v>
      </c>
      <c r="C572" t="s">
        <v>2418</v>
      </c>
      <c r="D572" t="s">
        <v>2419</v>
      </c>
      <c r="E572" t="s">
        <v>2420</v>
      </c>
      <c r="F572" t="s">
        <v>118</v>
      </c>
      <c r="G572" t="str">
        <f>HYPERLINK("https://www.youtube.com/watch?v=5PbYd8C-tko&amp;lc=UgwN3eB4P9YvcRnIZcB4AaABAg.9QJ-KS8e-hD9QJ6Ph3gNVO")</f>
        <v>https://www.youtube.com/watch?v=5PbYd8C-tko&amp;lc=UgwN3eB4P9YvcRnIZcB4AaABAg.9QJ-KS8e-hD9QJ6Ph3gNVO</v>
      </c>
      <c r="H572" t="s">
        <v>119</v>
      </c>
      <c r="I572" t="s">
        <v>2394</v>
      </c>
      <c r="J572" t="str">
        <f>HYPERLINK("https://www.youtube.com/channel/UCkKPjpRFrebBpKyiiUWZ8Iw")</f>
        <v>https://www.youtube.com/channel/UCkKPjpRFrebBpKyiiUWZ8Iw</v>
      </c>
      <c r="K572">
        <v>188</v>
      </c>
      <c r="N572" t="s">
        <v>248</v>
      </c>
      <c r="O572" t="s">
        <v>2421</v>
      </c>
      <c r="P572" t="str">
        <f>HYPERLINK("https://www.youtube.com/channel/UCDRt644UxhogZ1XJG0PjKPg")</f>
        <v>https://www.youtube.com/channel/UCDRt644UxhogZ1XJG0PjKPg</v>
      </c>
      <c r="Q572">
        <v>2360</v>
      </c>
      <c r="R572" t="s">
        <v>124</v>
      </c>
      <c r="S572" t="s">
        <v>125</v>
      </c>
      <c r="W572">
        <v>0</v>
      </c>
      <c r="X572">
        <v>0</v>
      </c>
      <c r="AM572" t="s">
        <v>129</v>
      </c>
      <c r="AN572" t="s">
        <v>130</v>
      </c>
      <c r="AP572" t="s">
        <v>41</v>
      </c>
      <c r="AU572" t="s">
        <v>46</v>
      </c>
      <c r="AW572" t="s">
        <v>48</v>
      </c>
      <c r="AZ572" t="s">
        <v>51</v>
      </c>
      <c r="BA572" t="s">
        <v>52</v>
      </c>
    </row>
    <row r="573" spans="1:77" x14ac:dyDescent="0.2">
      <c r="A573" t="s">
        <v>2274</v>
      </c>
      <c r="B573" t="s">
        <v>2417</v>
      </c>
      <c r="C573" t="s">
        <v>2422</v>
      </c>
      <c r="D573" t="s">
        <v>1829</v>
      </c>
      <c r="E573" t="s">
        <v>2423</v>
      </c>
      <c r="F573" t="s">
        <v>180</v>
      </c>
      <c r="G573" t="str">
        <f>HYPERLINK("https://ok.ru/group/51085510115462/topic/153494848382342")</f>
        <v>https://ok.ru/group/51085510115462/topic/153494848382342</v>
      </c>
      <c r="H573" t="s">
        <v>119</v>
      </c>
      <c r="I573" t="s">
        <v>175</v>
      </c>
      <c r="J573" t="str">
        <f>HYPERLINK("https://ok.ru/group/51085510115462")</f>
        <v>https://ok.ru/group/51085510115462</v>
      </c>
      <c r="K573">
        <v>94768</v>
      </c>
      <c r="L573" t="s">
        <v>340</v>
      </c>
      <c r="N573" t="s">
        <v>347</v>
      </c>
      <c r="O573" t="s">
        <v>175</v>
      </c>
      <c r="P573" t="str">
        <f>HYPERLINK("https://ok.ru/group/51085510115462")</f>
        <v>https://ok.ru/group/51085510115462</v>
      </c>
      <c r="Q573">
        <v>94768</v>
      </c>
      <c r="R573" t="s">
        <v>124</v>
      </c>
      <c r="W573">
        <v>30</v>
      </c>
      <c r="X573">
        <v>30</v>
      </c>
      <c r="Y573">
        <v>0</v>
      </c>
      <c r="Z573">
        <v>0</v>
      </c>
      <c r="AA573">
        <v>0</v>
      </c>
      <c r="AB573">
        <v>0</v>
      </c>
      <c r="AE573">
        <v>0</v>
      </c>
      <c r="AF573">
        <v>0</v>
      </c>
      <c r="AJ573" t="s">
        <v>2424</v>
      </c>
      <c r="AK573" t="s">
        <v>2425</v>
      </c>
      <c r="AL573" t="str">
        <f>HYPERLINK("https://i.mycdn.me/image?id=913710689820&amp;t=50&amp;plc=WEB&amp;tkn=*EYVPMUPy5X4JDzwCm0BuyoYeuUI")</f>
        <v>https://i.mycdn.me/image?id=913710689820&amp;t=50&amp;plc=WEB&amp;tkn=*EYVPMUPy5X4JDzwCm0BuyoYeuUI</v>
      </c>
      <c r="AM573" t="s">
        <v>129</v>
      </c>
      <c r="AN573" t="s">
        <v>130</v>
      </c>
      <c r="BI573" t="s">
        <v>60</v>
      </c>
    </row>
    <row r="574" spans="1:77" x14ac:dyDescent="0.2">
      <c r="A574" t="s">
        <v>2274</v>
      </c>
      <c r="B574" t="s">
        <v>2417</v>
      </c>
      <c r="C574" t="s">
        <v>2426</v>
      </c>
      <c r="D574" t="s">
        <v>129</v>
      </c>
      <c r="E574" t="s">
        <v>2427</v>
      </c>
      <c r="F574" t="s">
        <v>180</v>
      </c>
      <c r="G574" t="str">
        <f>HYPERLINK("https://www.facebook.com/tricolortv/posts/4122481044472801")</f>
        <v>https://www.facebook.com/tricolortv/posts/4122481044472801</v>
      </c>
      <c r="H574" t="s">
        <v>119</v>
      </c>
      <c r="I574" t="s">
        <v>175</v>
      </c>
      <c r="J574" t="str">
        <f>HYPERLINK("https://www.facebook.com/206198386101106")</f>
        <v>https://www.facebook.com/206198386101106</v>
      </c>
      <c r="K574">
        <v>16432</v>
      </c>
      <c r="L574" t="s">
        <v>340</v>
      </c>
      <c r="N574" t="s">
        <v>305</v>
      </c>
      <c r="O574" t="s">
        <v>175</v>
      </c>
      <c r="P574" t="str">
        <f>HYPERLINK("https://www.facebook.com/206198386101106")</f>
        <v>https://www.facebook.com/206198386101106</v>
      </c>
      <c r="Q574">
        <v>16432</v>
      </c>
      <c r="R574" t="s">
        <v>124</v>
      </c>
      <c r="W574">
        <v>8</v>
      </c>
      <c r="X574">
        <v>8</v>
      </c>
      <c r="Y574">
        <v>0</v>
      </c>
      <c r="Z574">
        <v>0</v>
      </c>
      <c r="AA574">
        <v>0</v>
      </c>
      <c r="AB574">
        <v>0</v>
      </c>
      <c r="AC574">
        <v>0</v>
      </c>
      <c r="AE574">
        <v>0</v>
      </c>
      <c r="AF574">
        <v>0</v>
      </c>
      <c r="AJ574" t="s">
        <v>2424</v>
      </c>
      <c r="AK574" t="s">
        <v>2425</v>
      </c>
      <c r="AL574" t="s">
        <v>2428</v>
      </c>
      <c r="AM574" t="s">
        <v>129</v>
      </c>
      <c r="AN574" t="s">
        <v>130</v>
      </c>
      <c r="BI574" t="s">
        <v>60</v>
      </c>
    </row>
    <row r="575" spans="1:77" x14ac:dyDescent="0.2">
      <c r="A575" t="s">
        <v>2274</v>
      </c>
      <c r="B575" t="s">
        <v>2429</v>
      </c>
      <c r="C575" t="s">
        <v>2418</v>
      </c>
      <c r="D575" t="s">
        <v>2419</v>
      </c>
      <c r="E575" t="s">
        <v>2430</v>
      </c>
      <c r="F575" t="s">
        <v>118</v>
      </c>
      <c r="G575" t="str">
        <f>HYPERLINK("https://www.youtube.com/watch?v=5PbYd8C-tko&amp;lc=UgwN3eB4P9YvcRnIZcB4AaABAg.9QJ-KS8e-hD9QJ68WIColj")</f>
        <v>https://www.youtube.com/watch?v=5PbYd8C-tko&amp;lc=UgwN3eB4P9YvcRnIZcB4AaABAg.9QJ-KS8e-hD9QJ68WIColj</v>
      </c>
      <c r="H575" t="s">
        <v>119</v>
      </c>
      <c r="I575" t="s">
        <v>2394</v>
      </c>
      <c r="J575" t="str">
        <f>HYPERLINK("https://www.youtube.com/channel/UCkKPjpRFrebBpKyiiUWZ8Iw")</f>
        <v>https://www.youtube.com/channel/UCkKPjpRFrebBpKyiiUWZ8Iw</v>
      </c>
      <c r="K575">
        <v>188</v>
      </c>
      <c r="N575" t="s">
        <v>248</v>
      </c>
      <c r="O575" t="s">
        <v>2421</v>
      </c>
      <c r="P575" t="str">
        <f>HYPERLINK("https://www.youtube.com/channel/UCDRt644UxhogZ1XJG0PjKPg")</f>
        <v>https://www.youtube.com/channel/UCDRt644UxhogZ1XJG0PjKPg</v>
      </c>
      <c r="Q575">
        <v>2360</v>
      </c>
      <c r="R575" t="s">
        <v>124</v>
      </c>
      <c r="S575" t="s">
        <v>125</v>
      </c>
      <c r="W575">
        <v>0</v>
      </c>
      <c r="X575">
        <v>0</v>
      </c>
      <c r="AM575" t="s">
        <v>129</v>
      </c>
      <c r="AN575" t="s">
        <v>130</v>
      </c>
      <c r="AP575" t="s">
        <v>41</v>
      </c>
      <c r="AU575" t="s">
        <v>46</v>
      </c>
      <c r="AZ575" t="s">
        <v>51</v>
      </c>
      <c r="BA575" t="s">
        <v>52</v>
      </c>
      <c r="BY575" t="s">
        <v>76</v>
      </c>
    </row>
    <row r="576" spans="1:77" x14ac:dyDescent="0.2">
      <c r="A576" t="s">
        <v>2274</v>
      </c>
      <c r="B576" t="s">
        <v>2431</v>
      </c>
      <c r="C576" t="s">
        <v>2432</v>
      </c>
      <c r="D576" t="s">
        <v>1031</v>
      </c>
      <c r="E576" t="s">
        <v>2116</v>
      </c>
      <c r="F576" t="s">
        <v>118</v>
      </c>
      <c r="G576" t="str">
        <f>HYPERLINK("https://vk.com/wall-27863223_292230?reply=292320")</f>
        <v>https://vk.com/wall-27863223_292230?reply=292320</v>
      </c>
      <c r="H576" t="s">
        <v>119</v>
      </c>
      <c r="I576" t="s">
        <v>241</v>
      </c>
      <c r="J576" t="str">
        <f>HYPERLINK("http://vk.com/id305429506")</f>
        <v>http://vk.com/id305429506</v>
      </c>
      <c r="K576">
        <v>211</v>
      </c>
      <c r="L576" t="s">
        <v>121</v>
      </c>
      <c r="N576" t="s">
        <v>122</v>
      </c>
      <c r="O576" t="s">
        <v>175</v>
      </c>
      <c r="P576" t="str">
        <f>HYPERLINK("http://vk.com/club27863223")</f>
        <v>http://vk.com/club27863223</v>
      </c>
      <c r="Q576">
        <v>134698</v>
      </c>
      <c r="R576" t="s">
        <v>124</v>
      </c>
      <c r="S576" t="s">
        <v>125</v>
      </c>
      <c r="T576" t="s">
        <v>212</v>
      </c>
      <c r="U576" t="s">
        <v>242</v>
      </c>
      <c r="W576">
        <v>0</v>
      </c>
      <c r="X576">
        <v>0</v>
      </c>
      <c r="AM576" t="s">
        <v>129</v>
      </c>
      <c r="AN576" t="s">
        <v>130</v>
      </c>
      <c r="AO576" t="s">
        <v>40</v>
      </c>
      <c r="AP576" t="s">
        <v>41</v>
      </c>
      <c r="AZ576" t="s">
        <v>51</v>
      </c>
      <c r="BA576" t="s">
        <v>52</v>
      </c>
    </row>
    <row r="577" spans="1:77" x14ac:dyDescent="0.2">
      <c r="A577" t="s">
        <v>2274</v>
      </c>
      <c r="B577" t="s">
        <v>2433</v>
      </c>
      <c r="C577" t="s">
        <v>2434</v>
      </c>
      <c r="D577" t="s">
        <v>2215</v>
      </c>
      <c r="E577" t="s">
        <v>2435</v>
      </c>
      <c r="F577" t="s">
        <v>118</v>
      </c>
      <c r="G577" t="str">
        <f>HYPERLINK("https://vk.com/wall-27863223_292151?reply=292319&amp;thread=292158")</f>
        <v>https://vk.com/wall-27863223_292151?reply=292319&amp;thread=292158</v>
      </c>
      <c r="H577" t="s">
        <v>119</v>
      </c>
      <c r="I577" t="s">
        <v>2436</v>
      </c>
      <c r="J577" t="str">
        <f>HYPERLINK("http://vk.com/id8629942")</f>
        <v>http://vk.com/id8629942</v>
      </c>
      <c r="K577">
        <v>627</v>
      </c>
      <c r="L577" t="s">
        <v>121</v>
      </c>
      <c r="N577" t="s">
        <v>122</v>
      </c>
      <c r="O577" t="s">
        <v>175</v>
      </c>
      <c r="P577" t="str">
        <f>HYPERLINK("http://vk.com/club27863223")</f>
        <v>http://vk.com/club27863223</v>
      </c>
      <c r="Q577">
        <v>134698</v>
      </c>
      <c r="R577" t="s">
        <v>124</v>
      </c>
      <c r="S577" t="s">
        <v>125</v>
      </c>
      <c r="AM577" t="s">
        <v>129</v>
      </c>
      <c r="AN577" t="s">
        <v>130</v>
      </c>
      <c r="AP577" t="s">
        <v>41</v>
      </c>
      <c r="AU577" t="s">
        <v>46</v>
      </c>
      <c r="AZ577" t="s">
        <v>51</v>
      </c>
      <c r="BA577" t="s">
        <v>52</v>
      </c>
    </row>
    <row r="578" spans="1:77" x14ac:dyDescent="0.2">
      <c r="A578" t="s">
        <v>2274</v>
      </c>
      <c r="B578" t="s">
        <v>2437</v>
      </c>
      <c r="C578" t="s">
        <v>2438</v>
      </c>
      <c r="D578" t="s">
        <v>1615</v>
      </c>
      <c r="E578" t="s">
        <v>2439</v>
      </c>
      <c r="F578" t="s">
        <v>118</v>
      </c>
      <c r="G578" t="str">
        <f>HYPERLINK("https://vk.com/wall-27863223_292193?w=wall-27863223_292193_r292317")</f>
        <v>https://vk.com/wall-27863223_292193?w=wall-27863223_292193_r292317</v>
      </c>
      <c r="H578" t="s">
        <v>119</v>
      </c>
      <c r="I578" t="s">
        <v>2440</v>
      </c>
      <c r="J578" t="str">
        <f>HYPERLINK("http://vk.com/id1179432")</f>
        <v>http://vk.com/id1179432</v>
      </c>
      <c r="K578">
        <v>55</v>
      </c>
      <c r="L578" t="s">
        <v>121</v>
      </c>
      <c r="N578" t="s">
        <v>122</v>
      </c>
      <c r="O578" t="s">
        <v>175</v>
      </c>
      <c r="P578" t="str">
        <f>HYPERLINK("http://vk.com/club27863223")</f>
        <v>http://vk.com/club27863223</v>
      </c>
      <c r="Q578">
        <v>134698</v>
      </c>
      <c r="R578" t="s">
        <v>124</v>
      </c>
      <c r="S578" t="s">
        <v>125</v>
      </c>
      <c r="T578" t="s">
        <v>487</v>
      </c>
      <c r="U578" t="s">
        <v>488</v>
      </c>
      <c r="W578">
        <v>0</v>
      </c>
      <c r="X578">
        <v>0</v>
      </c>
      <c r="AM578" t="s">
        <v>129</v>
      </c>
      <c r="AN578" t="s">
        <v>130</v>
      </c>
      <c r="AP578" t="s">
        <v>41</v>
      </c>
      <c r="AZ578" t="s">
        <v>51</v>
      </c>
      <c r="BB578" t="s">
        <v>53</v>
      </c>
      <c r="BM578" t="s">
        <v>64</v>
      </c>
    </row>
    <row r="579" spans="1:77" x14ac:dyDescent="0.2">
      <c r="A579" t="s">
        <v>2274</v>
      </c>
      <c r="B579" t="s">
        <v>2437</v>
      </c>
      <c r="C579" t="s">
        <v>2441</v>
      </c>
      <c r="D579" t="s">
        <v>2442</v>
      </c>
      <c r="E579" t="s">
        <v>2443</v>
      </c>
      <c r="F579" t="s">
        <v>180</v>
      </c>
      <c r="G579" t="str">
        <f>HYPERLINK("https://www.ozon.ru/context/detail/id/207531321/#62512210")</f>
        <v>https://www.ozon.ru/context/detail/id/207531321/#62512210</v>
      </c>
      <c r="H579" t="s">
        <v>181</v>
      </c>
      <c r="I579" t="s">
        <v>2444</v>
      </c>
      <c r="J579" t="str">
        <f>HYPERLINK("https://www.ozon.ru/context/client_opinion/ClientGuid/f89560b5-4056-413e-a6c6-3268460f22e6/")</f>
        <v>https://www.ozon.ru/context/client_opinion/ClientGuid/f89560b5-4056-413e-a6c6-3268460f22e6/</v>
      </c>
      <c r="L579" t="s">
        <v>121</v>
      </c>
      <c r="N579" t="s">
        <v>183</v>
      </c>
      <c r="O579" t="s">
        <v>2442</v>
      </c>
      <c r="P579" t="str">
        <f>HYPERLINK("https://www.ozon.ru/context/detail/id/207531321/")</f>
        <v>https://www.ozon.ru/context/detail/id/207531321/</v>
      </c>
      <c r="R579" t="s">
        <v>184</v>
      </c>
      <c r="S579" t="s">
        <v>125</v>
      </c>
      <c r="W579">
        <v>0</v>
      </c>
      <c r="X579">
        <v>0</v>
      </c>
      <c r="AH579">
        <v>5</v>
      </c>
      <c r="AM579" t="s">
        <v>129</v>
      </c>
      <c r="AN579" t="s">
        <v>130</v>
      </c>
      <c r="AP579" t="s">
        <v>41</v>
      </c>
      <c r="AU579" t="s">
        <v>46</v>
      </c>
      <c r="AZ579" t="s">
        <v>51</v>
      </c>
      <c r="BA579" t="s">
        <v>52</v>
      </c>
      <c r="BL579" t="s">
        <v>63</v>
      </c>
      <c r="BO579" t="s">
        <v>66</v>
      </c>
    </row>
    <row r="580" spans="1:77" x14ac:dyDescent="0.2">
      <c r="A580" t="s">
        <v>2274</v>
      </c>
      <c r="B580" t="s">
        <v>1414</v>
      </c>
      <c r="C580" t="s">
        <v>2207</v>
      </c>
      <c r="D580" t="s">
        <v>651</v>
      </c>
      <c r="E580" t="s">
        <v>2445</v>
      </c>
      <c r="F580" t="s">
        <v>180</v>
      </c>
      <c r="G580" t="str">
        <f>HYPERLINK("https://www.ozon.ru/context/detail/id/227979649/#62511740")</f>
        <v>https://www.ozon.ru/context/detail/id/227979649/#62511740</v>
      </c>
      <c r="H580" t="s">
        <v>181</v>
      </c>
      <c r="I580" t="s">
        <v>2446</v>
      </c>
      <c r="J580" t="str">
        <f>HYPERLINK("https://www.ozon.ru/context/client_opinion/ClientGuid/e4467589-b2d4-4ed5-94e3-7bf784dee628/")</f>
        <v>https://www.ozon.ru/context/client_opinion/ClientGuid/e4467589-b2d4-4ed5-94e3-7bf784dee628/</v>
      </c>
      <c r="L580" t="s">
        <v>121</v>
      </c>
      <c r="N580" t="s">
        <v>183</v>
      </c>
      <c r="O580" t="s">
        <v>654</v>
      </c>
      <c r="P580" t="str">
        <f>HYPERLINK("https://www.ozon.ru/context/detail/id/227979649/")</f>
        <v>https://www.ozon.ru/context/detail/id/227979649/</v>
      </c>
      <c r="R580" t="s">
        <v>184</v>
      </c>
      <c r="S580" t="s">
        <v>125</v>
      </c>
      <c r="W580">
        <v>0</v>
      </c>
      <c r="X580">
        <v>0</v>
      </c>
      <c r="AH580">
        <v>5</v>
      </c>
      <c r="AM580" t="s">
        <v>129</v>
      </c>
      <c r="AN580" t="s">
        <v>130</v>
      </c>
      <c r="AP580" t="s">
        <v>41</v>
      </c>
      <c r="AT580" t="s">
        <v>45</v>
      </c>
      <c r="AY580" t="s">
        <v>50</v>
      </c>
      <c r="AZ580" t="s">
        <v>51</v>
      </c>
      <c r="BA580" t="s">
        <v>52</v>
      </c>
      <c r="BL580" t="s">
        <v>63</v>
      </c>
    </row>
    <row r="581" spans="1:77" x14ac:dyDescent="0.2">
      <c r="A581" t="s">
        <v>2274</v>
      </c>
      <c r="B581" t="s">
        <v>2447</v>
      </c>
      <c r="C581" t="s">
        <v>2448</v>
      </c>
      <c r="D581" t="s">
        <v>1615</v>
      </c>
      <c r="E581" t="s">
        <v>2449</v>
      </c>
      <c r="F581" t="s">
        <v>118</v>
      </c>
      <c r="G581" t="str">
        <f>HYPERLINK("https://vk.com/wall-27863223_292193?reply=292315")</f>
        <v>https://vk.com/wall-27863223_292193?reply=292315</v>
      </c>
      <c r="H581" t="s">
        <v>119</v>
      </c>
      <c r="I581" t="s">
        <v>2440</v>
      </c>
      <c r="J581" t="str">
        <f>HYPERLINK("http://vk.com/id1179432")</f>
        <v>http://vk.com/id1179432</v>
      </c>
      <c r="K581">
        <v>55</v>
      </c>
      <c r="L581" t="s">
        <v>121</v>
      </c>
      <c r="N581" t="s">
        <v>122</v>
      </c>
      <c r="O581" t="s">
        <v>175</v>
      </c>
      <c r="P581" t="str">
        <f>HYPERLINK("http://vk.com/club27863223")</f>
        <v>http://vk.com/club27863223</v>
      </c>
      <c r="Q581">
        <v>134698</v>
      </c>
      <c r="R581" t="s">
        <v>124</v>
      </c>
      <c r="S581" t="s">
        <v>125</v>
      </c>
      <c r="T581" t="s">
        <v>487</v>
      </c>
      <c r="U581" t="s">
        <v>488</v>
      </c>
      <c r="W581">
        <v>0</v>
      </c>
      <c r="X581">
        <v>0</v>
      </c>
      <c r="AJ581" t="s">
        <v>2450</v>
      </c>
      <c r="AK581" t="s">
        <v>453</v>
      </c>
      <c r="AL581" t="str">
        <f>HYPERLINK("https://sun9-3.userapi.com/impg/pNYka26_YG_E2-Hhujpvump-nptHXhYe_GjaTg/eBGyfEOrgxE.jpg?size=1600x1200&amp;quality=96&amp;sign=038156b7ff99de3ad413b175e65cad6f&amp;c_uniq_tag=6_y4GpxHlBi9WzklgAaFlrVr1eLzvPQuKHH8l5S0PiM&amp;type=album")</f>
        <v>https://sun9-3.userapi.com/impg/pNYka26_YG_E2-Hhujpvump-nptHXhYe_GjaTg/eBGyfEOrgxE.jpg?size=1600x1200&amp;quality=96&amp;sign=038156b7ff99de3ad413b175e65cad6f&amp;c_uniq_tag=6_y4GpxHlBi9WzklgAaFlrVr1eLzvPQuKHH8l5S0PiM&amp;type=album</v>
      </c>
      <c r="AM581" t="s">
        <v>129</v>
      </c>
      <c r="AN581" t="s">
        <v>130</v>
      </c>
      <c r="AP581" t="s">
        <v>41</v>
      </c>
      <c r="AZ581" t="s">
        <v>51</v>
      </c>
      <c r="BA581" t="s">
        <v>52</v>
      </c>
      <c r="BL581" t="s">
        <v>63</v>
      </c>
    </row>
    <row r="582" spans="1:77" x14ac:dyDescent="0.2">
      <c r="A582" t="s">
        <v>2274</v>
      </c>
      <c r="B582" t="s">
        <v>2451</v>
      </c>
      <c r="C582" t="s">
        <v>2452</v>
      </c>
      <c r="D582" t="s">
        <v>1031</v>
      </c>
      <c r="E582" t="s">
        <v>2453</v>
      </c>
      <c r="F582" t="s">
        <v>118</v>
      </c>
      <c r="G582" t="str">
        <f>HYPERLINK("https://vk.com/wall-27863223_292230?reply=292314")</f>
        <v>https://vk.com/wall-27863223_292230?reply=292314</v>
      </c>
      <c r="H582" t="s">
        <v>119</v>
      </c>
      <c r="I582" t="s">
        <v>2454</v>
      </c>
      <c r="J582" t="str">
        <f>HYPERLINK("http://vk.com/id188263356")</f>
        <v>http://vk.com/id188263356</v>
      </c>
      <c r="K582">
        <v>103</v>
      </c>
      <c r="L582" t="s">
        <v>151</v>
      </c>
      <c r="M582">
        <v>51</v>
      </c>
      <c r="N582" t="s">
        <v>122</v>
      </c>
      <c r="O582" t="s">
        <v>175</v>
      </c>
      <c r="P582" t="str">
        <f>HYPERLINK("http://vk.com/club27863223")</f>
        <v>http://vk.com/club27863223</v>
      </c>
      <c r="Q582">
        <v>134698</v>
      </c>
      <c r="R582" t="s">
        <v>124</v>
      </c>
      <c r="S582" t="s">
        <v>125</v>
      </c>
      <c r="T582" t="s">
        <v>2455</v>
      </c>
      <c r="U582" t="s">
        <v>2456</v>
      </c>
      <c r="W582">
        <v>0</v>
      </c>
      <c r="X582">
        <v>0</v>
      </c>
      <c r="AM582" t="s">
        <v>129</v>
      </c>
      <c r="AN582" t="s">
        <v>130</v>
      </c>
      <c r="AO582" t="s">
        <v>40</v>
      </c>
      <c r="AP582" t="s">
        <v>41</v>
      </c>
      <c r="AZ582" t="s">
        <v>51</v>
      </c>
      <c r="BA582" t="s">
        <v>52</v>
      </c>
    </row>
    <row r="583" spans="1:77" x14ac:dyDescent="0.2">
      <c r="A583" t="s">
        <v>2274</v>
      </c>
      <c r="B583" t="s">
        <v>2457</v>
      </c>
      <c r="C583" t="s">
        <v>2418</v>
      </c>
      <c r="D583" t="s">
        <v>2419</v>
      </c>
      <c r="E583" t="s">
        <v>2458</v>
      </c>
      <c r="F583" t="s">
        <v>118</v>
      </c>
      <c r="G583" t="str">
        <f>HYPERLINK("https://www.youtube.com/watch?v=5PbYd8C-tko&amp;lc=UgwN3eB4P9YvcRnIZcB4AaABAg.9QJ-KS8e-hD9QJ0RJ1Fw4U")</f>
        <v>https://www.youtube.com/watch?v=5PbYd8C-tko&amp;lc=UgwN3eB4P9YvcRnIZcB4AaABAg.9QJ-KS8e-hD9QJ0RJ1Fw4U</v>
      </c>
      <c r="H583" t="s">
        <v>119</v>
      </c>
      <c r="I583" t="s">
        <v>2421</v>
      </c>
      <c r="J583" t="str">
        <f>HYPERLINK("https://www.youtube.com/channel/UCDRt644UxhogZ1XJG0PjKPg")</f>
        <v>https://www.youtube.com/channel/UCDRt644UxhogZ1XJG0PjKPg</v>
      </c>
      <c r="K583">
        <v>2360</v>
      </c>
      <c r="N583" t="s">
        <v>248</v>
      </c>
      <c r="O583" t="s">
        <v>2421</v>
      </c>
      <c r="P583" t="str">
        <f>HYPERLINK("https://www.youtube.com/channel/UCDRt644UxhogZ1XJG0PjKPg")</f>
        <v>https://www.youtube.com/channel/UCDRt644UxhogZ1XJG0PjKPg</v>
      </c>
      <c r="Q583">
        <v>2360</v>
      </c>
      <c r="R583" t="s">
        <v>124</v>
      </c>
      <c r="S583" t="s">
        <v>125</v>
      </c>
      <c r="W583">
        <v>0</v>
      </c>
      <c r="X583">
        <v>0</v>
      </c>
      <c r="AM583" t="s">
        <v>129</v>
      </c>
      <c r="AN583" t="s">
        <v>130</v>
      </c>
      <c r="AP583" t="s">
        <v>41</v>
      </c>
      <c r="AU583" t="s">
        <v>46</v>
      </c>
      <c r="AZ583" t="s">
        <v>51</v>
      </c>
      <c r="BA583" t="s">
        <v>52</v>
      </c>
      <c r="BK583" t="s">
        <v>62</v>
      </c>
      <c r="BY583" t="s">
        <v>76</v>
      </c>
    </row>
    <row r="584" spans="1:77" x14ac:dyDescent="0.2">
      <c r="A584" t="s">
        <v>2274</v>
      </c>
      <c r="B584" t="s">
        <v>2459</v>
      </c>
      <c r="C584" t="s">
        <v>2418</v>
      </c>
      <c r="D584" t="s">
        <v>2419</v>
      </c>
      <c r="E584" t="s">
        <v>2460</v>
      </c>
      <c r="F584" t="s">
        <v>118</v>
      </c>
      <c r="G584" t="str">
        <f>HYPERLINK("https://www.youtube.com/watch?v=5PbYd8C-tko&amp;lc=UgwN3eB4P9YvcRnIZcB4AaABAg")</f>
        <v>https://www.youtube.com/watch?v=5PbYd8C-tko&amp;lc=UgwN3eB4P9YvcRnIZcB4AaABAg</v>
      </c>
      <c r="H584" t="s">
        <v>119</v>
      </c>
      <c r="I584" t="s">
        <v>2394</v>
      </c>
      <c r="J584" t="str">
        <f>HYPERLINK("https://www.youtube.com/channel/UCkKPjpRFrebBpKyiiUWZ8Iw")</f>
        <v>https://www.youtube.com/channel/UCkKPjpRFrebBpKyiiUWZ8Iw</v>
      </c>
      <c r="K584">
        <v>188</v>
      </c>
      <c r="N584" t="s">
        <v>248</v>
      </c>
      <c r="O584" t="s">
        <v>2421</v>
      </c>
      <c r="P584" t="str">
        <f>HYPERLINK("https://www.youtube.com/channel/UCDRt644UxhogZ1XJG0PjKPg")</f>
        <v>https://www.youtube.com/channel/UCDRt644UxhogZ1XJG0PjKPg</v>
      </c>
      <c r="Q584">
        <v>2360</v>
      </c>
      <c r="R584" t="s">
        <v>124</v>
      </c>
      <c r="S584" t="s">
        <v>125</v>
      </c>
      <c r="W584">
        <v>0</v>
      </c>
      <c r="X584">
        <v>0</v>
      </c>
      <c r="AE584">
        <v>9</v>
      </c>
      <c r="AM584" t="s">
        <v>129</v>
      </c>
      <c r="AN584" t="s">
        <v>130</v>
      </c>
      <c r="AP584" t="s">
        <v>41</v>
      </c>
      <c r="AU584" t="s">
        <v>46</v>
      </c>
      <c r="AZ584" t="s">
        <v>51</v>
      </c>
      <c r="BA584" t="s">
        <v>52</v>
      </c>
      <c r="BY584" t="s">
        <v>76</v>
      </c>
    </row>
    <row r="585" spans="1:77" x14ac:dyDescent="0.2">
      <c r="A585" t="s">
        <v>2274</v>
      </c>
      <c r="B585" t="s">
        <v>2461</v>
      </c>
      <c r="C585" t="s">
        <v>2462</v>
      </c>
      <c r="D585" t="s">
        <v>2001</v>
      </c>
      <c r="E585" t="s">
        <v>2463</v>
      </c>
      <c r="F585" t="s">
        <v>118</v>
      </c>
      <c r="G585" t="str">
        <f>HYPERLINK("https://ok.ru/group/51085510115462/topic/153461283857798#MTYyNzM5OTUxMjM2OTotOTEwNToxNjI3Mzk5NTEyMzY5OjE1MzQ2MTI4Mzg1Nzc5ODox")</f>
        <v>https://ok.ru/group/51085510115462/topic/153461283857798#MTYyNzM5OTUxMjM2OTotOTEwNToxNjI3Mzk5NTEyMzY5OjE1MzQ2MTI4Mzg1Nzc5ODox</v>
      </c>
      <c r="H585" t="s">
        <v>119</v>
      </c>
      <c r="I585" t="s">
        <v>175</v>
      </c>
      <c r="J585" t="str">
        <f>HYPERLINK("https://ok.ru/group/51085510115462")</f>
        <v>https://ok.ru/group/51085510115462</v>
      </c>
      <c r="K585">
        <v>94768</v>
      </c>
      <c r="L585" t="s">
        <v>340</v>
      </c>
      <c r="N585" t="s">
        <v>347</v>
      </c>
      <c r="O585" t="s">
        <v>175</v>
      </c>
      <c r="P585" t="str">
        <f>HYPERLINK("https://ok.ru/group/51085510115462")</f>
        <v>https://ok.ru/group/51085510115462</v>
      </c>
      <c r="Q585">
        <v>94768</v>
      </c>
      <c r="R585" t="s">
        <v>124</v>
      </c>
      <c r="W585">
        <v>0</v>
      </c>
      <c r="X585">
        <v>0</v>
      </c>
      <c r="AM585" t="s">
        <v>129</v>
      </c>
      <c r="AN585" t="s">
        <v>130</v>
      </c>
      <c r="BI585" t="s">
        <v>60</v>
      </c>
    </row>
    <row r="586" spans="1:77" x14ac:dyDescent="0.2">
      <c r="A586" t="s">
        <v>2274</v>
      </c>
      <c r="B586" t="s">
        <v>1984</v>
      </c>
      <c r="C586" t="s">
        <v>2441</v>
      </c>
      <c r="D586" t="s">
        <v>2442</v>
      </c>
      <c r="E586" t="s">
        <v>2464</v>
      </c>
      <c r="F586" t="s">
        <v>180</v>
      </c>
      <c r="G586" t="str">
        <f>HYPERLINK("https://www.ozon.ru/context/detail/id/207531321/#62501355")</f>
        <v>https://www.ozon.ru/context/detail/id/207531321/#62501355</v>
      </c>
      <c r="H586" t="s">
        <v>181</v>
      </c>
      <c r="I586" t="s">
        <v>2465</v>
      </c>
      <c r="J586" t="str">
        <f>HYPERLINK("https://www.ozon.ru/context/client_opinion/ClientGuid/746610f3-dfd8-48a9-9c05-ed605178f8ea/")</f>
        <v>https://www.ozon.ru/context/client_opinion/ClientGuid/746610f3-dfd8-48a9-9c05-ed605178f8ea/</v>
      </c>
      <c r="L586" t="s">
        <v>121</v>
      </c>
      <c r="N586" t="s">
        <v>183</v>
      </c>
      <c r="O586" t="s">
        <v>2442</v>
      </c>
      <c r="P586" t="str">
        <f>HYPERLINK("https://www.ozon.ru/context/detail/id/207531321/")</f>
        <v>https://www.ozon.ru/context/detail/id/207531321/</v>
      </c>
      <c r="R586" t="s">
        <v>184</v>
      </c>
      <c r="S586" t="s">
        <v>125</v>
      </c>
      <c r="W586">
        <v>0</v>
      </c>
      <c r="X586">
        <v>0</v>
      </c>
      <c r="AH586">
        <v>5</v>
      </c>
      <c r="AM586" t="s">
        <v>129</v>
      </c>
      <c r="AN586" t="s">
        <v>130</v>
      </c>
      <c r="AP586" t="s">
        <v>41</v>
      </c>
      <c r="AX586" t="s">
        <v>49</v>
      </c>
      <c r="AY586" t="s">
        <v>50</v>
      </c>
      <c r="AZ586" t="s">
        <v>51</v>
      </c>
      <c r="BA586" t="s">
        <v>52</v>
      </c>
      <c r="BO586" t="s">
        <v>66</v>
      </c>
    </row>
    <row r="587" spans="1:77" x14ac:dyDescent="0.2">
      <c r="A587" t="s">
        <v>2274</v>
      </c>
      <c r="B587" t="s">
        <v>316</v>
      </c>
      <c r="C587" t="s">
        <v>2466</v>
      </c>
      <c r="D587" t="s">
        <v>2467</v>
      </c>
      <c r="E587" t="s">
        <v>2468</v>
      </c>
      <c r="F587" t="s">
        <v>118</v>
      </c>
      <c r="G587" t="str">
        <f>HYPERLINK("https://vk.com/wall-72683038_478492?reply=478538")</f>
        <v>https://vk.com/wall-72683038_478492?reply=478538</v>
      </c>
      <c r="H587" t="s">
        <v>119</v>
      </c>
      <c r="I587" t="s">
        <v>2469</v>
      </c>
      <c r="J587" t="str">
        <f>HYPERLINK("http://vk.com/id611524400")</f>
        <v>http://vk.com/id611524400</v>
      </c>
      <c r="K587">
        <v>66</v>
      </c>
      <c r="L587" t="s">
        <v>121</v>
      </c>
      <c r="M587">
        <v>43</v>
      </c>
      <c r="N587" t="s">
        <v>122</v>
      </c>
      <c r="O587" t="s">
        <v>2470</v>
      </c>
      <c r="P587" t="str">
        <f>HYPERLINK("http://vk.com/club72683038")</f>
        <v>http://vk.com/club72683038</v>
      </c>
      <c r="Q587">
        <v>30487</v>
      </c>
      <c r="R587" t="s">
        <v>124</v>
      </c>
      <c r="S587" t="s">
        <v>125</v>
      </c>
      <c r="T587" t="s">
        <v>372</v>
      </c>
      <c r="U587" t="s">
        <v>2471</v>
      </c>
      <c r="AM587" t="s">
        <v>129</v>
      </c>
      <c r="AN587" t="s">
        <v>130</v>
      </c>
      <c r="AP587" t="s">
        <v>41</v>
      </c>
      <c r="AZ587" t="s">
        <v>51</v>
      </c>
      <c r="BA587" t="s">
        <v>52</v>
      </c>
      <c r="BL587" t="s">
        <v>63</v>
      </c>
    </row>
    <row r="588" spans="1:77" x14ac:dyDescent="0.2">
      <c r="A588" t="s">
        <v>2274</v>
      </c>
      <c r="B588" t="s">
        <v>2472</v>
      </c>
      <c r="C588" t="s">
        <v>2462</v>
      </c>
      <c r="D588" t="s">
        <v>2001</v>
      </c>
      <c r="E588" t="s">
        <v>2473</v>
      </c>
      <c r="F588" t="s">
        <v>118</v>
      </c>
      <c r="G588" t="str">
        <f>HYPERLINK("https://ok.ru/group/51085510115462/topic/153461283857798#MTYyNzM5ODYzODQxMjotMTE3Nzk6MTYyNzM5ODYzODQxMjoxNTM0NjEyODM4NTc3OTg6MQ==")</f>
        <v>https://ok.ru/group/51085510115462/topic/153461283857798#MTYyNzM5ODYzODQxMjotMTE3Nzk6MTYyNzM5ODYzODQxMjoxNTM0NjEyODM4NTc3OTg6MQ==</v>
      </c>
      <c r="H588" t="s">
        <v>119</v>
      </c>
      <c r="I588" t="s">
        <v>175</v>
      </c>
      <c r="J588" t="str">
        <f>HYPERLINK("https://ok.ru/group/51085510115462")</f>
        <v>https://ok.ru/group/51085510115462</v>
      </c>
      <c r="K588">
        <v>94768</v>
      </c>
      <c r="L588" t="s">
        <v>340</v>
      </c>
      <c r="N588" t="s">
        <v>347</v>
      </c>
      <c r="O588" t="s">
        <v>175</v>
      </c>
      <c r="P588" t="str">
        <f>HYPERLINK("https://ok.ru/group/51085510115462")</f>
        <v>https://ok.ru/group/51085510115462</v>
      </c>
      <c r="Q588">
        <v>94768</v>
      </c>
      <c r="R588" t="s">
        <v>124</v>
      </c>
      <c r="W588">
        <v>0</v>
      </c>
      <c r="X588">
        <v>0</v>
      </c>
      <c r="AM588" t="s">
        <v>129</v>
      </c>
      <c r="AN588" t="s">
        <v>130</v>
      </c>
      <c r="BI588" t="s">
        <v>60</v>
      </c>
    </row>
    <row r="589" spans="1:77" x14ac:dyDescent="0.2">
      <c r="A589" t="s">
        <v>2274</v>
      </c>
      <c r="B589" t="s">
        <v>2474</v>
      </c>
      <c r="C589" t="s">
        <v>2475</v>
      </c>
      <c r="D589" t="s">
        <v>2001</v>
      </c>
      <c r="E589" t="s">
        <v>2476</v>
      </c>
      <c r="F589" t="s">
        <v>118</v>
      </c>
      <c r="G589" t="str">
        <f>HYPERLINK("https://ok.ru/group/51085510115462/topic/153461283857798#MTYyNzM5ODIyMTc4MjotMzg5MToxNjI3Mzk4MjIxNzgyOjE1MzQ2MTI4Mzg1Nzc5ODox")</f>
        <v>https://ok.ru/group/51085510115462/topic/153461283857798#MTYyNzM5ODIyMTc4MjotMzg5MToxNjI3Mzk4MjIxNzgyOjE1MzQ2MTI4Mzg1Nzc5ODox</v>
      </c>
      <c r="H589" t="s">
        <v>228</v>
      </c>
      <c r="I589" t="s">
        <v>2477</v>
      </c>
      <c r="J589" t="str">
        <f>HYPERLINK("https://ok.ru/profile/584863969854")</f>
        <v>https://ok.ru/profile/584863969854</v>
      </c>
      <c r="K589">
        <v>127</v>
      </c>
      <c r="L589" t="s">
        <v>121</v>
      </c>
      <c r="M589">
        <v>39</v>
      </c>
      <c r="N589" t="s">
        <v>347</v>
      </c>
      <c r="O589" t="s">
        <v>175</v>
      </c>
      <c r="P589" t="str">
        <f>HYPERLINK("https://ok.ru/group/51085510115462")</f>
        <v>https://ok.ru/group/51085510115462</v>
      </c>
      <c r="Q589">
        <v>94768</v>
      </c>
      <c r="R589" t="s">
        <v>124</v>
      </c>
      <c r="S589" t="s">
        <v>125</v>
      </c>
      <c r="T589" t="s">
        <v>759</v>
      </c>
      <c r="U589" t="s">
        <v>2371</v>
      </c>
      <c r="W589">
        <v>0</v>
      </c>
      <c r="X589">
        <v>0</v>
      </c>
      <c r="AM589" t="s">
        <v>129</v>
      </c>
      <c r="AN589" t="s">
        <v>130</v>
      </c>
      <c r="AP589" t="s">
        <v>41</v>
      </c>
      <c r="AT589" t="s">
        <v>45</v>
      </c>
      <c r="AU589" t="s">
        <v>46</v>
      </c>
      <c r="AY589" t="s">
        <v>50</v>
      </c>
      <c r="AZ589" t="s">
        <v>51</v>
      </c>
      <c r="BA589" t="s">
        <v>52</v>
      </c>
    </row>
    <row r="590" spans="1:77" x14ac:dyDescent="0.2">
      <c r="A590" t="s">
        <v>2274</v>
      </c>
      <c r="B590" t="s">
        <v>2478</v>
      </c>
      <c r="C590" t="s">
        <v>2466</v>
      </c>
      <c r="D590" t="s">
        <v>1031</v>
      </c>
      <c r="E590" t="s">
        <v>2116</v>
      </c>
      <c r="F590" t="s">
        <v>118</v>
      </c>
      <c r="G590" t="str">
        <f>HYPERLINK("https://vk.com/wall-27863223_292230?reply=292312")</f>
        <v>https://vk.com/wall-27863223_292230?reply=292312</v>
      </c>
      <c r="H590" t="s">
        <v>119</v>
      </c>
      <c r="I590" t="s">
        <v>2479</v>
      </c>
      <c r="J590" t="str">
        <f>HYPERLINK("http://vk.com/id466298521")</f>
        <v>http://vk.com/id466298521</v>
      </c>
      <c r="K590">
        <v>189</v>
      </c>
      <c r="L590" t="s">
        <v>121</v>
      </c>
      <c r="N590" t="s">
        <v>122</v>
      </c>
      <c r="O590" t="s">
        <v>175</v>
      </c>
      <c r="P590" t="str">
        <f>HYPERLINK("http://vk.com/club27863223")</f>
        <v>http://vk.com/club27863223</v>
      </c>
      <c r="Q590">
        <v>134698</v>
      </c>
      <c r="R590" t="s">
        <v>124</v>
      </c>
      <c r="S590" t="s">
        <v>125</v>
      </c>
      <c r="T590" t="s">
        <v>1343</v>
      </c>
      <c r="U590" t="s">
        <v>1344</v>
      </c>
      <c r="W590">
        <v>0</v>
      </c>
      <c r="X590">
        <v>0</v>
      </c>
      <c r="AM590" t="s">
        <v>129</v>
      </c>
      <c r="AN590" t="s">
        <v>130</v>
      </c>
      <c r="AO590" t="s">
        <v>40</v>
      </c>
      <c r="AP590" t="s">
        <v>41</v>
      </c>
      <c r="AZ590" t="s">
        <v>51</v>
      </c>
      <c r="BA590" t="s">
        <v>52</v>
      </c>
    </row>
    <row r="591" spans="1:77" x14ac:dyDescent="0.2">
      <c r="A591" t="s">
        <v>2274</v>
      </c>
      <c r="B591" t="s">
        <v>2480</v>
      </c>
      <c r="C591" t="s">
        <v>2481</v>
      </c>
      <c r="D591" t="s">
        <v>204</v>
      </c>
      <c r="E591" t="s">
        <v>2482</v>
      </c>
      <c r="F591" t="s">
        <v>180</v>
      </c>
      <c r="G591" t="str">
        <f>HYPERLINK("https://play.google.com/store/apps/details?id=ru.iflex.android.a3colortv&amp;reviewId=gp:AOqpTOEKgNmw2Es_FShX4FZWyL61h-BveHKmSWLa2J3XVNi5JK2zPYoTONkNlN_heBmc_LutG30uQ43qRg2NXQ")</f>
        <v>https://play.google.com/store/apps/details?id=ru.iflex.android.a3colortv&amp;reviewId=gp:AOqpTOEKgNmw2Es_FShX4FZWyL61h-BveHKmSWLa2J3XVNi5JK2zPYoTONkNlN_heBmc_LutG30uQ43qRg2NXQ</v>
      </c>
      <c r="H591" t="s">
        <v>228</v>
      </c>
      <c r="I591" t="s">
        <v>2483</v>
      </c>
      <c r="J591" t="str">
        <f>HYPERLINK("https://plus.google.com/109639194566520883751")</f>
        <v>https://plus.google.com/109639194566520883751</v>
      </c>
      <c r="L591" t="s">
        <v>151</v>
      </c>
      <c r="N591" t="s">
        <v>207</v>
      </c>
      <c r="O591" t="s">
        <v>204</v>
      </c>
      <c r="P591" t="str">
        <f>HYPERLINK("https://play.google.com/store/apps/details?id=ru.iflex.android.a3colortv&amp;hl=ru")</f>
        <v>https://play.google.com/store/apps/details?id=ru.iflex.android.a3colortv&amp;hl=ru</v>
      </c>
      <c r="R591" t="s">
        <v>184</v>
      </c>
      <c r="S591" t="s">
        <v>125</v>
      </c>
      <c r="W591">
        <v>0</v>
      </c>
      <c r="X591">
        <v>0</v>
      </c>
      <c r="AH591">
        <v>3</v>
      </c>
      <c r="AM591" t="s">
        <v>129</v>
      </c>
      <c r="AN591" t="s">
        <v>130</v>
      </c>
      <c r="AP591" t="s">
        <v>41</v>
      </c>
      <c r="AZ591" t="s">
        <v>51</v>
      </c>
      <c r="BA591" t="s">
        <v>52</v>
      </c>
      <c r="BQ591" t="s">
        <v>68</v>
      </c>
    </row>
    <row r="592" spans="1:77" x14ac:dyDescent="0.2">
      <c r="A592" t="s">
        <v>2274</v>
      </c>
      <c r="B592" t="s">
        <v>2484</v>
      </c>
      <c r="C592" t="s">
        <v>2485</v>
      </c>
      <c r="D592" t="s">
        <v>2040</v>
      </c>
      <c r="E592" t="s">
        <v>2486</v>
      </c>
      <c r="F592" t="s">
        <v>118</v>
      </c>
      <c r="G592" t="str">
        <f>HYPERLINK("https://vk.com/wall-124454000_768761?reply=768813")</f>
        <v>https://vk.com/wall-124454000_768761?reply=768813</v>
      </c>
      <c r="H592" t="s">
        <v>181</v>
      </c>
      <c r="I592" t="s">
        <v>2487</v>
      </c>
      <c r="J592" t="str">
        <f>HYPERLINK("http://vk.com/id597364856")</f>
        <v>http://vk.com/id597364856</v>
      </c>
      <c r="K592">
        <v>1</v>
      </c>
      <c r="L592" t="s">
        <v>121</v>
      </c>
      <c r="M592">
        <v>40</v>
      </c>
      <c r="N592" t="s">
        <v>122</v>
      </c>
      <c r="O592" t="s">
        <v>2042</v>
      </c>
      <c r="P592" t="str">
        <f>HYPERLINK("http://vk.com/club124454000")</f>
        <v>http://vk.com/club124454000</v>
      </c>
      <c r="Q592">
        <v>26581</v>
      </c>
      <c r="R592" t="s">
        <v>124</v>
      </c>
      <c r="S592" t="s">
        <v>125</v>
      </c>
      <c r="AM592" t="s">
        <v>129</v>
      </c>
      <c r="AN592" t="s">
        <v>130</v>
      </c>
      <c r="AP592" t="s">
        <v>41</v>
      </c>
      <c r="AY592" t="s">
        <v>50</v>
      </c>
      <c r="AZ592" t="s">
        <v>51</v>
      </c>
      <c r="BA592" t="s">
        <v>52</v>
      </c>
    </row>
    <row r="593" spans="1:65" x14ac:dyDescent="0.2">
      <c r="A593" t="s">
        <v>2274</v>
      </c>
      <c r="B593" t="s">
        <v>2488</v>
      </c>
      <c r="C593" t="s">
        <v>2489</v>
      </c>
      <c r="D593" t="s">
        <v>2490</v>
      </c>
      <c r="E593" t="s">
        <v>2491</v>
      </c>
      <c r="F593" t="s">
        <v>180</v>
      </c>
      <c r="G593" t="str">
        <f>HYPERLINK("https://www.ozon.ru/context/detail/id/280855853/#62488374")</f>
        <v>https://www.ozon.ru/context/detail/id/280855853/#62488374</v>
      </c>
      <c r="H593" t="s">
        <v>181</v>
      </c>
      <c r="I593" t="s">
        <v>2492</v>
      </c>
      <c r="J593" t="str">
        <f>HYPERLINK("https://www.ozon.ru/context/client_opinion/ClientGuid/bb22afe4-ec32-4d61-a53b-4f73778826b9/")</f>
        <v>https://www.ozon.ru/context/client_opinion/ClientGuid/bb22afe4-ec32-4d61-a53b-4f73778826b9/</v>
      </c>
      <c r="L593" t="s">
        <v>151</v>
      </c>
      <c r="N593" t="s">
        <v>183</v>
      </c>
      <c r="O593" t="s">
        <v>2490</v>
      </c>
      <c r="P593" t="str">
        <f>HYPERLINK("https://www.ozon.ru/context/detail/id/280855853/")</f>
        <v>https://www.ozon.ru/context/detail/id/280855853/</v>
      </c>
      <c r="R593" t="s">
        <v>184</v>
      </c>
      <c r="S593" t="s">
        <v>125</v>
      </c>
      <c r="W593">
        <v>0</v>
      </c>
      <c r="X593">
        <v>0</v>
      </c>
      <c r="AH593">
        <v>5</v>
      </c>
      <c r="AJ593" t="s">
        <v>2493</v>
      </c>
      <c r="AK593" t="s">
        <v>129</v>
      </c>
      <c r="AL593" t="str">
        <f>HYPERLINK("https://cdn1.ozone.ru/s3/rp-photo-2/1c0bd64f-1990-4c03-8aff-e2170df0e826.jpeg")</f>
        <v>https://cdn1.ozone.ru/s3/rp-photo-2/1c0bd64f-1990-4c03-8aff-e2170df0e826.jpeg</v>
      </c>
      <c r="AM593" t="s">
        <v>129</v>
      </c>
      <c r="AN593" t="s">
        <v>130</v>
      </c>
      <c r="AP593" t="s">
        <v>41</v>
      </c>
      <c r="AT593" t="s">
        <v>45</v>
      </c>
      <c r="AZ593" t="s">
        <v>51</v>
      </c>
      <c r="BA593" t="s">
        <v>52</v>
      </c>
    </row>
    <row r="594" spans="1:65" x14ac:dyDescent="0.2">
      <c r="A594" t="s">
        <v>2274</v>
      </c>
      <c r="B594" t="s">
        <v>2494</v>
      </c>
      <c r="C594" t="s">
        <v>2495</v>
      </c>
      <c r="D594" t="s">
        <v>2496</v>
      </c>
      <c r="E594" t="s">
        <v>2497</v>
      </c>
      <c r="F594" t="s">
        <v>180</v>
      </c>
      <c r="G594" t="str">
        <f>HYPERLINK("https://www.wildberries.ru/catalog/28310444/detail.aspx?targetUrl=ES#Comments")</f>
        <v>https://www.wildberries.ru/catalog/28310444/detail.aspx?targetUrl=ES#Comments</v>
      </c>
      <c r="H594" t="s">
        <v>181</v>
      </c>
      <c r="I594" t="s">
        <v>2498</v>
      </c>
      <c r="J594" t="str">
        <f>HYPERLINK("https://www.wildberries.ru/profile/w7TDssOkw7PCu8KzwrbCssKxwrfCtcK1wrQ=")</f>
        <v>https://www.wildberries.ru/profile/w7TDssOkw7PCu8KzwrbCssKxwrfCtcK1wrQ=</v>
      </c>
      <c r="L594" t="s">
        <v>151</v>
      </c>
      <c r="N594" t="s">
        <v>534</v>
      </c>
      <c r="O594" t="s">
        <v>2496</v>
      </c>
      <c r="P594" t="str">
        <f>HYPERLINK("https://www.wildberries.ru/catalog/20794204/detail.aspx")</f>
        <v>https://www.wildberries.ru/catalog/20794204/detail.aspx</v>
      </c>
      <c r="R594" t="s">
        <v>184</v>
      </c>
      <c r="S594" t="s">
        <v>125</v>
      </c>
      <c r="W594">
        <v>0</v>
      </c>
      <c r="X594">
        <v>0</v>
      </c>
      <c r="AH594">
        <v>5</v>
      </c>
      <c r="AJ594" t="s">
        <v>129</v>
      </c>
      <c r="AK594" t="s">
        <v>129</v>
      </c>
      <c r="AL594" t="str">
        <f>HYPERLINK("http://feedbackphotos.wbstatic.net/feedbacks/2079/20794204/0d750e31-6c0b-49e1-9978-9338285dc24f_fs.jpg")</f>
        <v>http://feedbackphotos.wbstatic.net/feedbacks/2079/20794204/0d750e31-6c0b-49e1-9978-9338285dc24f_fs.jpg</v>
      </c>
      <c r="AM594" t="s">
        <v>129</v>
      </c>
      <c r="AN594" t="s">
        <v>130</v>
      </c>
      <c r="AP594" t="s">
        <v>41</v>
      </c>
      <c r="AZ594" t="s">
        <v>51</v>
      </c>
      <c r="BA594" t="s">
        <v>52</v>
      </c>
      <c r="BK594" t="s">
        <v>62</v>
      </c>
      <c r="BL594" t="s">
        <v>63</v>
      </c>
    </row>
    <row r="595" spans="1:65" x14ac:dyDescent="0.2">
      <c r="A595" t="s">
        <v>2274</v>
      </c>
      <c r="B595" t="s">
        <v>2499</v>
      </c>
      <c r="C595" t="s">
        <v>2500</v>
      </c>
      <c r="D595" t="s">
        <v>2501</v>
      </c>
      <c r="E595" t="s">
        <v>2502</v>
      </c>
      <c r="F595" t="s">
        <v>118</v>
      </c>
      <c r="G595" t="str">
        <f>HYPERLINK("https://vk.com/wall-2290850_682750?reply=683131")</f>
        <v>https://vk.com/wall-2290850_682750?reply=683131</v>
      </c>
      <c r="H595" t="s">
        <v>228</v>
      </c>
      <c r="I595" t="s">
        <v>2503</v>
      </c>
      <c r="J595" t="str">
        <f>HYPERLINK("http://vk.com/id157086567")</f>
        <v>http://vk.com/id157086567</v>
      </c>
      <c r="K595">
        <v>182</v>
      </c>
      <c r="L595" t="s">
        <v>151</v>
      </c>
      <c r="N595" t="s">
        <v>122</v>
      </c>
      <c r="O595" t="s">
        <v>136</v>
      </c>
      <c r="P595" t="str">
        <f>HYPERLINK("http://vk.com/club2290850")</f>
        <v>http://vk.com/club2290850</v>
      </c>
      <c r="Q595">
        <v>14544</v>
      </c>
      <c r="R595" t="s">
        <v>124</v>
      </c>
      <c r="S595" t="s">
        <v>125</v>
      </c>
      <c r="T595" t="s">
        <v>137</v>
      </c>
      <c r="U595" t="s">
        <v>137</v>
      </c>
      <c r="AM595" t="s">
        <v>129</v>
      </c>
      <c r="AN595" t="s">
        <v>130</v>
      </c>
      <c r="AP595" t="s">
        <v>41</v>
      </c>
      <c r="AZ595" t="s">
        <v>51</v>
      </c>
      <c r="BA595" t="s">
        <v>52</v>
      </c>
    </row>
    <row r="596" spans="1:65" x14ac:dyDescent="0.2">
      <c r="A596" t="s">
        <v>2274</v>
      </c>
      <c r="B596" t="s">
        <v>2499</v>
      </c>
      <c r="C596" t="s">
        <v>2500</v>
      </c>
      <c r="D596" t="s">
        <v>2040</v>
      </c>
      <c r="E596" t="s">
        <v>2504</v>
      </c>
      <c r="F596" t="s">
        <v>118</v>
      </c>
      <c r="G596" t="str">
        <f>HYPERLINK("https://vk.com/wall-124454000_768761?reply=768810")</f>
        <v>https://vk.com/wall-124454000_768761?reply=768810</v>
      </c>
      <c r="H596" t="s">
        <v>181</v>
      </c>
      <c r="I596" t="s">
        <v>2505</v>
      </c>
      <c r="J596" t="str">
        <f>HYPERLINK("http://vk.com/id415322427")</f>
        <v>http://vk.com/id415322427</v>
      </c>
      <c r="K596">
        <v>10</v>
      </c>
      <c r="L596" t="s">
        <v>121</v>
      </c>
      <c r="M596">
        <v>58</v>
      </c>
      <c r="N596" t="s">
        <v>122</v>
      </c>
      <c r="O596" t="s">
        <v>2042</v>
      </c>
      <c r="P596" t="str">
        <f>HYPERLINK("http://vk.com/club124454000")</f>
        <v>http://vk.com/club124454000</v>
      </c>
      <c r="Q596">
        <v>26581</v>
      </c>
      <c r="R596" t="s">
        <v>124</v>
      </c>
      <c r="AM596" t="s">
        <v>129</v>
      </c>
      <c r="AN596" t="s">
        <v>130</v>
      </c>
      <c r="AP596" t="s">
        <v>41</v>
      </c>
      <c r="AW596" t="s">
        <v>48</v>
      </c>
      <c r="AY596" t="s">
        <v>50</v>
      </c>
      <c r="AZ596" t="s">
        <v>51</v>
      </c>
      <c r="BA596" t="s">
        <v>52</v>
      </c>
      <c r="BM596" t="s">
        <v>64</v>
      </c>
    </row>
    <row r="597" spans="1:65" x14ac:dyDescent="0.2">
      <c r="A597" t="s">
        <v>2274</v>
      </c>
      <c r="B597" t="s">
        <v>2506</v>
      </c>
      <c r="C597" t="s">
        <v>2507</v>
      </c>
      <c r="D597" t="s">
        <v>2508</v>
      </c>
      <c r="E597" t="s">
        <v>2509</v>
      </c>
      <c r="F597" t="s">
        <v>118</v>
      </c>
      <c r="G597" t="str">
        <f>HYPERLINK("https://vk.com/wall-160929723_12908?reply=12993&amp;thread=12962")</f>
        <v>https://vk.com/wall-160929723_12908?reply=12993&amp;thread=12962</v>
      </c>
      <c r="H597" t="s">
        <v>119</v>
      </c>
      <c r="I597" t="s">
        <v>2510</v>
      </c>
      <c r="J597" t="str">
        <f>HYPERLINK("http://vk.com/id628959285")</f>
        <v>http://vk.com/id628959285</v>
      </c>
      <c r="K597">
        <v>0</v>
      </c>
      <c r="L597" t="s">
        <v>121</v>
      </c>
      <c r="M597">
        <v>44</v>
      </c>
      <c r="N597" t="s">
        <v>122</v>
      </c>
      <c r="O597" t="s">
        <v>2511</v>
      </c>
      <c r="P597" t="str">
        <f>HYPERLINK("http://vk.com/club160929723")</f>
        <v>http://vk.com/club160929723</v>
      </c>
      <c r="Q597">
        <v>6598</v>
      </c>
      <c r="R597" t="s">
        <v>124</v>
      </c>
      <c r="S597" t="s">
        <v>125</v>
      </c>
      <c r="T597" t="s">
        <v>487</v>
      </c>
      <c r="U597" t="s">
        <v>1826</v>
      </c>
      <c r="AM597" t="s">
        <v>129</v>
      </c>
      <c r="AN597" t="s">
        <v>130</v>
      </c>
      <c r="AP597" t="s">
        <v>41</v>
      </c>
      <c r="AT597" t="s">
        <v>45</v>
      </c>
      <c r="AZ597" t="s">
        <v>51</v>
      </c>
      <c r="BA597" t="s">
        <v>52</v>
      </c>
    </row>
    <row r="598" spans="1:65" x14ac:dyDescent="0.2">
      <c r="A598" t="s">
        <v>2274</v>
      </c>
      <c r="B598" t="s">
        <v>1993</v>
      </c>
      <c r="C598" t="s">
        <v>2512</v>
      </c>
      <c r="D598" t="s">
        <v>2513</v>
      </c>
      <c r="E598" t="s">
        <v>2514</v>
      </c>
      <c r="F598" t="s">
        <v>118</v>
      </c>
      <c r="G598" t="str">
        <f>HYPERLINK("https://vk.com/wall-72801118_294352?reply=294355")</f>
        <v>https://vk.com/wall-72801118_294352?reply=294355</v>
      </c>
      <c r="H598" t="s">
        <v>119</v>
      </c>
      <c r="I598" t="s">
        <v>2515</v>
      </c>
      <c r="J598" t="str">
        <f>HYPERLINK("http://vk.com/id314841986")</f>
        <v>http://vk.com/id314841986</v>
      </c>
      <c r="K598">
        <v>1</v>
      </c>
      <c r="L598" t="s">
        <v>121</v>
      </c>
      <c r="N598" t="s">
        <v>122</v>
      </c>
      <c r="O598" t="s">
        <v>2516</v>
      </c>
      <c r="P598" t="str">
        <f>HYPERLINK("http://vk.com/club72801118")</f>
        <v>http://vk.com/club72801118</v>
      </c>
      <c r="Q598">
        <v>13551</v>
      </c>
      <c r="R598" t="s">
        <v>124</v>
      </c>
      <c r="S598" t="s">
        <v>125</v>
      </c>
      <c r="AM598" t="s">
        <v>129</v>
      </c>
      <c r="AN598" t="s">
        <v>130</v>
      </c>
      <c r="AP598" t="s">
        <v>41</v>
      </c>
      <c r="AZ598" t="s">
        <v>51</v>
      </c>
      <c r="BA598" t="s">
        <v>52</v>
      </c>
      <c r="BM598" t="s">
        <v>64</v>
      </c>
    </row>
    <row r="599" spans="1:65" x14ac:dyDescent="0.2">
      <c r="A599" t="s">
        <v>2274</v>
      </c>
      <c r="B599" t="s">
        <v>2517</v>
      </c>
      <c r="C599" t="s">
        <v>2518</v>
      </c>
      <c r="D599" t="s">
        <v>1031</v>
      </c>
      <c r="E599" t="s">
        <v>2519</v>
      </c>
      <c r="F599" t="s">
        <v>118</v>
      </c>
      <c r="G599" t="str">
        <f>HYPERLINK("https://vk.com/wall-27863223_292230?w=wall-27863223_292230_r292305")</f>
        <v>https://vk.com/wall-27863223_292230?w=wall-27863223_292230_r292305</v>
      </c>
      <c r="H599" t="s">
        <v>119</v>
      </c>
      <c r="I599" t="s">
        <v>2520</v>
      </c>
      <c r="J599" t="str">
        <f>HYPERLINK("http://vk.com/id264542014")</f>
        <v>http://vk.com/id264542014</v>
      </c>
      <c r="K599">
        <v>297</v>
      </c>
      <c r="L599" t="s">
        <v>121</v>
      </c>
      <c r="N599" t="s">
        <v>122</v>
      </c>
      <c r="O599" t="s">
        <v>175</v>
      </c>
      <c r="P599" t="str">
        <f t="shared" ref="P599:P606" si="5">HYPERLINK("http://vk.com/club27863223")</f>
        <v>http://vk.com/club27863223</v>
      </c>
      <c r="Q599">
        <v>134698</v>
      </c>
      <c r="R599" t="s">
        <v>124</v>
      </c>
      <c r="S599" t="s">
        <v>125</v>
      </c>
      <c r="T599" t="s">
        <v>2521</v>
      </c>
      <c r="U599" t="s">
        <v>2522</v>
      </c>
      <c r="W599">
        <v>0</v>
      </c>
      <c r="X599">
        <v>0</v>
      </c>
      <c r="AM599" t="s">
        <v>129</v>
      </c>
      <c r="AN599" t="s">
        <v>130</v>
      </c>
      <c r="AP599" t="s">
        <v>41</v>
      </c>
      <c r="BA599" t="s">
        <v>52</v>
      </c>
      <c r="BE599" t="s">
        <v>56</v>
      </c>
    </row>
    <row r="600" spans="1:65" x14ac:dyDescent="0.2">
      <c r="A600" t="s">
        <v>2274</v>
      </c>
      <c r="B600" t="s">
        <v>948</v>
      </c>
      <c r="C600" t="s">
        <v>2523</v>
      </c>
      <c r="D600" t="s">
        <v>1031</v>
      </c>
      <c r="E600" t="s">
        <v>2524</v>
      </c>
      <c r="F600" t="s">
        <v>118</v>
      </c>
      <c r="G600" t="str">
        <f>HYPERLINK("https://vk.com/wall-27863223_292230?w=wall-27863223_292230_r292299")</f>
        <v>https://vk.com/wall-27863223_292230?w=wall-27863223_292230_r292299</v>
      </c>
      <c r="H600" t="s">
        <v>119</v>
      </c>
      <c r="I600" t="s">
        <v>2520</v>
      </c>
      <c r="J600" t="str">
        <f>HYPERLINK("http://vk.com/id264542014")</f>
        <v>http://vk.com/id264542014</v>
      </c>
      <c r="K600">
        <v>297</v>
      </c>
      <c r="L600" t="s">
        <v>121</v>
      </c>
      <c r="N600" t="s">
        <v>122</v>
      </c>
      <c r="O600" t="s">
        <v>175</v>
      </c>
      <c r="P600" t="str">
        <f t="shared" si="5"/>
        <v>http://vk.com/club27863223</v>
      </c>
      <c r="Q600">
        <v>134698</v>
      </c>
      <c r="R600" t="s">
        <v>124</v>
      </c>
      <c r="S600" t="s">
        <v>125</v>
      </c>
      <c r="T600" t="s">
        <v>2521</v>
      </c>
      <c r="U600" t="s">
        <v>2522</v>
      </c>
      <c r="W600">
        <v>0</v>
      </c>
      <c r="X600">
        <v>0</v>
      </c>
      <c r="AM600" t="s">
        <v>129</v>
      </c>
      <c r="AN600" t="s">
        <v>130</v>
      </c>
      <c r="AP600" t="s">
        <v>41</v>
      </c>
      <c r="AZ600" t="s">
        <v>51</v>
      </c>
      <c r="BB600" t="s">
        <v>53</v>
      </c>
    </row>
    <row r="601" spans="1:65" x14ac:dyDescent="0.2">
      <c r="A601" t="s">
        <v>2274</v>
      </c>
      <c r="B601" t="s">
        <v>2525</v>
      </c>
      <c r="C601" t="s">
        <v>2523</v>
      </c>
      <c r="D601" t="s">
        <v>1031</v>
      </c>
      <c r="E601" t="s">
        <v>2526</v>
      </c>
      <c r="F601" t="s">
        <v>118</v>
      </c>
      <c r="G601" t="str">
        <f>HYPERLINK("https://vk.com/wall-27863223_292230?w=wall-27863223_292230_r292296")</f>
        <v>https://vk.com/wall-27863223_292230?w=wall-27863223_292230_r292296</v>
      </c>
      <c r="H601" t="s">
        <v>119</v>
      </c>
      <c r="I601" t="s">
        <v>2527</v>
      </c>
      <c r="J601" t="str">
        <f>HYPERLINK("http://vk.com/id382015409")</f>
        <v>http://vk.com/id382015409</v>
      </c>
      <c r="K601">
        <v>862</v>
      </c>
      <c r="N601" t="s">
        <v>122</v>
      </c>
      <c r="O601" t="s">
        <v>175</v>
      </c>
      <c r="P601" t="str">
        <f t="shared" si="5"/>
        <v>http://vk.com/club27863223</v>
      </c>
      <c r="Q601">
        <v>134698</v>
      </c>
      <c r="R601" t="s">
        <v>124</v>
      </c>
      <c r="S601" t="s">
        <v>125</v>
      </c>
      <c r="W601">
        <v>0</v>
      </c>
      <c r="X601">
        <v>0</v>
      </c>
      <c r="AM601" t="s">
        <v>129</v>
      </c>
      <c r="AN601" t="s">
        <v>130</v>
      </c>
      <c r="AP601" t="s">
        <v>41</v>
      </c>
      <c r="AU601" t="s">
        <v>46</v>
      </c>
      <c r="AZ601" t="s">
        <v>51</v>
      </c>
      <c r="BA601" t="s">
        <v>52</v>
      </c>
    </row>
    <row r="602" spans="1:65" x14ac:dyDescent="0.2">
      <c r="A602" t="s">
        <v>2274</v>
      </c>
      <c r="B602" t="s">
        <v>2528</v>
      </c>
      <c r="C602" t="s">
        <v>2529</v>
      </c>
      <c r="D602" t="s">
        <v>1031</v>
      </c>
      <c r="E602" t="s">
        <v>2530</v>
      </c>
      <c r="F602" t="s">
        <v>118</v>
      </c>
      <c r="G602" t="str">
        <f>HYPERLINK("https://vk.com/wall-27863223_292230?reply=292295&amp;thread=292283")</f>
        <v>https://vk.com/wall-27863223_292230?reply=292295&amp;thread=292283</v>
      </c>
      <c r="H602" t="s">
        <v>119</v>
      </c>
      <c r="I602" t="s">
        <v>2520</v>
      </c>
      <c r="J602" t="str">
        <f>HYPERLINK("http://vk.com/id264542014")</f>
        <v>http://vk.com/id264542014</v>
      </c>
      <c r="K602">
        <v>297</v>
      </c>
      <c r="L602" t="s">
        <v>121</v>
      </c>
      <c r="N602" t="s">
        <v>122</v>
      </c>
      <c r="O602" t="s">
        <v>175</v>
      </c>
      <c r="P602" t="str">
        <f t="shared" si="5"/>
        <v>http://vk.com/club27863223</v>
      </c>
      <c r="Q602">
        <v>134698</v>
      </c>
      <c r="R602" t="s">
        <v>124</v>
      </c>
      <c r="S602" t="s">
        <v>125</v>
      </c>
      <c r="T602" t="s">
        <v>2521</v>
      </c>
      <c r="U602" t="s">
        <v>2522</v>
      </c>
      <c r="AM602" t="s">
        <v>129</v>
      </c>
      <c r="AN602" t="s">
        <v>130</v>
      </c>
      <c r="AP602" t="s">
        <v>41</v>
      </c>
      <c r="AZ602" t="s">
        <v>51</v>
      </c>
      <c r="BA602" t="s">
        <v>52</v>
      </c>
      <c r="BL602" t="s">
        <v>63</v>
      </c>
    </row>
    <row r="603" spans="1:65" x14ac:dyDescent="0.2">
      <c r="A603" t="s">
        <v>2274</v>
      </c>
      <c r="B603" t="s">
        <v>2528</v>
      </c>
      <c r="C603" t="s">
        <v>2531</v>
      </c>
      <c r="D603" t="s">
        <v>1031</v>
      </c>
      <c r="E603" t="s">
        <v>2532</v>
      </c>
      <c r="F603" t="s">
        <v>118</v>
      </c>
      <c r="G603" t="str">
        <f>HYPERLINK("https://vk.com/wall-27863223_292230?reply=292294&amp;thread=292237")</f>
        <v>https://vk.com/wall-27863223_292230?reply=292294&amp;thread=292237</v>
      </c>
      <c r="H603" t="s">
        <v>119</v>
      </c>
      <c r="I603" t="s">
        <v>2527</v>
      </c>
      <c r="J603" t="str">
        <f>HYPERLINK("http://vk.com/id382015409")</f>
        <v>http://vk.com/id382015409</v>
      </c>
      <c r="K603">
        <v>862</v>
      </c>
      <c r="L603" t="s">
        <v>121</v>
      </c>
      <c r="N603" t="s">
        <v>122</v>
      </c>
      <c r="O603" t="s">
        <v>175</v>
      </c>
      <c r="P603" t="str">
        <f t="shared" si="5"/>
        <v>http://vk.com/club27863223</v>
      </c>
      <c r="Q603">
        <v>134698</v>
      </c>
      <c r="R603" t="s">
        <v>124</v>
      </c>
      <c r="S603" t="s">
        <v>125</v>
      </c>
      <c r="AM603" t="s">
        <v>129</v>
      </c>
      <c r="AN603" t="s">
        <v>130</v>
      </c>
      <c r="AP603" t="s">
        <v>41</v>
      </c>
      <c r="AU603" t="s">
        <v>46</v>
      </c>
      <c r="AZ603" t="s">
        <v>51</v>
      </c>
      <c r="BA603" t="s">
        <v>52</v>
      </c>
    </row>
    <row r="604" spans="1:65" x14ac:dyDescent="0.2">
      <c r="A604" t="s">
        <v>2274</v>
      </c>
      <c r="B604" t="s">
        <v>953</v>
      </c>
      <c r="C604" t="s">
        <v>2523</v>
      </c>
      <c r="D604" t="s">
        <v>1031</v>
      </c>
      <c r="E604" t="s">
        <v>2533</v>
      </c>
      <c r="F604" t="s">
        <v>118</v>
      </c>
      <c r="G604" t="str">
        <f>HYPERLINK("https://vk.com/wall-27863223_292230?w=wall-27863223_292230_r292288")</f>
        <v>https://vk.com/wall-27863223_292230?w=wall-27863223_292230_r292288</v>
      </c>
      <c r="H604" t="s">
        <v>119</v>
      </c>
      <c r="I604" t="s">
        <v>2520</v>
      </c>
      <c r="J604" t="str">
        <f>HYPERLINK("http://vk.com/id264542014")</f>
        <v>http://vk.com/id264542014</v>
      </c>
      <c r="K604">
        <v>297</v>
      </c>
      <c r="L604" t="s">
        <v>121</v>
      </c>
      <c r="N604" t="s">
        <v>122</v>
      </c>
      <c r="O604" t="s">
        <v>175</v>
      </c>
      <c r="P604" t="str">
        <f t="shared" si="5"/>
        <v>http://vk.com/club27863223</v>
      </c>
      <c r="Q604">
        <v>134698</v>
      </c>
      <c r="R604" t="s">
        <v>124</v>
      </c>
      <c r="S604" t="s">
        <v>125</v>
      </c>
      <c r="T604" t="s">
        <v>2521</v>
      </c>
      <c r="U604" t="s">
        <v>2522</v>
      </c>
      <c r="W604">
        <v>0</v>
      </c>
      <c r="X604">
        <v>0</v>
      </c>
      <c r="AM604" t="s">
        <v>129</v>
      </c>
      <c r="AN604" t="s">
        <v>130</v>
      </c>
      <c r="AP604" t="s">
        <v>41</v>
      </c>
      <c r="AZ604" t="s">
        <v>51</v>
      </c>
      <c r="BA604" t="s">
        <v>52</v>
      </c>
      <c r="BL604" t="s">
        <v>63</v>
      </c>
    </row>
    <row r="605" spans="1:65" x14ac:dyDescent="0.2">
      <c r="A605" t="s">
        <v>2274</v>
      </c>
      <c r="B605" t="s">
        <v>2534</v>
      </c>
      <c r="C605" t="s">
        <v>2523</v>
      </c>
      <c r="D605" t="s">
        <v>1031</v>
      </c>
      <c r="E605" t="s">
        <v>2535</v>
      </c>
      <c r="F605" t="s">
        <v>118</v>
      </c>
      <c r="G605" t="str">
        <f>HYPERLINK("https://vk.com/wall-27863223_292230?w=wall-27863223_292230_r292286")</f>
        <v>https://vk.com/wall-27863223_292230?w=wall-27863223_292230_r292286</v>
      </c>
      <c r="H605" t="s">
        <v>119</v>
      </c>
      <c r="I605" t="s">
        <v>2527</v>
      </c>
      <c r="J605" t="str">
        <f>HYPERLINK("http://vk.com/id382015409")</f>
        <v>http://vk.com/id382015409</v>
      </c>
      <c r="K605">
        <v>862</v>
      </c>
      <c r="N605" t="s">
        <v>122</v>
      </c>
      <c r="O605" t="s">
        <v>175</v>
      </c>
      <c r="P605" t="str">
        <f t="shared" si="5"/>
        <v>http://vk.com/club27863223</v>
      </c>
      <c r="Q605">
        <v>134698</v>
      </c>
      <c r="R605" t="s">
        <v>124</v>
      </c>
      <c r="S605" t="s">
        <v>125</v>
      </c>
      <c r="W605">
        <v>0</v>
      </c>
      <c r="X605">
        <v>0</v>
      </c>
      <c r="AM605" t="s">
        <v>129</v>
      </c>
      <c r="AN605" t="s">
        <v>130</v>
      </c>
      <c r="AP605" t="s">
        <v>41</v>
      </c>
      <c r="AU605" t="s">
        <v>46</v>
      </c>
      <c r="AZ605" t="s">
        <v>51</v>
      </c>
      <c r="BA605" t="s">
        <v>52</v>
      </c>
    </row>
    <row r="606" spans="1:65" x14ac:dyDescent="0.2">
      <c r="A606" t="s">
        <v>2274</v>
      </c>
      <c r="B606" t="s">
        <v>1511</v>
      </c>
      <c r="C606" t="s">
        <v>2536</v>
      </c>
      <c r="D606" t="s">
        <v>1031</v>
      </c>
      <c r="E606" t="s">
        <v>2537</v>
      </c>
      <c r="F606" t="s">
        <v>118</v>
      </c>
      <c r="G606" t="str">
        <f>HYPERLINK("https://vk.com/wall-27863223_292230?w=wall-27863223_292230_r292285")</f>
        <v>https://vk.com/wall-27863223_292230?w=wall-27863223_292230_r292285</v>
      </c>
      <c r="H606" t="s">
        <v>228</v>
      </c>
      <c r="I606" t="s">
        <v>2520</v>
      </c>
      <c r="J606" t="str">
        <f>HYPERLINK("http://vk.com/id264542014")</f>
        <v>http://vk.com/id264542014</v>
      </c>
      <c r="K606">
        <v>297</v>
      </c>
      <c r="L606" t="s">
        <v>121</v>
      </c>
      <c r="N606" t="s">
        <v>122</v>
      </c>
      <c r="O606" t="s">
        <v>175</v>
      </c>
      <c r="P606" t="str">
        <f t="shared" si="5"/>
        <v>http://vk.com/club27863223</v>
      </c>
      <c r="Q606">
        <v>134698</v>
      </c>
      <c r="R606" t="s">
        <v>124</v>
      </c>
      <c r="S606" t="s">
        <v>125</v>
      </c>
      <c r="T606" t="s">
        <v>2521</v>
      </c>
      <c r="U606" t="s">
        <v>2522</v>
      </c>
      <c r="W606">
        <v>0</v>
      </c>
      <c r="X606">
        <v>0</v>
      </c>
      <c r="AM606" t="s">
        <v>129</v>
      </c>
      <c r="AN606" t="s">
        <v>130</v>
      </c>
      <c r="AP606" t="s">
        <v>41</v>
      </c>
      <c r="AU606" t="s">
        <v>46</v>
      </c>
      <c r="AW606" t="s">
        <v>48</v>
      </c>
      <c r="AZ606" t="s">
        <v>51</v>
      </c>
      <c r="BA606" t="s">
        <v>52</v>
      </c>
      <c r="BL606" t="s">
        <v>63</v>
      </c>
    </row>
    <row r="607" spans="1:65" x14ac:dyDescent="0.2">
      <c r="A607" t="s">
        <v>2274</v>
      </c>
      <c r="B607" t="s">
        <v>1511</v>
      </c>
      <c r="C607" t="s">
        <v>2538</v>
      </c>
      <c r="D607" t="s">
        <v>2539</v>
      </c>
      <c r="E607" t="s">
        <v>2540</v>
      </c>
      <c r="F607" t="s">
        <v>118</v>
      </c>
      <c r="G607" t="str">
        <f>HYPERLINK("https://vk.com/wall-84945620_11829?reply=11838")</f>
        <v>https://vk.com/wall-84945620_11829?reply=11838</v>
      </c>
      <c r="H607" t="s">
        <v>119</v>
      </c>
      <c r="I607" t="s">
        <v>2541</v>
      </c>
      <c r="J607" t="str">
        <f>HYPERLINK("http://vk.com/id209253511")</f>
        <v>http://vk.com/id209253511</v>
      </c>
      <c r="K607">
        <v>273</v>
      </c>
      <c r="L607" t="s">
        <v>121</v>
      </c>
      <c r="N607" t="s">
        <v>122</v>
      </c>
      <c r="O607" t="s">
        <v>2542</v>
      </c>
      <c r="P607" t="str">
        <f>HYPERLINK("http://vk.com/club84945620")</f>
        <v>http://vk.com/club84945620</v>
      </c>
      <c r="Q607">
        <v>11270</v>
      </c>
      <c r="R607" t="s">
        <v>124</v>
      </c>
      <c r="S607" t="s">
        <v>125</v>
      </c>
      <c r="T607" t="s">
        <v>601</v>
      </c>
      <c r="U607" t="s">
        <v>2543</v>
      </c>
      <c r="AM607" t="s">
        <v>129</v>
      </c>
      <c r="AN607" t="s">
        <v>130</v>
      </c>
      <c r="AP607" t="s">
        <v>41</v>
      </c>
      <c r="AZ607" t="s">
        <v>51</v>
      </c>
      <c r="BB607" t="s">
        <v>53</v>
      </c>
      <c r="BL607" t="s">
        <v>63</v>
      </c>
    </row>
    <row r="608" spans="1:65" x14ac:dyDescent="0.2">
      <c r="A608" t="s">
        <v>2274</v>
      </c>
      <c r="B608" t="s">
        <v>2544</v>
      </c>
      <c r="C608" t="s">
        <v>2545</v>
      </c>
      <c r="D608" t="s">
        <v>1074</v>
      </c>
      <c r="E608" t="s">
        <v>2546</v>
      </c>
      <c r="F608" t="s">
        <v>118</v>
      </c>
      <c r="G608" t="str">
        <f>HYPERLINK("https://vk.com/wall-80149142_348548?reply=348602&amp;thread=348594")</f>
        <v>https://vk.com/wall-80149142_348548?reply=348602&amp;thread=348594</v>
      </c>
      <c r="H608" t="s">
        <v>181</v>
      </c>
      <c r="I608" t="s">
        <v>2375</v>
      </c>
      <c r="J608" t="str">
        <f>HYPERLINK("http://vk.com/id286872358")</f>
        <v>http://vk.com/id286872358</v>
      </c>
      <c r="K608">
        <v>304</v>
      </c>
      <c r="L608" t="s">
        <v>121</v>
      </c>
      <c r="N608" t="s">
        <v>122</v>
      </c>
      <c r="O608" t="s">
        <v>1076</v>
      </c>
      <c r="P608" t="str">
        <f>HYPERLINK("http://vk.com/club80149142")</f>
        <v>http://vk.com/club80149142</v>
      </c>
      <c r="Q608">
        <v>59466</v>
      </c>
      <c r="R608" t="s">
        <v>124</v>
      </c>
      <c r="S608" t="s">
        <v>125</v>
      </c>
      <c r="T608" t="s">
        <v>667</v>
      </c>
      <c r="U608" t="s">
        <v>668</v>
      </c>
      <c r="AM608" t="s">
        <v>129</v>
      </c>
      <c r="AN608" t="s">
        <v>130</v>
      </c>
      <c r="AP608" t="s">
        <v>41</v>
      </c>
      <c r="AT608" t="s">
        <v>45</v>
      </c>
      <c r="AY608" t="s">
        <v>50</v>
      </c>
      <c r="AZ608" t="s">
        <v>51</v>
      </c>
      <c r="BA608" t="s">
        <v>52</v>
      </c>
    </row>
    <row r="609" spans="1:65" x14ac:dyDescent="0.2">
      <c r="A609" t="s">
        <v>2274</v>
      </c>
      <c r="B609" t="s">
        <v>2547</v>
      </c>
      <c r="C609" t="s">
        <v>2545</v>
      </c>
      <c r="D609" t="s">
        <v>1031</v>
      </c>
      <c r="E609" t="s">
        <v>2548</v>
      </c>
      <c r="F609" t="s">
        <v>118</v>
      </c>
      <c r="G609" t="str">
        <f>HYPERLINK("https://vk.com/wall-27863223_292230?reply=292283")</f>
        <v>https://vk.com/wall-27863223_292230?reply=292283</v>
      </c>
      <c r="H609" t="s">
        <v>228</v>
      </c>
      <c r="I609" t="s">
        <v>2520</v>
      </c>
      <c r="J609" t="str">
        <f>HYPERLINK("http://vk.com/id264542014")</f>
        <v>http://vk.com/id264542014</v>
      </c>
      <c r="K609">
        <v>297</v>
      </c>
      <c r="L609" t="s">
        <v>121</v>
      </c>
      <c r="N609" t="s">
        <v>122</v>
      </c>
      <c r="O609" t="s">
        <v>175</v>
      </c>
      <c r="P609" t="str">
        <f>HYPERLINK("http://vk.com/club27863223")</f>
        <v>http://vk.com/club27863223</v>
      </c>
      <c r="Q609">
        <v>134698</v>
      </c>
      <c r="R609" t="s">
        <v>124</v>
      </c>
      <c r="S609" t="s">
        <v>125</v>
      </c>
      <c r="T609" t="s">
        <v>2521</v>
      </c>
      <c r="U609" t="s">
        <v>2522</v>
      </c>
      <c r="AM609" t="s">
        <v>129</v>
      </c>
      <c r="AN609" t="s">
        <v>130</v>
      </c>
      <c r="AP609" t="s">
        <v>41</v>
      </c>
      <c r="AT609" t="s">
        <v>45</v>
      </c>
      <c r="AW609" t="s">
        <v>48</v>
      </c>
      <c r="AZ609" t="s">
        <v>51</v>
      </c>
      <c r="BA609" t="s">
        <v>52</v>
      </c>
    </row>
    <row r="610" spans="1:65" x14ac:dyDescent="0.2">
      <c r="A610" t="s">
        <v>2274</v>
      </c>
      <c r="B610" t="s">
        <v>2023</v>
      </c>
      <c r="C610" t="s">
        <v>2549</v>
      </c>
      <c r="D610" t="s">
        <v>2550</v>
      </c>
      <c r="E610" t="s">
        <v>2551</v>
      </c>
      <c r="F610" t="s">
        <v>180</v>
      </c>
      <c r="G610" t="str">
        <f>HYPERLINK("https://telesputnik.ru/forum/viewtopic.php?f=39&amp;t=57858&amp;start=1020#p2482672")</f>
        <v>https://telesputnik.ru/forum/viewtopic.php?f=39&amp;t=57858&amp;start=1020#p2482672</v>
      </c>
      <c r="H610" t="s">
        <v>119</v>
      </c>
      <c r="I610" t="s">
        <v>2552</v>
      </c>
      <c r="J610" t="str">
        <f>HYPERLINK("https://telesputnik.ru/forum/memberlist.php?mode=viewprofile&amp;u=123376")</f>
        <v>https://telesputnik.ru/forum/memberlist.php?mode=viewprofile&amp;u=123376</v>
      </c>
      <c r="N610" t="s">
        <v>335</v>
      </c>
      <c r="O610" t="s">
        <v>2553</v>
      </c>
      <c r="P610" t="str">
        <f>HYPERLINK("https://telesputnik.ru/forum/viewforum.php?f=39")</f>
        <v>https://telesputnik.ru/forum/viewforum.php?f=39</v>
      </c>
      <c r="R610" t="s">
        <v>295</v>
      </c>
      <c r="S610" t="s">
        <v>125</v>
      </c>
      <c r="AM610" t="s">
        <v>129</v>
      </c>
      <c r="AN610" t="s">
        <v>130</v>
      </c>
      <c r="AP610" t="s">
        <v>41</v>
      </c>
      <c r="AY610" t="s">
        <v>50</v>
      </c>
      <c r="AZ610" t="s">
        <v>51</v>
      </c>
      <c r="BA610" t="s">
        <v>52</v>
      </c>
    </row>
    <row r="611" spans="1:65" x14ac:dyDescent="0.2">
      <c r="A611" t="s">
        <v>2274</v>
      </c>
      <c r="B611" t="s">
        <v>430</v>
      </c>
      <c r="C611" t="s">
        <v>2554</v>
      </c>
      <c r="D611" t="s">
        <v>2555</v>
      </c>
      <c r="E611" t="s">
        <v>2556</v>
      </c>
      <c r="F611" t="s">
        <v>180</v>
      </c>
      <c r="G611" t="str">
        <f>HYPERLINK("https://www.google.com/maps/reviews/data=!4m5!14m4!1m3!1m2!1s117551888844148803782!2s0x0:0x765a872a488b69c5?hl=en-NL")</f>
        <v>https://www.google.com/maps/reviews/data=!4m5!14m4!1m3!1m2!1s117551888844148803782!2s0x0:0x765a872a488b69c5?hl=en-NL</v>
      </c>
      <c r="H611" t="s">
        <v>119</v>
      </c>
      <c r="I611" t="s">
        <v>2557</v>
      </c>
      <c r="J611" t="str">
        <f>HYPERLINK("https://maps.google.com/maps/contrib/117551888844148803782")</f>
        <v>https://maps.google.com/maps/contrib/117551888844148803782</v>
      </c>
      <c r="N611" t="s">
        <v>673</v>
      </c>
      <c r="O611" t="s">
        <v>2555</v>
      </c>
      <c r="P611" t="str">
        <f>HYPERLINK("https://maps.google.com/maps/place/data=!3m1!4b1!4m5!3m4!1s0x0:0x765a872a488b69c5!8m2!3d55.706970!4d36.206020")</f>
        <v>https://maps.google.com/maps/place/data=!3m1!4b1!4m5!3m4!1s0x0:0x765a872a488b69c5!8m2!3d55.706970!4d36.206020</v>
      </c>
      <c r="R611" t="s">
        <v>184</v>
      </c>
      <c r="S611" t="s">
        <v>125</v>
      </c>
      <c r="T611" t="s">
        <v>153</v>
      </c>
      <c r="U611" t="s">
        <v>154</v>
      </c>
      <c r="W611">
        <v>0</v>
      </c>
      <c r="X611">
        <v>0</v>
      </c>
      <c r="AH611">
        <v>4</v>
      </c>
      <c r="AM611" t="s">
        <v>129</v>
      </c>
      <c r="AN611" t="s">
        <v>130</v>
      </c>
      <c r="AP611" t="s">
        <v>41</v>
      </c>
      <c r="AX611" t="s">
        <v>49</v>
      </c>
      <c r="AZ611" t="s">
        <v>51</v>
      </c>
      <c r="BA611" t="s">
        <v>52</v>
      </c>
    </row>
    <row r="612" spans="1:65" x14ac:dyDescent="0.2">
      <c r="A612" t="s">
        <v>2274</v>
      </c>
      <c r="B612" t="s">
        <v>1518</v>
      </c>
      <c r="C612" t="s">
        <v>2558</v>
      </c>
      <c r="D612" t="s">
        <v>1031</v>
      </c>
      <c r="E612" t="s">
        <v>2559</v>
      </c>
      <c r="F612" t="s">
        <v>118</v>
      </c>
      <c r="G612" t="str">
        <f>HYPERLINK("https://vk.com/wall-27863223_292230?reply=292281")</f>
        <v>https://vk.com/wall-27863223_292230?reply=292281</v>
      </c>
      <c r="H612" t="s">
        <v>119</v>
      </c>
      <c r="I612" t="s">
        <v>223</v>
      </c>
      <c r="J612" t="str">
        <f>HYPERLINK("http://vk.com/id35568203")</f>
        <v>http://vk.com/id35568203</v>
      </c>
      <c r="K612">
        <v>62</v>
      </c>
      <c r="L612" t="s">
        <v>151</v>
      </c>
      <c r="N612" t="s">
        <v>122</v>
      </c>
      <c r="O612" t="s">
        <v>175</v>
      </c>
      <c r="P612" t="str">
        <f>HYPERLINK("http://vk.com/club27863223")</f>
        <v>http://vk.com/club27863223</v>
      </c>
      <c r="Q612">
        <v>134698</v>
      </c>
      <c r="R612" t="s">
        <v>124</v>
      </c>
      <c r="S612" t="s">
        <v>125</v>
      </c>
      <c r="W612">
        <v>0</v>
      </c>
      <c r="X612">
        <v>0</v>
      </c>
      <c r="AM612" t="s">
        <v>129</v>
      </c>
      <c r="AN612" t="s">
        <v>130</v>
      </c>
      <c r="AO612" t="s">
        <v>40</v>
      </c>
      <c r="AP612" t="s">
        <v>41</v>
      </c>
      <c r="AZ612" t="s">
        <v>51</v>
      </c>
      <c r="BA612" t="s">
        <v>52</v>
      </c>
    </row>
    <row r="613" spans="1:65" x14ac:dyDescent="0.2">
      <c r="A613" t="s">
        <v>2274</v>
      </c>
      <c r="B613" t="s">
        <v>972</v>
      </c>
      <c r="C613" t="s">
        <v>2560</v>
      </c>
      <c r="D613" t="s">
        <v>1074</v>
      </c>
      <c r="E613" t="s">
        <v>2561</v>
      </c>
      <c r="F613" t="s">
        <v>118</v>
      </c>
      <c r="G613" t="str">
        <f>HYPERLINK("https://vk.com/wall-80149142_348548?reply=348600&amp;thread=348594")</f>
        <v>https://vk.com/wall-80149142_348548?reply=348600&amp;thread=348594</v>
      </c>
      <c r="H613" t="s">
        <v>119</v>
      </c>
      <c r="I613" t="s">
        <v>2366</v>
      </c>
      <c r="J613" t="str">
        <f>HYPERLINK("http://vk.com/id5466232")</f>
        <v>http://vk.com/id5466232</v>
      </c>
      <c r="K613">
        <v>470</v>
      </c>
      <c r="L613" t="s">
        <v>151</v>
      </c>
      <c r="N613" t="s">
        <v>122</v>
      </c>
      <c r="O613" t="s">
        <v>1076</v>
      </c>
      <c r="P613" t="str">
        <f>HYPERLINK("http://vk.com/club80149142")</f>
        <v>http://vk.com/club80149142</v>
      </c>
      <c r="Q613">
        <v>59466</v>
      </c>
      <c r="R613" t="s">
        <v>124</v>
      </c>
      <c r="S613" t="s">
        <v>125</v>
      </c>
      <c r="T613" t="s">
        <v>667</v>
      </c>
      <c r="U613" t="s">
        <v>668</v>
      </c>
      <c r="AM613" t="s">
        <v>129</v>
      </c>
      <c r="AN613" t="s">
        <v>130</v>
      </c>
      <c r="AP613" t="s">
        <v>41</v>
      </c>
      <c r="AT613" t="s">
        <v>45</v>
      </c>
      <c r="AY613" t="s">
        <v>50</v>
      </c>
      <c r="AZ613" t="s">
        <v>51</v>
      </c>
      <c r="BA613" t="s">
        <v>52</v>
      </c>
      <c r="BL613" t="s">
        <v>63</v>
      </c>
    </row>
    <row r="614" spans="1:65" x14ac:dyDescent="0.2">
      <c r="A614" t="s">
        <v>2274</v>
      </c>
      <c r="B614" t="s">
        <v>2562</v>
      </c>
      <c r="C614" t="s">
        <v>2563</v>
      </c>
      <c r="D614" t="s">
        <v>2277</v>
      </c>
      <c r="E614" t="s">
        <v>2564</v>
      </c>
      <c r="F614" t="s">
        <v>118</v>
      </c>
      <c r="G614" t="str">
        <f>HYPERLINK("https://vk.com/wall-61101621_254781?reply=254851")</f>
        <v>https://vk.com/wall-61101621_254781?reply=254851</v>
      </c>
      <c r="H614" t="s">
        <v>119</v>
      </c>
      <c r="I614" t="s">
        <v>2565</v>
      </c>
      <c r="J614" t="str">
        <f>HYPERLINK("http://vk.com/id247785400")</f>
        <v>http://vk.com/id247785400</v>
      </c>
      <c r="K614">
        <v>19</v>
      </c>
      <c r="L614" t="s">
        <v>121</v>
      </c>
      <c r="M614">
        <v>56</v>
      </c>
      <c r="N614" t="s">
        <v>122</v>
      </c>
      <c r="O614" t="s">
        <v>160</v>
      </c>
      <c r="P614" t="str">
        <f>HYPERLINK("http://vk.com/club61101621")</f>
        <v>http://vk.com/club61101621</v>
      </c>
      <c r="Q614">
        <v>21119</v>
      </c>
      <c r="R614" t="s">
        <v>124</v>
      </c>
      <c r="S614" t="s">
        <v>125</v>
      </c>
      <c r="T614" t="s">
        <v>2566</v>
      </c>
      <c r="U614" t="s">
        <v>2567</v>
      </c>
      <c r="AM614" t="s">
        <v>129</v>
      </c>
      <c r="AN614" t="s">
        <v>130</v>
      </c>
      <c r="AP614" t="s">
        <v>41</v>
      </c>
      <c r="AY614" t="s">
        <v>50</v>
      </c>
      <c r="AZ614" t="s">
        <v>51</v>
      </c>
      <c r="BA614" t="s">
        <v>52</v>
      </c>
      <c r="BL614" t="s">
        <v>63</v>
      </c>
    </row>
    <row r="615" spans="1:65" x14ac:dyDescent="0.2">
      <c r="A615" t="s">
        <v>2274</v>
      </c>
      <c r="B615" t="s">
        <v>2568</v>
      </c>
      <c r="C615" t="s">
        <v>2569</v>
      </c>
      <c r="D615" t="s">
        <v>2215</v>
      </c>
      <c r="E615" t="s">
        <v>2570</v>
      </c>
      <c r="F615" t="s">
        <v>118</v>
      </c>
      <c r="G615" t="str">
        <f>HYPERLINK("https://vk.com/wall-27863223_292151?reply=292280&amp;thread=292158")</f>
        <v>https://vk.com/wall-27863223_292151?reply=292280&amp;thread=292158</v>
      </c>
      <c r="H615" t="s">
        <v>119</v>
      </c>
      <c r="I615" t="s">
        <v>1111</v>
      </c>
      <c r="J615" t="str">
        <f>HYPERLINK("http://vk.com/id575539922")</f>
        <v>http://vk.com/id575539922</v>
      </c>
      <c r="K615">
        <v>12</v>
      </c>
      <c r="L615" t="s">
        <v>121</v>
      </c>
      <c r="M615">
        <v>54</v>
      </c>
      <c r="N615" t="s">
        <v>122</v>
      </c>
      <c r="O615" t="s">
        <v>175</v>
      </c>
      <c r="P615" t="str">
        <f>HYPERLINK("http://vk.com/club27863223")</f>
        <v>http://vk.com/club27863223</v>
      </c>
      <c r="Q615">
        <v>134698</v>
      </c>
      <c r="R615" t="s">
        <v>124</v>
      </c>
      <c r="S615" t="s">
        <v>125</v>
      </c>
      <c r="T615" t="s">
        <v>627</v>
      </c>
      <c r="U615" t="s">
        <v>1112</v>
      </c>
      <c r="AM615" t="s">
        <v>129</v>
      </c>
      <c r="AN615" t="s">
        <v>130</v>
      </c>
      <c r="AP615" t="s">
        <v>41</v>
      </c>
      <c r="AU615" t="s">
        <v>46</v>
      </c>
      <c r="AZ615" t="s">
        <v>51</v>
      </c>
      <c r="BA615" t="s">
        <v>52</v>
      </c>
    </row>
    <row r="616" spans="1:65" x14ac:dyDescent="0.2">
      <c r="A616" t="s">
        <v>2274</v>
      </c>
      <c r="B616" t="s">
        <v>2571</v>
      </c>
      <c r="C616" t="s">
        <v>2441</v>
      </c>
      <c r="D616" t="s">
        <v>2572</v>
      </c>
      <c r="E616" t="s">
        <v>2573</v>
      </c>
      <c r="F616" t="s">
        <v>180</v>
      </c>
      <c r="G616" t="str">
        <f>HYPERLINK("https://www.ozon.ru/context/detail/id/258848407/#62457411")</f>
        <v>https://www.ozon.ru/context/detail/id/258848407/#62457411</v>
      </c>
      <c r="H616" t="s">
        <v>181</v>
      </c>
      <c r="I616" t="s">
        <v>2574</v>
      </c>
      <c r="J616" t="str">
        <f>HYPERLINK("https://www.ozon.ru/context/client_opinion/ClientGuid/083adecc-ddfc-408d-bc2e-dcfcd04be201/")</f>
        <v>https://www.ozon.ru/context/client_opinion/ClientGuid/083adecc-ddfc-408d-bc2e-dcfcd04be201/</v>
      </c>
      <c r="L616" t="s">
        <v>151</v>
      </c>
      <c r="N616" t="s">
        <v>183</v>
      </c>
      <c r="O616" t="s">
        <v>2572</v>
      </c>
      <c r="P616" t="str">
        <f>HYPERLINK("https://www.ozon.ru/context/detail/id/258848407/")</f>
        <v>https://www.ozon.ru/context/detail/id/258848407/</v>
      </c>
      <c r="R616" t="s">
        <v>184</v>
      </c>
      <c r="S616" t="s">
        <v>125</v>
      </c>
      <c r="W616">
        <v>0</v>
      </c>
      <c r="X616">
        <v>0</v>
      </c>
      <c r="AH616">
        <v>5</v>
      </c>
      <c r="AM616" t="s">
        <v>129</v>
      </c>
      <c r="AN616" t="s">
        <v>130</v>
      </c>
      <c r="AP616" t="s">
        <v>41</v>
      </c>
      <c r="AT616" t="s">
        <v>45</v>
      </c>
      <c r="AZ616" t="s">
        <v>51</v>
      </c>
      <c r="BA616" t="s">
        <v>52</v>
      </c>
    </row>
    <row r="617" spans="1:65" x14ac:dyDescent="0.2">
      <c r="A617" t="s">
        <v>2274</v>
      </c>
      <c r="B617" t="s">
        <v>2575</v>
      </c>
      <c r="C617" t="s">
        <v>2576</v>
      </c>
      <c r="D617" t="s">
        <v>2577</v>
      </c>
      <c r="E617" t="s">
        <v>2578</v>
      </c>
      <c r="F617" t="s">
        <v>118</v>
      </c>
      <c r="G617" t="str">
        <f>HYPERLINK("https://vk.com/wall-160909412_845409?reply=845473&amp;thread=845419")</f>
        <v>https://vk.com/wall-160909412_845409?reply=845473&amp;thread=845419</v>
      </c>
      <c r="H617" t="s">
        <v>181</v>
      </c>
      <c r="I617" t="s">
        <v>2579</v>
      </c>
      <c r="J617" t="str">
        <f>HYPERLINK("http://vk.com/id80958178")</f>
        <v>http://vk.com/id80958178</v>
      </c>
      <c r="K617">
        <v>339</v>
      </c>
      <c r="L617" t="s">
        <v>121</v>
      </c>
      <c r="M617">
        <v>26</v>
      </c>
      <c r="N617" t="s">
        <v>122</v>
      </c>
      <c r="O617" t="s">
        <v>2580</v>
      </c>
      <c r="P617" t="str">
        <f>HYPERLINK("http://vk.com/club160909412")</f>
        <v>http://vk.com/club160909412</v>
      </c>
      <c r="Q617">
        <v>911042</v>
      </c>
      <c r="R617" t="s">
        <v>124</v>
      </c>
      <c r="S617" t="s">
        <v>125</v>
      </c>
      <c r="T617" t="s">
        <v>218</v>
      </c>
      <c r="U617" t="s">
        <v>2581</v>
      </c>
      <c r="AM617" t="s">
        <v>129</v>
      </c>
      <c r="AN617" t="s">
        <v>130</v>
      </c>
      <c r="AP617" t="s">
        <v>41</v>
      </c>
      <c r="AW617" t="s">
        <v>48</v>
      </c>
      <c r="AZ617" t="s">
        <v>51</v>
      </c>
      <c r="BA617" t="s">
        <v>52</v>
      </c>
    </row>
    <row r="618" spans="1:65" x14ac:dyDescent="0.2">
      <c r="A618" t="s">
        <v>2274</v>
      </c>
      <c r="B618" t="s">
        <v>1527</v>
      </c>
      <c r="C618" t="s">
        <v>2582</v>
      </c>
      <c r="D618" t="s">
        <v>1074</v>
      </c>
      <c r="E618" t="s">
        <v>2583</v>
      </c>
      <c r="F618" t="s">
        <v>118</v>
      </c>
      <c r="G618" t="str">
        <f>HYPERLINK("https://vk.com/wall-80149142_348548?reply=348598&amp;thread=348594")</f>
        <v>https://vk.com/wall-80149142_348548?reply=348598&amp;thread=348594</v>
      </c>
      <c r="H618" t="s">
        <v>119</v>
      </c>
      <c r="I618" t="s">
        <v>2375</v>
      </c>
      <c r="J618" t="str">
        <f>HYPERLINK("http://vk.com/id286872358")</f>
        <v>http://vk.com/id286872358</v>
      </c>
      <c r="K618">
        <v>304</v>
      </c>
      <c r="L618" t="s">
        <v>121</v>
      </c>
      <c r="N618" t="s">
        <v>122</v>
      </c>
      <c r="O618" t="s">
        <v>1076</v>
      </c>
      <c r="P618" t="str">
        <f>HYPERLINK("http://vk.com/club80149142")</f>
        <v>http://vk.com/club80149142</v>
      </c>
      <c r="Q618">
        <v>59466</v>
      </c>
      <c r="R618" t="s">
        <v>124</v>
      </c>
      <c r="S618" t="s">
        <v>125</v>
      </c>
      <c r="T618" t="s">
        <v>667</v>
      </c>
      <c r="U618" t="s">
        <v>668</v>
      </c>
      <c r="AM618" t="s">
        <v>129</v>
      </c>
      <c r="AN618" t="s">
        <v>130</v>
      </c>
      <c r="AP618" t="s">
        <v>41</v>
      </c>
      <c r="AZ618" t="s">
        <v>51</v>
      </c>
      <c r="BB618" t="s">
        <v>53</v>
      </c>
    </row>
    <row r="619" spans="1:65" x14ac:dyDescent="0.2">
      <c r="A619" t="s">
        <v>2274</v>
      </c>
      <c r="B619" t="s">
        <v>2584</v>
      </c>
      <c r="C619" t="s">
        <v>2585</v>
      </c>
      <c r="D619" t="s">
        <v>2215</v>
      </c>
      <c r="E619" t="s">
        <v>2586</v>
      </c>
      <c r="F619" t="s">
        <v>118</v>
      </c>
      <c r="G619" t="str">
        <f>HYPERLINK("https://vk.com/wall-27863223_292151?reply=292278&amp;thread=292165")</f>
        <v>https://vk.com/wall-27863223_292151?reply=292278&amp;thread=292165</v>
      </c>
      <c r="H619" t="s">
        <v>181</v>
      </c>
      <c r="I619" t="s">
        <v>2436</v>
      </c>
      <c r="J619" t="str">
        <f>HYPERLINK("http://vk.com/id8629942")</f>
        <v>http://vk.com/id8629942</v>
      </c>
      <c r="K619">
        <v>627</v>
      </c>
      <c r="L619" t="s">
        <v>121</v>
      </c>
      <c r="N619" t="s">
        <v>122</v>
      </c>
      <c r="O619" t="s">
        <v>175</v>
      </c>
      <c r="P619" t="str">
        <f>HYPERLINK("http://vk.com/club27863223")</f>
        <v>http://vk.com/club27863223</v>
      </c>
      <c r="Q619">
        <v>134698</v>
      </c>
      <c r="R619" t="s">
        <v>124</v>
      </c>
      <c r="S619" t="s">
        <v>125</v>
      </c>
      <c r="AM619" t="s">
        <v>129</v>
      </c>
      <c r="AN619" t="s">
        <v>130</v>
      </c>
      <c r="AP619" t="s">
        <v>41</v>
      </c>
      <c r="AY619" t="s">
        <v>50</v>
      </c>
      <c r="AZ619" t="s">
        <v>51</v>
      </c>
      <c r="BA619" t="s">
        <v>52</v>
      </c>
    </row>
    <row r="620" spans="1:65" x14ac:dyDescent="0.2">
      <c r="A620" t="s">
        <v>2274</v>
      </c>
      <c r="B620" t="s">
        <v>1555</v>
      </c>
      <c r="C620" t="s">
        <v>2585</v>
      </c>
      <c r="D620" t="s">
        <v>1074</v>
      </c>
      <c r="E620" t="s">
        <v>2587</v>
      </c>
      <c r="F620" t="s">
        <v>118</v>
      </c>
      <c r="G620" t="str">
        <f>HYPERLINK("https://vk.com/wall-80149142_348548?reply=348597&amp;thread=348594")</f>
        <v>https://vk.com/wall-80149142_348548?reply=348597&amp;thread=348594</v>
      </c>
      <c r="H620" t="s">
        <v>119</v>
      </c>
      <c r="I620" t="s">
        <v>2588</v>
      </c>
      <c r="J620" t="str">
        <f>HYPERLINK("http://vk.com/id167503718")</f>
        <v>http://vk.com/id167503718</v>
      </c>
      <c r="K620">
        <v>180</v>
      </c>
      <c r="L620" t="s">
        <v>151</v>
      </c>
      <c r="N620" t="s">
        <v>122</v>
      </c>
      <c r="O620" t="s">
        <v>1076</v>
      </c>
      <c r="P620" t="str">
        <f>HYPERLINK("http://vk.com/club80149142")</f>
        <v>http://vk.com/club80149142</v>
      </c>
      <c r="Q620">
        <v>59466</v>
      </c>
      <c r="R620" t="s">
        <v>124</v>
      </c>
      <c r="S620" t="s">
        <v>125</v>
      </c>
      <c r="T620" t="s">
        <v>667</v>
      </c>
      <c r="U620" t="s">
        <v>668</v>
      </c>
      <c r="AM620" t="s">
        <v>129</v>
      </c>
      <c r="AN620" t="s">
        <v>130</v>
      </c>
      <c r="AP620" t="s">
        <v>41</v>
      </c>
      <c r="AZ620" t="s">
        <v>51</v>
      </c>
      <c r="BA620" t="s">
        <v>52</v>
      </c>
      <c r="BL620" t="s">
        <v>63</v>
      </c>
      <c r="BM620" t="s">
        <v>64</v>
      </c>
    </row>
    <row r="621" spans="1:65" x14ac:dyDescent="0.2">
      <c r="A621" t="s">
        <v>2274</v>
      </c>
      <c r="B621" t="s">
        <v>2589</v>
      </c>
      <c r="C621" t="s">
        <v>2590</v>
      </c>
      <c r="D621" t="s">
        <v>2215</v>
      </c>
      <c r="E621" t="s">
        <v>2591</v>
      </c>
      <c r="F621" t="s">
        <v>118</v>
      </c>
      <c r="G621" t="str">
        <f>HYPERLINK("https://vk.com/wall-27863223_292151?reply=292276&amp;thread=292165")</f>
        <v>https://vk.com/wall-27863223_292151?reply=292276&amp;thread=292165</v>
      </c>
      <c r="H621" t="s">
        <v>181</v>
      </c>
      <c r="I621" t="s">
        <v>2436</v>
      </c>
      <c r="J621" t="str">
        <f>HYPERLINK("http://vk.com/id8629942")</f>
        <v>http://vk.com/id8629942</v>
      </c>
      <c r="K621">
        <v>627</v>
      </c>
      <c r="L621" t="s">
        <v>121</v>
      </c>
      <c r="N621" t="s">
        <v>122</v>
      </c>
      <c r="O621" t="s">
        <v>175</v>
      </c>
      <c r="P621" t="str">
        <f>HYPERLINK("http://vk.com/club27863223")</f>
        <v>http://vk.com/club27863223</v>
      </c>
      <c r="Q621">
        <v>134698</v>
      </c>
      <c r="R621" t="s">
        <v>124</v>
      </c>
      <c r="S621" t="s">
        <v>125</v>
      </c>
      <c r="AM621" t="s">
        <v>129</v>
      </c>
      <c r="AN621" t="s">
        <v>130</v>
      </c>
      <c r="AP621" t="s">
        <v>41</v>
      </c>
      <c r="AU621" t="s">
        <v>46</v>
      </c>
      <c r="AZ621" t="s">
        <v>51</v>
      </c>
      <c r="BA621" t="s">
        <v>52</v>
      </c>
    </row>
    <row r="622" spans="1:65" x14ac:dyDescent="0.2">
      <c r="A622" t="s">
        <v>2274</v>
      </c>
      <c r="B622" t="s">
        <v>978</v>
      </c>
      <c r="C622" t="s">
        <v>2592</v>
      </c>
      <c r="D622" t="s">
        <v>2215</v>
      </c>
      <c r="E622" t="s">
        <v>2593</v>
      </c>
      <c r="F622" t="s">
        <v>118</v>
      </c>
      <c r="G622" t="str">
        <f>HYPERLINK("https://vk.com/wall-27863223_292151?w=wall-27863223_292151_r292275")</f>
        <v>https://vk.com/wall-27863223_292151?w=wall-27863223_292151_r292275</v>
      </c>
      <c r="H622" t="s">
        <v>119</v>
      </c>
      <c r="I622" t="s">
        <v>2436</v>
      </c>
      <c r="J622" t="str">
        <f>HYPERLINK("http://vk.com/id8629942")</f>
        <v>http://vk.com/id8629942</v>
      </c>
      <c r="K622">
        <v>627</v>
      </c>
      <c r="L622" t="s">
        <v>121</v>
      </c>
      <c r="N622" t="s">
        <v>122</v>
      </c>
      <c r="O622" t="s">
        <v>175</v>
      </c>
      <c r="P622" t="str">
        <f>HYPERLINK("http://vk.com/club27863223")</f>
        <v>http://vk.com/club27863223</v>
      </c>
      <c r="Q622">
        <v>134698</v>
      </c>
      <c r="R622" t="s">
        <v>124</v>
      </c>
      <c r="S622" t="s">
        <v>125</v>
      </c>
      <c r="W622">
        <v>0</v>
      </c>
      <c r="X622">
        <v>0</v>
      </c>
      <c r="AM622" t="s">
        <v>129</v>
      </c>
      <c r="AN622" t="s">
        <v>130</v>
      </c>
      <c r="AP622" t="s">
        <v>41</v>
      </c>
      <c r="AU622" t="s">
        <v>46</v>
      </c>
      <c r="AZ622" t="s">
        <v>51</v>
      </c>
      <c r="BA622" t="s">
        <v>52</v>
      </c>
    </row>
    <row r="623" spans="1:65" x14ac:dyDescent="0.2">
      <c r="A623" t="s">
        <v>2274</v>
      </c>
      <c r="B623" t="s">
        <v>1002</v>
      </c>
      <c r="C623" t="s">
        <v>2594</v>
      </c>
      <c r="D623" t="s">
        <v>1074</v>
      </c>
      <c r="E623" t="s">
        <v>2595</v>
      </c>
      <c r="F623" t="s">
        <v>118</v>
      </c>
      <c r="G623" t="str">
        <f>HYPERLINK("https://vk.com/wall-80149142_348548?reply=348594")</f>
        <v>https://vk.com/wall-80149142_348548?reply=348594</v>
      </c>
      <c r="H623" t="s">
        <v>119</v>
      </c>
      <c r="I623" t="s">
        <v>2375</v>
      </c>
      <c r="J623" t="str">
        <f>HYPERLINK("http://vk.com/id286872358")</f>
        <v>http://vk.com/id286872358</v>
      </c>
      <c r="K623">
        <v>304</v>
      </c>
      <c r="L623" t="s">
        <v>121</v>
      </c>
      <c r="N623" t="s">
        <v>122</v>
      </c>
      <c r="O623" t="s">
        <v>1076</v>
      </c>
      <c r="P623" t="str">
        <f>HYPERLINK("http://vk.com/club80149142")</f>
        <v>http://vk.com/club80149142</v>
      </c>
      <c r="Q623">
        <v>59466</v>
      </c>
      <c r="R623" t="s">
        <v>124</v>
      </c>
      <c r="S623" t="s">
        <v>125</v>
      </c>
      <c r="T623" t="s">
        <v>667</v>
      </c>
      <c r="U623" t="s">
        <v>668</v>
      </c>
      <c r="AM623" t="s">
        <v>129</v>
      </c>
      <c r="AN623" t="s">
        <v>130</v>
      </c>
      <c r="AP623" t="s">
        <v>41</v>
      </c>
      <c r="AZ623" t="s">
        <v>51</v>
      </c>
      <c r="BA623" t="s">
        <v>52</v>
      </c>
      <c r="BL623" t="s">
        <v>63</v>
      </c>
    </row>
    <row r="624" spans="1:65" x14ac:dyDescent="0.2">
      <c r="A624" t="s">
        <v>2274</v>
      </c>
      <c r="B624" t="s">
        <v>2596</v>
      </c>
      <c r="C624" t="s">
        <v>2592</v>
      </c>
      <c r="D624" t="s">
        <v>1031</v>
      </c>
      <c r="E624" t="s">
        <v>2597</v>
      </c>
      <c r="F624" t="s">
        <v>118</v>
      </c>
      <c r="G624" t="str">
        <f>HYPERLINK("https://vk.com/wall-27863223_292230?reply=292273")</f>
        <v>https://vk.com/wall-27863223_292230?reply=292273</v>
      </c>
      <c r="H624" t="s">
        <v>119</v>
      </c>
      <c r="I624" t="s">
        <v>2598</v>
      </c>
      <c r="J624" t="str">
        <f>HYPERLINK("http://vk.com/id26988319")</f>
        <v>http://vk.com/id26988319</v>
      </c>
      <c r="K624">
        <v>167</v>
      </c>
      <c r="L624" t="s">
        <v>121</v>
      </c>
      <c r="M624">
        <v>43</v>
      </c>
      <c r="N624" t="s">
        <v>122</v>
      </c>
      <c r="O624" t="s">
        <v>175</v>
      </c>
      <c r="P624" t="str">
        <f>HYPERLINK("http://vk.com/club27863223")</f>
        <v>http://vk.com/club27863223</v>
      </c>
      <c r="Q624">
        <v>134698</v>
      </c>
      <c r="R624" t="s">
        <v>124</v>
      </c>
      <c r="S624" t="s">
        <v>125</v>
      </c>
      <c r="T624" t="s">
        <v>314</v>
      </c>
      <c r="U624" t="s">
        <v>2599</v>
      </c>
      <c r="W624">
        <v>0</v>
      </c>
      <c r="X624">
        <v>0</v>
      </c>
      <c r="AM624" t="s">
        <v>129</v>
      </c>
      <c r="AN624" t="s">
        <v>130</v>
      </c>
      <c r="AP624" t="s">
        <v>41</v>
      </c>
      <c r="AU624" t="s">
        <v>46</v>
      </c>
      <c r="AZ624" t="s">
        <v>51</v>
      </c>
      <c r="BA624" t="s">
        <v>52</v>
      </c>
    </row>
    <row r="625" spans="1:65" x14ac:dyDescent="0.2">
      <c r="A625" t="s">
        <v>2274</v>
      </c>
      <c r="B625" t="s">
        <v>2600</v>
      </c>
      <c r="C625" t="s">
        <v>2601</v>
      </c>
      <c r="D625" t="s">
        <v>129</v>
      </c>
      <c r="E625" t="s">
        <v>2602</v>
      </c>
      <c r="F625" t="s">
        <v>180</v>
      </c>
      <c r="G625" t="str">
        <f>HYPERLINK("https://vk.com/wall-22935147_368676")</f>
        <v>https://vk.com/wall-22935147_368676</v>
      </c>
      <c r="H625" t="s">
        <v>119</v>
      </c>
      <c r="I625" t="s">
        <v>2603</v>
      </c>
      <c r="J625" t="str">
        <f>HYPERLINK("http://vk.com/id414299157")</f>
        <v>http://vk.com/id414299157</v>
      </c>
      <c r="K625">
        <v>1273</v>
      </c>
      <c r="L625" t="s">
        <v>121</v>
      </c>
      <c r="M625">
        <v>22</v>
      </c>
      <c r="N625" t="s">
        <v>122</v>
      </c>
      <c r="O625" t="s">
        <v>1093</v>
      </c>
      <c r="P625" t="str">
        <f>HYPERLINK("http://vk.com/club22935147")</f>
        <v>http://vk.com/club22935147</v>
      </c>
      <c r="Q625">
        <v>8943</v>
      </c>
      <c r="R625" t="s">
        <v>124</v>
      </c>
      <c r="S625" t="s">
        <v>125</v>
      </c>
      <c r="W625">
        <v>5</v>
      </c>
      <c r="X625">
        <v>5</v>
      </c>
      <c r="AE625">
        <v>1</v>
      </c>
      <c r="AF625">
        <v>0</v>
      </c>
      <c r="AG625">
        <v>834</v>
      </c>
      <c r="AM625" t="s">
        <v>129</v>
      </c>
      <c r="AN625" t="s">
        <v>130</v>
      </c>
      <c r="AP625" t="s">
        <v>41</v>
      </c>
      <c r="AU625" t="s">
        <v>46</v>
      </c>
      <c r="AZ625" t="s">
        <v>51</v>
      </c>
      <c r="BA625" t="s">
        <v>52</v>
      </c>
      <c r="BL625" t="s">
        <v>63</v>
      </c>
    </row>
    <row r="626" spans="1:65" x14ac:dyDescent="0.2">
      <c r="A626" t="s">
        <v>2274</v>
      </c>
      <c r="B626" t="s">
        <v>2604</v>
      </c>
      <c r="C626" t="s">
        <v>2605</v>
      </c>
      <c r="D626" t="s">
        <v>1074</v>
      </c>
      <c r="E626" t="s">
        <v>2606</v>
      </c>
      <c r="F626" t="s">
        <v>118</v>
      </c>
      <c r="G626" t="str">
        <f>HYPERLINK("https://vk.com/wall-80149142_348548?reply=348593")</f>
        <v>https://vk.com/wall-80149142_348548?reply=348593</v>
      </c>
      <c r="H626" t="s">
        <v>119</v>
      </c>
      <c r="I626" t="s">
        <v>2607</v>
      </c>
      <c r="J626" t="str">
        <f>HYPERLINK("http://vk.com/id9518126")</f>
        <v>http://vk.com/id9518126</v>
      </c>
      <c r="K626">
        <v>103</v>
      </c>
      <c r="L626" t="s">
        <v>121</v>
      </c>
      <c r="N626" t="s">
        <v>122</v>
      </c>
      <c r="O626" t="s">
        <v>1076</v>
      </c>
      <c r="P626" t="str">
        <f>HYPERLINK("http://vk.com/club80149142")</f>
        <v>http://vk.com/club80149142</v>
      </c>
      <c r="Q626">
        <v>59466</v>
      </c>
      <c r="R626" t="s">
        <v>124</v>
      </c>
      <c r="S626" t="s">
        <v>125</v>
      </c>
      <c r="T626" t="s">
        <v>667</v>
      </c>
      <c r="U626" t="s">
        <v>668</v>
      </c>
      <c r="AM626" t="s">
        <v>129</v>
      </c>
      <c r="AN626" t="s">
        <v>130</v>
      </c>
      <c r="AP626" t="s">
        <v>41</v>
      </c>
      <c r="AT626" t="s">
        <v>45</v>
      </c>
      <c r="AZ626" t="s">
        <v>51</v>
      </c>
      <c r="BA626" t="s">
        <v>52</v>
      </c>
      <c r="BK626" t="s">
        <v>62</v>
      </c>
    </row>
    <row r="627" spans="1:65" x14ac:dyDescent="0.2">
      <c r="A627" t="s">
        <v>2274</v>
      </c>
      <c r="B627" t="s">
        <v>479</v>
      </c>
      <c r="C627" t="s">
        <v>2608</v>
      </c>
      <c r="D627" t="s">
        <v>1031</v>
      </c>
      <c r="E627" t="s">
        <v>2097</v>
      </c>
      <c r="F627" t="s">
        <v>118</v>
      </c>
      <c r="G627" t="str">
        <f>HYPERLINK("https://vk.com/wall-27863223_292230?reply=292270")</f>
        <v>https://vk.com/wall-27863223_292230?reply=292270</v>
      </c>
      <c r="H627" t="s">
        <v>119</v>
      </c>
      <c r="I627" t="s">
        <v>2609</v>
      </c>
      <c r="J627" t="str">
        <f>HYPERLINK("http://vk.com/id162416649")</f>
        <v>http://vk.com/id162416649</v>
      </c>
      <c r="K627">
        <v>274</v>
      </c>
      <c r="L627" t="s">
        <v>151</v>
      </c>
      <c r="N627" t="s">
        <v>122</v>
      </c>
      <c r="O627" t="s">
        <v>175</v>
      </c>
      <c r="P627" t="str">
        <f>HYPERLINK("http://vk.com/club27863223")</f>
        <v>http://vk.com/club27863223</v>
      </c>
      <c r="Q627">
        <v>134698</v>
      </c>
      <c r="R627" t="s">
        <v>124</v>
      </c>
      <c r="S627" t="s">
        <v>125</v>
      </c>
      <c r="T627" t="s">
        <v>364</v>
      </c>
      <c r="U627" t="s">
        <v>2610</v>
      </c>
      <c r="W627">
        <v>0</v>
      </c>
      <c r="X627">
        <v>0</v>
      </c>
      <c r="AM627" t="s">
        <v>129</v>
      </c>
      <c r="AN627" t="s">
        <v>130</v>
      </c>
      <c r="AO627" t="s">
        <v>40</v>
      </c>
      <c r="AP627" t="s">
        <v>41</v>
      </c>
      <c r="AZ627" t="s">
        <v>51</v>
      </c>
      <c r="BA627" t="s">
        <v>52</v>
      </c>
    </row>
    <row r="628" spans="1:65" x14ac:dyDescent="0.2">
      <c r="A628" t="s">
        <v>2274</v>
      </c>
      <c r="B628" t="s">
        <v>2611</v>
      </c>
      <c r="C628" t="s">
        <v>2608</v>
      </c>
      <c r="D628" t="s">
        <v>1031</v>
      </c>
      <c r="E628" t="s">
        <v>2116</v>
      </c>
      <c r="F628" t="s">
        <v>118</v>
      </c>
      <c r="G628" t="str">
        <f>HYPERLINK("https://vk.com/wall-27863223_292230?reply=292269")</f>
        <v>https://vk.com/wall-27863223_292230?reply=292269</v>
      </c>
      <c r="H628" t="s">
        <v>119</v>
      </c>
      <c r="I628" t="s">
        <v>2612</v>
      </c>
      <c r="J628" t="str">
        <f>HYPERLINK("http://vk.com/id316352388")</f>
        <v>http://vk.com/id316352388</v>
      </c>
      <c r="K628">
        <v>102</v>
      </c>
      <c r="L628" t="s">
        <v>121</v>
      </c>
      <c r="N628" t="s">
        <v>122</v>
      </c>
      <c r="O628" t="s">
        <v>175</v>
      </c>
      <c r="P628" t="str">
        <f>HYPERLINK("http://vk.com/club27863223")</f>
        <v>http://vk.com/club27863223</v>
      </c>
      <c r="Q628">
        <v>134698</v>
      </c>
      <c r="R628" t="s">
        <v>124</v>
      </c>
      <c r="S628" t="s">
        <v>125</v>
      </c>
      <c r="W628">
        <v>0</v>
      </c>
      <c r="X628">
        <v>0</v>
      </c>
      <c r="AM628" t="s">
        <v>129</v>
      </c>
      <c r="AN628" t="s">
        <v>130</v>
      </c>
      <c r="AO628" t="s">
        <v>40</v>
      </c>
      <c r="AP628" t="s">
        <v>41</v>
      </c>
      <c r="AZ628" t="s">
        <v>51</v>
      </c>
      <c r="BA628" t="s">
        <v>52</v>
      </c>
    </row>
    <row r="629" spans="1:65" x14ac:dyDescent="0.2">
      <c r="A629" t="s">
        <v>2274</v>
      </c>
      <c r="B629" t="s">
        <v>2613</v>
      </c>
      <c r="C629" t="s">
        <v>2614</v>
      </c>
      <c r="D629" t="s">
        <v>2615</v>
      </c>
      <c r="E629" t="s">
        <v>2616</v>
      </c>
      <c r="F629" t="s">
        <v>180</v>
      </c>
      <c r="G629" t="str">
        <f>HYPERLINK("https://www.wildberries.ru/catalog/15780784/detail.aspx?targetUrl=ES#Comments")</f>
        <v>https://www.wildberries.ru/catalog/15780784/detail.aspx?targetUrl=ES#Comments</v>
      </c>
      <c r="H629" t="s">
        <v>181</v>
      </c>
      <c r="I629" t="s">
        <v>924</v>
      </c>
      <c r="J629" t="str">
        <f>HYPERLINK("https://www.wildberries.ru/profile/w7TDssOkw7PCu8KzwrbCt8K4wrPCt8KywrQ=")</f>
        <v>https://www.wildberries.ru/profile/w7TDssOkw7PCu8KzwrbCt8K4wrPCt8KywrQ=</v>
      </c>
      <c r="L629" t="s">
        <v>121</v>
      </c>
      <c r="N629" t="s">
        <v>534</v>
      </c>
      <c r="O629" t="s">
        <v>2617</v>
      </c>
      <c r="P629" t="str">
        <f>HYPERLINK("https://www.wildberries.ru/catalog/11764985/detail.aspx")</f>
        <v>https://www.wildberries.ru/catalog/11764985/detail.aspx</v>
      </c>
      <c r="R629" t="s">
        <v>184</v>
      </c>
      <c r="S629" t="s">
        <v>125</v>
      </c>
      <c r="W629">
        <v>0</v>
      </c>
      <c r="X629">
        <v>0</v>
      </c>
      <c r="AH629">
        <v>5</v>
      </c>
      <c r="AM629" t="s">
        <v>129</v>
      </c>
      <c r="AN629" t="s">
        <v>130</v>
      </c>
      <c r="AP629" t="s">
        <v>41</v>
      </c>
      <c r="AT629" t="s">
        <v>45</v>
      </c>
      <c r="AZ629" t="s">
        <v>51</v>
      </c>
      <c r="BA629" t="s">
        <v>52</v>
      </c>
      <c r="BL629" t="s">
        <v>63</v>
      </c>
    </row>
    <row r="630" spans="1:65" x14ac:dyDescent="0.2">
      <c r="A630" t="s">
        <v>2274</v>
      </c>
      <c r="B630" t="s">
        <v>2084</v>
      </c>
      <c r="C630" t="s">
        <v>2618</v>
      </c>
      <c r="D630" t="s">
        <v>129</v>
      </c>
      <c r="E630" t="s">
        <v>2619</v>
      </c>
      <c r="F630" t="s">
        <v>180</v>
      </c>
      <c r="G630" t="str">
        <f>HYPERLINK("https://vk.com/wall-124454000_768761")</f>
        <v>https://vk.com/wall-124454000_768761</v>
      </c>
      <c r="H630" t="s">
        <v>228</v>
      </c>
      <c r="I630" t="s">
        <v>2042</v>
      </c>
      <c r="J630" t="str">
        <f>HYPERLINK("http://vk.com/club124454000")</f>
        <v>http://vk.com/club124454000</v>
      </c>
      <c r="K630">
        <v>26581</v>
      </c>
      <c r="L630" t="s">
        <v>340</v>
      </c>
      <c r="N630" t="s">
        <v>122</v>
      </c>
      <c r="O630" t="s">
        <v>2042</v>
      </c>
      <c r="P630" t="str">
        <f>HYPERLINK("http://vk.com/club124454000")</f>
        <v>http://vk.com/club124454000</v>
      </c>
      <c r="Q630">
        <v>26581</v>
      </c>
      <c r="R630" t="s">
        <v>124</v>
      </c>
      <c r="W630">
        <v>14</v>
      </c>
      <c r="X630">
        <v>14</v>
      </c>
      <c r="AE630">
        <v>45</v>
      </c>
      <c r="AF630">
        <v>1</v>
      </c>
      <c r="AG630">
        <v>5598</v>
      </c>
      <c r="AM630" t="s">
        <v>129</v>
      </c>
      <c r="AN630" t="s">
        <v>130</v>
      </c>
      <c r="AP630" t="s">
        <v>41</v>
      </c>
      <c r="AY630" t="s">
        <v>50</v>
      </c>
      <c r="AZ630" t="s">
        <v>51</v>
      </c>
      <c r="BB630" t="s">
        <v>53</v>
      </c>
    </row>
    <row r="631" spans="1:65" x14ac:dyDescent="0.2">
      <c r="A631" t="s">
        <v>2274</v>
      </c>
      <c r="B631" t="s">
        <v>489</v>
      </c>
      <c r="C631" t="s">
        <v>2608</v>
      </c>
      <c r="D631" t="s">
        <v>1031</v>
      </c>
      <c r="E631" t="s">
        <v>2620</v>
      </c>
      <c r="F631" t="s">
        <v>118</v>
      </c>
      <c r="G631" t="str">
        <f>HYPERLINK("https://vk.com/wall-27863223_292230?reply=292268")</f>
        <v>https://vk.com/wall-27863223_292230?reply=292268</v>
      </c>
      <c r="H631" t="s">
        <v>119</v>
      </c>
      <c r="I631" t="s">
        <v>1635</v>
      </c>
      <c r="J631" t="str">
        <f>HYPERLINK("http://vk.com/id24942215")</f>
        <v>http://vk.com/id24942215</v>
      </c>
      <c r="K631">
        <v>593</v>
      </c>
      <c r="L631" t="s">
        <v>121</v>
      </c>
      <c r="N631" t="s">
        <v>122</v>
      </c>
      <c r="O631" t="s">
        <v>175</v>
      </c>
      <c r="P631" t="str">
        <f>HYPERLINK("http://vk.com/club27863223")</f>
        <v>http://vk.com/club27863223</v>
      </c>
      <c r="Q631">
        <v>134698</v>
      </c>
      <c r="R631" t="s">
        <v>124</v>
      </c>
      <c r="S631" t="s">
        <v>125</v>
      </c>
      <c r="T631" t="s">
        <v>212</v>
      </c>
      <c r="U631" t="s">
        <v>242</v>
      </c>
      <c r="W631">
        <v>0</v>
      </c>
      <c r="X631">
        <v>0</v>
      </c>
      <c r="AM631" t="s">
        <v>129</v>
      </c>
      <c r="AN631" t="s">
        <v>130</v>
      </c>
      <c r="AO631" t="s">
        <v>40</v>
      </c>
      <c r="AP631" t="s">
        <v>41</v>
      </c>
      <c r="AZ631" t="s">
        <v>51</v>
      </c>
      <c r="BA631" t="s">
        <v>52</v>
      </c>
    </row>
    <row r="632" spans="1:65" x14ac:dyDescent="0.2">
      <c r="A632" t="s">
        <v>2274</v>
      </c>
      <c r="B632" t="s">
        <v>2621</v>
      </c>
      <c r="C632" t="s">
        <v>2608</v>
      </c>
      <c r="D632" t="s">
        <v>1031</v>
      </c>
      <c r="E632" t="s">
        <v>2116</v>
      </c>
      <c r="F632" t="s">
        <v>118</v>
      </c>
      <c r="G632" t="str">
        <f>HYPERLINK("https://vk.com/wall-27863223_292230?reply=292267")</f>
        <v>https://vk.com/wall-27863223_292230?reply=292267</v>
      </c>
      <c r="H632" t="s">
        <v>119</v>
      </c>
      <c r="I632" t="s">
        <v>1342</v>
      </c>
      <c r="J632" t="str">
        <f>HYPERLINK("http://vk.com/id148332401")</f>
        <v>http://vk.com/id148332401</v>
      </c>
      <c r="K632">
        <v>852</v>
      </c>
      <c r="L632" t="s">
        <v>151</v>
      </c>
      <c r="N632" t="s">
        <v>122</v>
      </c>
      <c r="O632" t="s">
        <v>175</v>
      </c>
      <c r="P632" t="str">
        <f>HYPERLINK("http://vk.com/club27863223")</f>
        <v>http://vk.com/club27863223</v>
      </c>
      <c r="Q632">
        <v>134698</v>
      </c>
      <c r="R632" t="s">
        <v>124</v>
      </c>
      <c r="S632" t="s">
        <v>125</v>
      </c>
      <c r="T632" t="s">
        <v>1343</v>
      </c>
      <c r="U632" t="s">
        <v>1344</v>
      </c>
      <c r="W632">
        <v>0</v>
      </c>
      <c r="X632">
        <v>0</v>
      </c>
      <c r="AM632" t="s">
        <v>129</v>
      </c>
      <c r="AN632" t="s">
        <v>130</v>
      </c>
      <c r="AO632" t="s">
        <v>40</v>
      </c>
      <c r="AP632" t="s">
        <v>41</v>
      </c>
      <c r="AZ632" t="s">
        <v>51</v>
      </c>
      <c r="BA632" t="s">
        <v>52</v>
      </c>
    </row>
    <row r="633" spans="1:65" x14ac:dyDescent="0.2">
      <c r="A633" t="s">
        <v>2274</v>
      </c>
      <c r="B633" t="s">
        <v>2622</v>
      </c>
      <c r="C633" t="s">
        <v>2623</v>
      </c>
      <c r="D633" t="s">
        <v>1074</v>
      </c>
      <c r="E633" t="s">
        <v>2624</v>
      </c>
      <c r="F633" t="s">
        <v>118</v>
      </c>
      <c r="G633" t="str">
        <f>HYPERLINK("https://vk.com/wall-80149142_348548?reply=348578")</f>
        <v>https://vk.com/wall-80149142_348548?reply=348578</v>
      </c>
      <c r="H633" t="s">
        <v>119</v>
      </c>
      <c r="I633" t="s">
        <v>2625</v>
      </c>
      <c r="J633" t="str">
        <f>HYPERLINK("http://vk.com/id1468182")</f>
        <v>http://vk.com/id1468182</v>
      </c>
      <c r="K633">
        <v>633</v>
      </c>
      <c r="L633" t="s">
        <v>121</v>
      </c>
      <c r="N633" t="s">
        <v>122</v>
      </c>
      <c r="O633" t="s">
        <v>1076</v>
      </c>
      <c r="P633" t="str">
        <f>HYPERLINK("http://vk.com/club80149142")</f>
        <v>http://vk.com/club80149142</v>
      </c>
      <c r="Q633">
        <v>59466</v>
      </c>
      <c r="R633" t="s">
        <v>124</v>
      </c>
      <c r="S633" t="s">
        <v>125</v>
      </c>
      <c r="T633" t="s">
        <v>667</v>
      </c>
      <c r="U633" t="s">
        <v>668</v>
      </c>
      <c r="AM633" t="s">
        <v>129</v>
      </c>
      <c r="AN633" t="s">
        <v>130</v>
      </c>
      <c r="AP633" t="s">
        <v>41</v>
      </c>
      <c r="AZ633" t="s">
        <v>51</v>
      </c>
      <c r="BA633" t="s">
        <v>52</v>
      </c>
      <c r="BL633" t="s">
        <v>63</v>
      </c>
    </row>
    <row r="634" spans="1:65" x14ac:dyDescent="0.2">
      <c r="A634" t="s">
        <v>2274</v>
      </c>
      <c r="B634" t="s">
        <v>2092</v>
      </c>
      <c r="C634" t="s">
        <v>2626</v>
      </c>
      <c r="D634" t="s">
        <v>2501</v>
      </c>
      <c r="E634" t="s">
        <v>2627</v>
      </c>
      <c r="F634" t="s">
        <v>118</v>
      </c>
      <c r="G634" t="str">
        <f>HYPERLINK("https://vk.com/wall-2290850_682750?reply=682904")</f>
        <v>https://vk.com/wall-2290850_682750?reply=682904</v>
      </c>
      <c r="H634" t="s">
        <v>119</v>
      </c>
      <c r="I634" t="s">
        <v>2628</v>
      </c>
      <c r="J634" t="str">
        <f>HYPERLINK("http://vk.com/id27957074")</f>
        <v>http://vk.com/id27957074</v>
      </c>
      <c r="K634">
        <v>1111</v>
      </c>
      <c r="L634" t="s">
        <v>151</v>
      </c>
      <c r="N634" t="s">
        <v>122</v>
      </c>
      <c r="O634" t="s">
        <v>136</v>
      </c>
      <c r="P634" t="str">
        <f>HYPERLINK("http://vk.com/club2290850")</f>
        <v>http://vk.com/club2290850</v>
      </c>
      <c r="Q634">
        <v>14544</v>
      </c>
      <c r="R634" t="s">
        <v>124</v>
      </c>
      <c r="S634" t="s">
        <v>125</v>
      </c>
      <c r="T634" t="s">
        <v>137</v>
      </c>
      <c r="U634" t="s">
        <v>137</v>
      </c>
      <c r="AM634" t="s">
        <v>129</v>
      </c>
      <c r="AN634" t="s">
        <v>130</v>
      </c>
      <c r="AP634" t="s">
        <v>41</v>
      </c>
      <c r="AW634" t="s">
        <v>48</v>
      </c>
      <c r="AZ634" t="s">
        <v>51</v>
      </c>
      <c r="BA634" t="s">
        <v>52</v>
      </c>
    </row>
    <row r="635" spans="1:65" x14ac:dyDescent="0.2">
      <c r="A635" t="s">
        <v>2274</v>
      </c>
      <c r="B635" t="s">
        <v>2629</v>
      </c>
      <c r="C635" t="s">
        <v>2630</v>
      </c>
      <c r="D635" t="s">
        <v>1074</v>
      </c>
      <c r="E635" t="s">
        <v>2631</v>
      </c>
      <c r="F635" t="s">
        <v>118</v>
      </c>
      <c r="G635" t="str">
        <f>HYPERLINK("https://vk.com/wall-80149142_348548?reply=348574")</f>
        <v>https://vk.com/wall-80149142_348548?reply=348574</v>
      </c>
      <c r="H635" t="s">
        <v>228</v>
      </c>
      <c r="I635" t="s">
        <v>2632</v>
      </c>
      <c r="J635" t="str">
        <f>HYPERLINK("http://vk.com/id20866498")</f>
        <v>http://vk.com/id20866498</v>
      </c>
      <c r="K635">
        <v>121</v>
      </c>
      <c r="L635" t="s">
        <v>121</v>
      </c>
      <c r="M635">
        <v>41</v>
      </c>
      <c r="N635" t="s">
        <v>122</v>
      </c>
      <c r="O635" t="s">
        <v>1076</v>
      </c>
      <c r="P635" t="str">
        <f>HYPERLINK("http://vk.com/club80149142")</f>
        <v>http://vk.com/club80149142</v>
      </c>
      <c r="Q635">
        <v>59466</v>
      </c>
      <c r="R635" t="s">
        <v>124</v>
      </c>
      <c r="S635" t="s">
        <v>125</v>
      </c>
      <c r="T635" t="s">
        <v>667</v>
      </c>
      <c r="U635" t="s">
        <v>668</v>
      </c>
      <c r="AM635" t="s">
        <v>129</v>
      </c>
      <c r="AN635" t="s">
        <v>130</v>
      </c>
      <c r="AP635" t="s">
        <v>41</v>
      </c>
      <c r="AT635" t="s">
        <v>45</v>
      </c>
      <c r="AZ635" t="s">
        <v>51</v>
      </c>
      <c r="BD635" t="s">
        <v>55</v>
      </c>
    </row>
    <row r="636" spans="1:65" x14ac:dyDescent="0.2">
      <c r="A636" t="s">
        <v>2274</v>
      </c>
      <c r="B636" t="s">
        <v>2633</v>
      </c>
      <c r="C636" t="s">
        <v>2634</v>
      </c>
      <c r="D636" t="s">
        <v>2501</v>
      </c>
      <c r="E636" t="s">
        <v>2635</v>
      </c>
      <c r="F636" t="s">
        <v>118</v>
      </c>
      <c r="G636" t="str">
        <f>HYPERLINK("https://vk.com/wall-2290850_682750?reply=682889")</f>
        <v>https://vk.com/wall-2290850_682750?reply=682889</v>
      </c>
      <c r="H636" t="s">
        <v>119</v>
      </c>
      <c r="I636" t="s">
        <v>2636</v>
      </c>
      <c r="J636" t="str">
        <f>HYPERLINK("http://vk.com/id5145559")</f>
        <v>http://vk.com/id5145559</v>
      </c>
      <c r="K636">
        <v>165</v>
      </c>
      <c r="L636" t="s">
        <v>151</v>
      </c>
      <c r="N636" t="s">
        <v>122</v>
      </c>
      <c r="O636" t="s">
        <v>136</v>
      </c>
      <c r="P636" t="str">
        <f>HYPERLINK("http://vk.com/club2290850")</f>
        <v>http://vk.com/club2290850</v>
      </c>
      <c r="Q636">
        <v>14544</v>
      </c>
      <c r="R636" t="s">
        <v>124</v>
      </c>
      <c r="S636" t="s">
        <v>125</v>
      </c>
      <c r="T636" t="s">
        <v>137</v>
      </c>
      <c r="U636" t="s">
        <v>137</v>
      </c>
      <c r="AM636" t="s">
        <v>129</v>
      </c>
      <c r="AN636" t="s">
        <v>130</v>
      </c>
      <c r="AP636" t="s">
        <v>41</v>
      </c>
      <c r="AW636" t="s">
        <v>48</v>
      </c>
      <c r="AZ636" t="s">
        <v>51</v>
      </c>
      <c r="BA636" t="s">
        <v>52</v>
      </c>
    </row>
    <row r="637" spans="1:65" x14ac:dyDescent="0.2">
      <c r="A637" t="s">
        <v>2274</v>
      </c>
      <c r="B637" t="s">
        <v>2637</v>
      </c>
      <c r="C637" t="s">
        <v>2638</v>
      </c>
      <c r="D637" t="s">
        <v>1031</v>
      </c>
      <c r="E637" t="s">
        <v>2116</v>
      </c>
      <c r="F637" t="s">
        <v>118</v>
      </c>
      <c r="G637" t="str">
        <f>HYPERLINK("https://vk.com/wall-27863223_292230?reply=292266")</f>
        <v>https://vk.com/wall-27863223_292230?reply=292266</v>
      </c>
      <c r="H637" t="s">
        <v>119</v>
      </c>
      <c r="I637" t="s">
        <v>2639</v>
      </c>
      <c r="J637" t="str">
        <f>HYPERLINK("http://vk.com/id23675094")</f>
        <v>http://vk.com/id23675094</v>
      </c>
      <c r="K637">
        <v>3491</v>
      </c>
      <c r="L637" t="s">
        <v>151</v>
      </c>
      <c r="N637" t="s">
        <v>122</v>
      </c>
      <c r="O637" t="s">
        <v>175</v>
      </c>
      <c r="P637" t="str">
        <f>HYPERLINK("http://vk.com/club27863223")</f>
        <v>http://vk.com/club27863223</v>
      </c>
      <c r="Q637">
        <v>134698</v>
      </c>
      <c r="R637" t="s">
        <v>124</v>
      </c>
      <c r="S637" t="s">
        <v>125</v>
      </c>
      <c r="T637" t="s">
        <v>1343</v>
      </c>
      <c r="U637" t="s">
        <v>1344</v>
      </c>
      <c r="W637">
        <v>0</v>
      </c>
      <c r="X637">
        <v>0</v>
      </c>
      <c r="AM637" t="s">
        <v>129</v>
      </c>
      <c r="AN637" t="s">
        <v>130</v>
      </c>
      <c r="AO637" t="s">
        <v>40</v>
      </c>
      <c r="AP637" t="s">
        <v>41</v>
      </c>
      <c r="AZ637" t="s">
        <v>51</v>
      </c>
      <c r="BA637" t="s">
        <v>52</v>
      </c>
    </row>
    <row r="638" spans="1:65" x14ac:dyDescent="0.2">
      <c r="A638" t="s">
        <v>2274</v>
      </c>
      <c r="B638" t="s">
        <v>518</v>
      </c>
      <c r="C638" t="s">
        <v>2640</v>
      </c>
      <c r="D638" t="s">
        <v>129</v>
      </c>
      <c r="E638" t="s">
        <v>2641</v>
      </c>
      <c r="F638" t="s">
        <v>180</v>
      </c>
      <c r="G638" t="str">
        <f>HYPERLINK("https://twitter.com/2996243333/status/1419962689636425729")</f>
        <v>https://twitter.com/2996243333/status/1419962689636425729</v>
      </c>
      <c r="H638" t="s">
        <v>119</v>
      </c>
      <c r="I638" t="s">
        <v>2642</v>
      </c>
      <c r="J638" t="str">
        <f>HYPERLINK("http://twitter.com/foolishrubbish")</f>
        <v>http://twitter.com/foolishrubbish</v>
      </c>
      <c r="K638">
        <v>5</v>
      </c>
      <c r="N638" t="s">
        <v>350</v>
      </c>
      <c r="R638" t="s">
        <v>124</v>
      </c>
      <c r="S638" t="s">
        <v>125</v>
      </c>
      <c r="T638" t="s">
        <v>169</v>
      </c>
      <c r="U638" t="s">
        <v>169</v>
      </c>
      <c r="W638">
        <v>0</v>
      </c>
      <c r="X638">
        <v>0</v>
      </c>
      <c r="AE638">
        <v>1</v>
      </c>
      <c r="AF638">
        <v>0</v>
      </c>
      <c r="AM638" t="s">
        <v>129</v>
      </c>
      <c r="AN638" t="s">
        <v>130</v>
      </c>
      <c r="AP638" t="s">
        <v>41</v>
      </c>
      <c r="AZ638" t="s">
        <v>51</v>
      </c>
      <c r="BA638" t="s">
        <v>52</v>
      </c>
      <c r="BM638" t="s">
        <v>64</v>
      </c>
    </row>
    <row r="639" spans="1:65" x14ac:dyDescent="0.2">
      <c r="A639" t="s">
        <v>2274</v>
      </c>
      <c r="B639" t="s">
        <v>1072</v>
      </c>
      <c r="C639" t="s">
        <v>2643</v>
      </c>
      <c r="D639" t="s">
        <v>2501</v>
      </c>
      <c r="E639" t="s">
        <v>2644</v>
      </c>
      <c r="F639" t="s">
        <v>118</v>
      </c>
      <c r="G639" t="str">
        <f>HYPERLINK("https://vk.com/wall-2290850_682750?reply=682862&amp;thread=682832")</f>
        <v>https://vk.com/wall-2290850_682750?reply=682862&amp;thread=682832</v>
      </c>
      <c r="H639" t="s">
        <v>119</v>
      </c>
      <c r="I639" t="s">
        <v>2645</v>
      </c>
      <c r="J639" t="str">
        <f>HYPERLINK("http://vk.com/id6653307")</f>
        <v>http://vk.com/id6653307</v>
      </c>
      <c r="K639">
        <v>109</v>
      </c>
      <c r="L639" t="s">
        <v>151</v>
      </c>
      <c r="N639" t="s">
        <v>122</v>
      </c>
      <c r="O639" t="s">
        <v>136</v>
      </c>
      <c r="P639" t="str">
        <f>HYPERLINK("http://vk.com/club2290850")</f>
        <v>http://vk.com/club2290850</v>
      </c>
      <c r="Q639">
        <v>14544</v>
      </c>
      <c r="R639" t="s">
        <v>124</v>
      </c>
      <c r="S639" t="s">
        <v>125</v>
      </c>
      <c r="T639" t="s">
        <v>137</v>
      </c>
      <c r="U639" t="s">
        <v>137</v>
      </c>
      <c r="AM639" t="s">
        <v>129</v>
      </c>
      <c r="AN639" t="s">
        <v>130</v>
      </c>
      <c r="AP639" t="s">
        <v>41</v>
      </c>
      <c r="AZ639" t="s">
        <v>51</v>
      </c>
      <c r="BD639" t="s">
        <v>55</v>
      </c>
    </row>
    <row r="640" spans="1:65" x14ac:dyDescent="0.2">
      <c r="A640" t="s">
        <v>2274</v>
      </c>
      <c r="B640" t="s">
        <v>2646</v>
      </c>
      <c r="C640" t="s">
        <v>2647</v>
      </c>
      <c r="D640" t="s">
        <v>2501</v>
      </c>
      <c r="E640" t="s">
        <v>2648</v>
      </c>
      <c r="F640" t="s">
        <v>118</v>
      </c>
      <c r="G640" t="str">
        <f>HYPERLINK("https://vk.com/wall-2290850_682750?reply=682861&amp;thread=682832")</f>
        <v>https://vk.com/wall-2290850_682750?reply=682861&amp;thread=682832</v>
      </c>
      <c r="H640" t="s">
        <v>119</v>
      </c>
      <c r="I640" t="s">
        <v>2649</v>
      </c>
      <c r="J640" t="str">
        <f>HYPERLINK("http://vk.com/id11447094")</f>
        <v>http://vk.com/id11447094</v>
      </c>
      <c r="K640">
        <v>407</v>
      </c>
      <c r="L640" t="s">
        <v>151</v>
      </c>
      <c r="N640" t="s">
        <v>122</v>
      </c>
      <c r="O640" t="s">
        <v>136</v>
      </c>
      <c r="P640" t="str">
        <f>HYPERLINK("http://vk.com/club2290850")</f>
        <v>http://vk.com/club2290850</v>
      </c>
      <c r="Q640">
        <v>14544</v>
      </c>
      <c r="R640" t="s">
        <v>124</v>
      </c>
      <c r="S640" t="s">
        <v>125</v>
      </c>
      <c r="T640" t="s">
        <v>137</v>
      </c>
      <c r="U640" t="s">
        <v>137</v>
      </c>
      <c r="AM640" t="s">
        <v>129</v>
      </c>
      <c r="AN640" t="s">
        <v>130</v>
      </c>
      <c r="AP640" t="s">
        <v>41</v>
      </c>
      <c r="AZ640" t="s">
        <v>51</v>
      </c>
      <c r="BA640" t="s">
        <v>52</v>
      </c>
      <c r="BM640" t="s">
        <v>64</v>
      </c>
    </row>
    <row r="641" spans="1:77" x14ac:dyDescent="0.2">
      <c r="A641" t="s">
        <v>2274</v>
      </c>
      <c r="B641" t="s">
        <v>1630</v>
      </c>
      <c r="C641" t="s">
        <v>2650</v>
      </c>
      <c r="D641" t="s">
        <v>2501</v>
      </c>
      <c r="E641" t="s">
        <v>2651</v>
      </c>
      <c r="F641" t="s">
        <v>118</v>
      </c>
      <c r="G641" t="str">
        <f>HYPERLINK("https://vk.com/wall-2290850_682750?reply=682857&amp;thread=682832")</f>
        <v>https://vk.com/wall-2290850_682750?reply=682857&amp;thread=682832</v>
      </c>
      <c r="H641" t="s">
        <v>119</v>
      </c>
      <c r="I641" t="s">
        <v>2645</v>
      </c>
      <c r="J641" t="str">
        <f>HYPERLINK("http://vk.com/id6653307")</f>
        <v>http://vk.com/id6653307</v>
      </c>
      <c r="K641">
        <v>109</v>
      </c>
      <c r="L641" t="s">
        <v>151</v>
      </c>
      <c r="N641" t="s">
        <v>122</v>
      </c>
      <c r="O641" t="s">
        <v>136</v>
      </c>
      <c r="P641" t="str">
        <f>HYPERLINK("http://vk.com/club2290850")</f>
        <v>http://vk.com/club2290850</v>
      </c>
      <c r="Q641">
        <v>14544</v>
      </c>
      <c r="R641" t="s">
        <v>124</v>
      </c>
      <c r="S641" t="s">
        <v>125</v>
      </c>
      <c r="T641" t="s">
        <v>137</v>
      </c>
      <c r="U641" t="s">
        <v>137</v>
      </c>
      <c r="AM641" t="s">
        <v>129</v>
      </c>
      <c r="AN641" t="s">
        <v>130</v>
      </c>
      <c r="AP641" t="s">
        <v>41</v>
      </c>
      <c r="AZ641" t="s">
        <v>51</v>
      </c>
      <c r="BA641" t="s">
        <v>52</v>
      </c>
      <c r="BM641" t="s">
        <v>64</v>
      </c>
    </row>
    <row r="642" spans="1:77" x14ac:dyDescent="0.2">
      <c r="A642" t="s">
        <v>2274</v>
      </c>
      <c r="B642" t="s">
        <v>2099</v>
      </c>
      <c r="C642" t="s">
        <v>2652</v>
      </c>
      <c r="D642" t="s">
        <v>1336</v>
      </c>
      <c r="E642" t="s">
        <v>2653</v>
      </c>
      <c r="F642" t="s">
        <v>118</v>
      </c>
      <c r="G642" t="str">
        <f>HYPERLINK("https://www.youtube.com/watch?v=XSvUHFcHCNU&amp;lc=Ugxn6xaKk3m6vhaHENB4AaABAg")</f>
        <v>https://www.youtube.com/watch?v=XSvUHFcHCNU&amp;lc=Ugxn6xaKk3m6vhaHENB4AaABAg</v>
      </c>
      <c r="H642" t="s">
        <v>119</v>
      </c>
      <c r="I642" t="s">
        <v>2394</v>
      </c>
      <c r="J642" t="str">
        <f>HYPERLINK("https://www.youtube.com/channel/UCkKPjpRFrebBpKyiiUWZ8Iw")</f>
        <v>https://www.youtube.com/channel/UCkKPjpRFrebBpKyiiUWZ8Iw</v>
      </c>
      <c r="K642">
        <v>188</v>
      </c>
      <c r="N642" t="s">
        <v>248</v>
      </c>
      <c r="O642" t="s">
        <v>1338</v>
      </c>
      <c r="P642" t="str">
        <f>HYPERLINK("https://www.youtube.com/channel/UCbGvxMcJgZWpeT0ymfG7-RQ")</f>
        <v>https://www.youtube.com/channel/UCbGvxMcJgZWpeT0ymfG7-RQ</v>
      </c>
      <c r="Q642">
        <v>818</v>
      </c>
      <c r="R642" t="s">
        <v>124</v>
      </c>
      <c r="S642" t="s">
        <v>125</v>
      </c>
      <c r="W642">
        <v>0</v>
      </c>
      <c r="X642">
        <v>0</v>
      </c>
      <c r="AE642">
        <v>1</v>
      </c>
      <c r="AM642" t="s">
        <v>129</v>
      </c>
      <c r="AN642" t="s">
        <v>130</v>
      </c>
      <c r="AP642" t="s">
        <v>41</v>
      </c>
      <c r="AU642" t="s">
        <v>46</v>
      </c>
      <c r="AW642" t="s">
        <v>48</v>
      </c>
      <c r="AZ642" t="s">
        <v>51</v>
      </c>
      <c r="BA642" t="s">
        <v>52</v>
      </c>
      <c r="BY642" t="s">
        <v>76</v>
      </c>
    </row>
    <row r="643" spans="1:77" x14ac:dyDescent="0.2">
      <c r="A643" t="s">
        <v>2274</v>
      </c>
      <c r="B643" t="s">
        <v>1077</v>
      </c>
      <c r="C643" t="s">
        <v>2654</v>
      </c>
      <c r="D643" t="s">
        <v>2501</v>
      </c>
      <c r="E643" t="s">
        <v>2655</v>
      </c>
      <c r="F643" t="s">
        <v>118</v>
      </c>
      <c r="G643" t="str">
        <f>HYPERLINK("https://vk.com/wall-2290850_682750?reply=682854&amp;thread=682832")</f>
        <v>https://vk.com/wall-2290850_682750?reply=682854&amp;thread=682832</v>
      </c>
      <c r="H643" t="s">
        <v>119</v>
      </c>
      <c r="I643" t="s">
        <v>2649</v>
      </c>
      <c r="J643" t="str">
        <f>HYPERLINK("http://vk.com/id11447094")</f>
        <v>http://vk.com/id11447094</v>
      </c>
      <c r="K643">
        <v>407</v>
      </c>
      <c r="L643" t="s">
        <v>151</v>
      </c>
      <c r="N643" t="s">
        <v>122</v>
      </c>
      <c r="O643" t="s">
        <v>136</v>
      </c>
      <c r="P643" t="str">
        <f>HYPERLINK("http://vk.com/club2290850")</f>
        <v>http://vk.com/club2290850</v>
      </c>
      <c r="Q643">
        <v>14544</v>
      </c>
      <c r="R643" t="s">
        <v>124</v>
      </c>
      <c r="S643" t="s">
        <v>125</v>
      </c>
      <c r="T643" t="s">
        <v>137</v>
      </c>
      <c r="U643" t="s">
        <v>137</v>
      </c>
      <c r="AM643" t="s">
        <v>129</v>
      </c>
      <c r="AN643" t="s">
        <v>130</v>
      </c>
      <c r="AP643" t="s">
        <v>41</v>
      </c>
      <c r="AW643" t="s">
        <v>48</v>
      </c>
      <c r="AZ643" t="s">
        <v>51</v>
      </c>
      <c r="BA643" t="s">
        <v>52</v>
      </c>
      <c r="BL643" t="s">
        <v>63</v>
      </c>
      <c r="BM643" t="s">
        <v>64</v>
      </c>
    </row>
    <row r="644" spans="1:77" x14ac:dyDescent="0.2">
      <c r="A644" t="s">
        <v>2274</v>
      </c>
      <c r="B644" t="s">
        <v>1077</v>
      </c>
      <c r="C644" t="s">
        <v>2303</v>
      </c>
      <c r="D644" t="s">
        <v>2304</v>
      </c>
      <c r="E644" t="s">
        <v>2653</v>
      </c>
      <c r="F644" t="s">
        <v>118</v>
      </c>
      <c r="G644" t="str">
        <f>HYPERLINK("https://www.youtube.com/watch?v=cpy1_cJ5jYo&amp;lc=Ugxe_2bfCthsaM_mmq94AaABAg")</f>
        <v>https://www.youtube.com/watch?v=cpy1_cJ5jYo&amp;lc=Ugxe_2bfCthsaM_mmq94AaABAg</v>
      </c>
      <c r="H644" t="s">
        <v>119</v>
      </c>
      <c r="I644" t="s">
        <v>2394</v>
      </c>
      <c r="J644" t="str">
        <f>HYPERLINK("https://www.youtube.com/channel/UCkKPjpRFrebBpKyiiUWZ8Iw")</f>
        <v>https://www.youtube.com/channel/UCkKPjpRFrebBpKyiiUWZ8Iw</v>
      </c>
      <c r="K644">
        <v>188</v>
      </c>
      <c r="N644" t="s">
        <v>248</v>
      </c>
      <c r="O644" t="s">
        <v>2307</v>
      </c>
      <c r="P644" t="str">
        <f>HYPERLINK("https://www.youtube.com/channel/UCfV0sfiYm-_0X3ULYnctXxw")</f>
        <v>https://www.youtube.com/channel/UCfV0sfiYm-_0X3ULYnctXxw</v>
      </c>
      <c r="Q644">
        <v>25000</v>
      </c>
      <c r="R644" t="s">
        <v>124</v>
      </c>
      <c r="S644" t="s">
        <v>125</v>
      </c>
      <c r="W644">
        <v>0</v>
      </c>
      <c r="X644">
        <v>0</v>
      </c>
      <c r="AE644">
        <v>0</v>
      </c>
      <c r="AM644" t="s">
        <v>129</v>
      </c>
      <c r="AN644" t="s">
        <v>130</v>
      </c>
      <c r="AP644" t="s">
        <v>41</v>
      </c>
      <c r="AU644" t="s">
        <v>46</v>
      </c>
      <c r="AW644" t="s">
        <v>48</v>
      </c>
      <c r="AZ644" t="s">
        <v>51</v>
      </c>
      <c r="BA644" t="s">
        <v>52</v>
      </c>
      <c r="BY644" t="s">
        <v>76</v>
      </c>
    </row>
    <row r="645" spans="1:77" x14ac:dyDescent="0.2">
      <c r="A645" t="s">
        <v>2274</v>
      </c>
      <c r="B645" t="s">
        <v>1637</v>
      </c>
      <c r="C645" t="s">
        <v>2656</v>
      </c>
      <c r="D645" t="s">
        <v>1031</v>
      </c>
      <c r="E645" t="s">
        <v>2657</v>
      </c>
      <c r="F645" t="s">
        <v>118</v>
      </c>
      <c r="G645" t="str">
        <f>HYPERLINK("https://vk.com/wall-27863223_292230?reply=292265")</f>
        <v>https://vk.com/wall-27863223_292230?reply=292265</v>
      </c>
      <c r="H645" t="s">
        <v>119</v>
      </c>
      <c r="I645" t="s">
        <v>217</v>
      </c>
      <c r="J645" t="str">
        <f>HYPERLINK("http://vk.com/id25416833")</f>
        <v>http://vk.com/id25416833</v>
      </c>
      <c r="K645">
        <v>247</v>
      </c>
      <c r="L645" t="s">
        <v>151</v>
      </c>
      <c r="N645" t="s">
        <v>122</v>
      </c>
      <c r="O645" t="s">
        <v>175</v>
      </c>
      <c r="P645" t="str">
        <f>HYPERLINK("http://vk.com/club27863223")</f>
        <v>http://vk.com/club27863223</v>
      </c>
      <c r="Q645">
        <v>134698</v>
      </c>
      <c r="R645" t="s">
        <v>124</v>
      </c>
      <c r="S645" t="s">
        <v>125</v>
      </c>
      <c r="T645" t="s">
        <v>218</v>
      </c>
      <c r="U645" t="s">
        <v>219</v>
      </c>
      <c r="W645">
        <v>0</v>
      </c>
      <c r="X645">
        <v>0</v>
      </c>
      <c r="AM645" t="s">
        <v>129</v>
      </c>
      <c r="AN645" t="s">
        <v>130</v>
      </c>
      <c r="AO645" t="s">
        <v>40</v>
      </c>
      <c r="AP645" t="s">
        <v>41</v>
      </c>
      <c r="AZ645" t="s">
        <v>51</v>
      </c>
      <c r="BA645" t="s">
        <v>52</v>
      </c>
    </row>
    <row r="646" spans="1:77" x14ac:dyDescent="0.2">
      <c r="A646" t="s">
        <v>2274</v>
      </c>
      <c r="B646" t="s">
        <v>2658</v>
      </c>
      <c r="C646" t="s">
        <v>2659</v>
      </c>
      <c r="D646" t="s">
        <v>129</v>
      </c>
      <c r="E646" t="s">
        <v>2660</v>
      </c>
      <c r="F646" t="s">
        <v>180</v>
      </c>
      <c r="G646" t="str">
        <f>HYPERLINK("https://vk.com/wall-80149142_348548")</f>
        <v>https://vk.com/wall-80149142_348548</v>
      </c>
      <c r="H646" t="s">
        <v>119</v>
      </c>
      <c r="I646" t="s">
        <v>2366</v>
      </c>
      <c r="J646" t="str">
        <f>HYPERLINK("http://vk.com/id5466232")</f>
        <v>http://vk.com/id5466232</v>
      </c>
      <c r="K646">
        <v>470</v>
      </c>
      <c r="L646" t="s">
        <v>151</v>
      </c>
      <c r="N646" t="s">
        <v>122</v>
      </c>
      <c r="O646" t="s">
        <v>1076</v>
      </c>
      <c r="P646" t="str">
        <f>HYPERLINK("http://vk.com/club80149142")</f>
        <v>http://vk.com/club80149142</v>
      </c>
      <c r="Q646">
        <v>59466</v>
      </c>
      <c r="R646" t="s">
        <v>124</v>
      </c>
      <c r="S646" t="s">
        <v>125</v>
      </c>
      <c r="T646" t="s">
        <v>667</v>
      </c>
      <c r="U646" t="s">
        <v>668</v>
      </c>
      <c r="W646">
        <v>28</v>
      </c>
      <c r="X646">
        <v>28</v>
      </c>
      <c r="AE646">
        <v>43</v>
      </c>
      <c r="AF646">
        <v>1</v>
      </c>
      <c r="AG646">
        <v>13712</v>
      </c>
      <c r="AM646" t="s">
        <v>129</v>
      </c>
      <c r="AN646" t="s">
        <v>130</v>
      </c>
      <c r="AP646" t="s">
        <v>41</v>
      </c>
      <c r="AU646" t="s">
        <v>46</v>
      </c>
      <c r="AY646" t="s">
        <v>50</v>
      </c>
      <c r="AZ646" t="s">
        <v>51</v>
      </c>
      <c r="BA646" t="s">
        <v>52</v>
      </c>
    </row>
    <row r="647" spans="1:77" x14ac:dyDescent="0.2">
      <c r="A647" t="s">
        <v>2274</v>
      </c>
      <c r="B647" t="s">
        <v>1641</v>
      </c>
      <c r="C647" t="s">
        <v>2661</v>
      </c>
      <c r="D647" t="s">
        <v>2501</v>
      </c>
      <c r="E647" t="s">
        <v>2662</v>
      </c>
      <c r="F647" t="s">
        <v>118</v>
      </c>
      <c r="G647" t="str">
        <f>HYPERLINK("https://vk.com/wall-2290850_682750?reply=682832")</f>
        <v>https://vk.com/wall-2290850_682750?reply=682832</v>
      </c>
      <c r="H647" t="s">
        <v>119</v>
      </c>
      <c r="I647" t="s">
        <v>2645</v>
      </c>
      <c r="J647" t="str">
        <f>HYPERLINK("http://vk.com/id6653307")</f>
        <v>http://vk.com/id6653307</v>
      </c>
      <c r="K647">
        <v>109</v>
      </c>
      <c r="L647" t="s">
        <v>151</v>
      </c>
      <c r="N647" t="s">
        <v>122</v>
      </c>
      <c r="O647" t="s">
        <v>136</v>
      </c>
      <c r="P647" t="str">
        <f>HYPERLINK("http://vk.com/club2290850")</f>
        <v>http://vk.com/club2290850</v>
      </c>
      <c r="Q647">
        <v>14544</v>
      </c>
      <c r="R647" t="s">
        <v>124</v>
      </c>
      <c r="S647" t="s">
        <v>125</v>
      </c>
      <c r="T647" t="s">
        <v>137</v>
      </c>
      <c r="U647" t="s">
        <v>137</v>
      </c>
      <c r="AM647" t="s">
        <v>129</v>
      </c>
      <c r="AN647" t="s">
        <v>130</v>
      </c>
      <c r="AP647" t="s">
        <v>41</v>
      </c>
      <c r="AW647" t="s">
        <v>48</v>
      </c>
      <c r="AZ647" t="s">
        <v>51</v>
      </c>
      <c r="BD647" t="s">
        <v>55</v>
      </c>
    </row>
    <row r="648" spans="1:77" x14ac:dyDescent="0.2">
      <c r="A648" t="s">
        <v>2274</v>
      </c>
      <c r="B648" t="s">
        <v>1641</v>
      </c>
      <c r="C648" t="s">
        <v>2656</v>
      </c>
      <c r="D648" t="s">
        <v>1031</v>
      </c>
      <c r="E648" t="s">
        <v>2097</v>
      </c>
      <c r="F648" t="s">
        <v>118</v>
      </c>
      <c r="G648" t="str">
        <f>HYPERLINK("https://vk.com/wall-27863223_292230?reply=292264")</f>
        <v>https://vk.com/wall-27863223_292230?reply=292264</v>
      </c>
      <c r="H648" t="s">
        <v>119</v>
      </c>
      <c r="I648" t="s">
        <v>481</v>
      </c>
      <c r="J648" t="str">
        <f>HYPERLINK("http://vk.com/id87292937")</f>
        <v>http://vk.com/id87292937</v>
      </c>
      <c r="K648">
        <v>379</v>
      </c>
      <c r="L648" t="s">
        <v>121</v>
      </c>
      <c r="N648" t="s">
        <v>122</v>
      </c>
      <c r="O648" t="s">
        <v>175</v>
      </c>
      <c r="P648" t="str">
        <f>HYPERLINK("http://vk.com/club27863223")</f>
        <v>http://vk.com/club27863223</v>
      </c>
      <c r="Q648">
        <v>134698</v>
      </c>
      <c r="R648" t="s">
        <v>124</v>
      </c>
      <c r="S648" t="s">
        <v>125</v>
      </c>
      <c r="T648" t="s">
        <v>264</v>
      </c>
      <c r="U648" t="s">
        <v>265</v>
      </c>
      <c r="W648">
        <v>0</v>
      </c>
      <c r="X648">
        <v>0</v>
      </c>
      <c r="AM648" t="s">
        <v>129</v>
      </c>
      <c r="AN648" t="s">
        <v>130</v>
      </c>
      <c r="AO648" t="s">
        <v>40</v>
      </c>
      <c r="AP648" t="s">
        <v>41</v>
      </c>
      <c r="AZ648" t="s">
        <v>51</v>
      </c>
      <c r="BA648" t="s">
        <v>52</v>
      </c>
    </row>
    <row r="649" spans="1:77" x14ac:dyDescent="0.2">
      <c r="A649" t="s">
        <v>2274</v>
      </c>
      <c r="B649" t="s">
        <v>2663</v>
      </c>
      <c r="C649" t="s">
        <v>2664</v>
      </c>
      <c r="D649" t="s">
        <v>2501</v>
      </c>
      <c r="E649" t="s">
        <v>2665</v>
      </c>
      <c r="F649" t="s">
        <v>118</v>
      </c>
      <c r="G649" t="str">
        <f>HYPERLINK("https://vk.com/wall-2290850_682750?reply=682825&amp;thread=682757")</f>
        <v>https://vk.com/wall-2290850_682750?reply=682825&amp;thread=682757</v>
      </c>
      <c r="H649" t="s">
        <v>119</v>
      </c>
      <c r="I649" t="s">
        <v>2666</v>
      </c>
      <c r="J649" t="str">
        <f>HYPERLINK("http://vk.com/id2383883")</f>
        <v>http://vk.com/id2383883</v>
      </c>
      <c r="K649">
        <v>164</v>
      </c>
      <c r="L649" t="s">
        <v>121</v>
      </c>
      <c r="M649">
        <v>43</v>
      </c>
      <c r="N649" t="s">
        <v>122</v>
      </c>
      <c r="O649" t="s">
        <v>136</v>
      </c>
      <c r="P649" t="str">
        <f>HYPERLINK("http://vk.com/club2290850")</f>
        <v>http://vk.com/club2290850</v>
      </c>
      <c r="Q649">
        <v>14544</v>
      </c>
      <c r="R649" t="s">
        <v>124</v>
      </c>
      <c r="S649" t="s">
        <v>125</v>
      </c>
      <c r="T649" t="s">
        <v>137</v>
      </c>
      <c r="U649" t="s">
        <v>137</v>
      </c>
      <c r="AM649" t="s">
        <v>129</v>
      </c>
      <c r="AN649" t="s">
        <v>130</v>
      </c>
      <c r="AP649" t="s">
        <v>41</v>
      </c>
      <c r="AT649" t="s">
        <v>45</v>
      </c>
      <c r="AZ649" t="s">
        <v>51</v>
      </c>
      <c r="BA649" t="s">
        <v>52</v>
      </c>
      <c r="BL649" t="s">
        <v>63</v>
      </c>
      <c r="BM649" t="s">
        <v>64</v>
      </c>
    </row>
    <row r="650" spans="1:77" x14ac:dyDescent="0.2">
      <c r="A650" t="s">
        <v>2274</v>
      </c>
      <c r="B650" t="s">
        <v>1659</v>
      </c>
      <c r="C650" t="s">
        <v>2667</v>
      </c>
      <c r="D650" t="s">
        <v>2668</v>
      </c>
      <c r="E650" t="s">
        <v>2669</v>
      </c>
      <c r="F650" t="s">
        <v>180</v>
      </c>
      <c r="G650" t="str">
        <f>HYPERLINK("https://www.ozon.ru/context/detail/id/257454950/#62406012")</f>
        <v>https://www.ozon.ru/context/detail/id/257454950/#62406012</v>
      </c>
      <c r="H650" t="s">
        <v>181</v>
      </c>
      <c r="I650" t="s">
        <v>2670</v>
      </c>
      <c r="J650" t="str">
        <f>HYPERLINK("https://www.ozon.ru/context/client_opinion/ClientGuid/896c2538-142a-40a5-8538-dd062ae56806/")</f>
        <v>https://www.ozon.ru/context/client_opinion/ClientGuid/896c2538-142a-40a5-8538-dd062ae56806/</v>
      </c>
      <c r="N650" t="s">
        <v>183</v>
      </c>
      <c r="O650" t="s">
        <v>2668</v>
      </c>
      <c r="P650" t="str">
        <f>HYPERLINK("https://www.ozon.ru/context/detail/id/257454950/")</f>
        <v>https://www.ozon.ru/context/detail/id/257454950/</v>
      </c>
      <c r="R650" t="s">
        <v>184</v>
      </c>
      <c r="S650" t="s">
        <v>125</v>
      </c>
      <c r="W650">
        <v>0</v>
      </c>
      <c r="X650">
        <v>0</v>
      </c>
      <c r="AH650">
        <v>5</v>
      </c>
      <c r="AM650" t="s">
        <v>129</v>
      </c>
      <c r="AN650" t="s">
        <v>130</v>
      </c>
      <c r="AP650" t="s">
        <v>41</v>
      </c>
      <c r="AZ650" t="s">
        <v>51</v>
      </c>
      <c r="BA650" t="s">
        <v>52</v>
      </c>
      <c r="BK650" t="s">
        <v>62</v>
      </c>
    </row>
    <row r="651" spans="1:77" x14ac:dyDescent="0.2">
      <c r="A651" t="s">
        <v>2274</v>
      </c>
      <c r="B651" t="s">
        <v>541</v>
      </c>
      <c r="C651" t="s">
        <v>2418</v>
      </c>
      <c r="D651" t="s">
        <v>2671</v>
      </c>
      <c r="E651" t="s">
        <v>2672</v>
      </c>
      <c r="F651" t="s">
        <v>118</v>
      </c>
      <c r="G651" t="str">
        <f>HYPERLINK("https://www.youtube.com/watch?v=5GyG2HxeopY&amp;lc=UgyhZvdgk97X39FI2J94AaABAg")</f>
        <v>https://www.youtube.com/watch?v=5GyG2HxeopY&amp;lc=UgyhZvdgk97X39FI2J94AaABAg</v>
      </c>
      <c r="H651" t="s">
        <v>119</v>
      </c>
      <c r="I651" t="s">
        <v>2394</v>
      </c>
      <c r="J651" t="str">
        <f>HYPERLINK("https://www.youtube.com/channel/UCkKPjpRFrebBpKyiiUWZ8Iw")</f>
        <v>https://www.youtube.com/channel/UCkKPjpRFrebBpKyiiUWZ8Iw</v>
      </c>
      <c r="K651">
        <v>188</v>
      </c>
      <c r="N651" t="s">
        <v>248</v>
      </c>
      <c r="O651" t="s">
        <v>2421</v>
      </c>
      <c r="P651" t="str">
        <f>HYPERLINK("https://www.youtube.com/channel/UCDRt644UxhogZ1XJG0PjKPg")</f>
        <v>https://www.youtube.com/channel/UCDRt644UxhogZ1XJG0PjKPg</v>
      </c>
      <c r="Q651">
        <v>2360</v>
      </c>
      <c r="R651" t="s">
        <v>124</v>
      </c>
      <c r="S651" t="s">
        <v>125</v>
      </c>
      <c r="W651">
        <v>0</v>
      </c>
      <c r="X651">
        <v>0</v>
      </c>
      <c r="AE651">
        <v>1</v>
      </c>
      <c r="AM651" t="s">
        <v>129</v>
      </c>
      <c r="AN651" t="s">
        <v>130</v>
      </c>
      <c r="AP651" t="s">
        <v>41</v>
      </c>
      <c r="AU651" t="s">
        <v>46</v>
      </c>
      <c r="AZ651" t="s">
        <v>51</v>
      </c>
      <c r="BA651" t="s">
        <v>52</v>
      </c>
    </row>
    <row r="652" spans="1:77" x14ac:dyDescent="0.2">
      <c r="A652" t="s">
        <v>2274</v>
      </c>
      <c r="B652" t="s">
        <v>2673</v>
      </c>
      <c r="C652" t="s">
        <v>2674</v>
      </c>
      <c r="D652" t="s">
        <v>1031</v>
      </c>
      <c r="E652" t="s">
        <v>2675</v>
      </c>
      <c r="F652" t="s">
        <v>118</v>
      </c>
      <c r="G652" t="str">
        <f>HYPERLINK("https://vk.com/wall-27863223_292230?reply=292262")</f>
        <v>https://vk.com/wall-27863223_292230?reply=292262</v>
      </c>
      <c r="H652" t="s">
        <v>119</v>
      </c>
      <c r="I652" t="s">
        <v>2676</v>
      </c>
      <c r="J652" t="str">
        <f>HYPERLINK("http://vk.com/id555545928")</f>
        <v>http://vk.com/id555545928</v>
      </c>
      <c r="K652">
        <v>370</v>
      </c>
      <c r="L652" t="s">
        <v>151</v>
      </c>
      <c r="M652">
        <v>47</v>
      </c>
      <c r="N652" t="s">
        <v>122</v>
      </c>
      <c r="O652" t="s">
        <v>175</v>
      </c>
      <c r="P652" t="str">
        <f>HYPERLINK("http://vk.com/club27863223")</f>
        <v>http://vk.com/club27863223</v>
      </c>
      <c r="Q652">
        <v>134698</v>
      </c>
      <c r="R652" t="s">
        <v>124</v>
      </c>
      <c r="S652" t="s">
        <v>125</v>
      </c>
      <c r="T652" t="s">
        <v>1819</v>
      </c>
      <c r="U652" t="s">
        <v>2677</v>
      </c>
      <c r="W652">
        <v>0</v>
      </c>
      <c r="X652">
        <v>0</v>
      </c>
      <c r="AM652" t="s">
        <v>129</v>
      </c>
      <c r="AN652" t="s">
        <v>130</v>
      </c>
      <c r="AO652" t="s">
        <v>40</v>
      </c>
      <c r="AP652" t="s">
        <v>41</v>
      </c>
      <c r="AZ652" t="s">
        <v>51</v>
      </c>
      <c r="BA652" t="s">
        <v>52</v>
      </c>
    </row>
    <row r="653" spans="1:77" x14ac:dyDescent="0.2">
      <c r="A653" t="s">
        <v>2274</v>
      </c>
      <c r="B653" t="s">
        <v>2678</v>
      </c>
      <c r="C653" t="s">
        <v>2679</v>
      </c>
      <c r="D653" t="s">
        <v>967</v>
      </c>
      <c r="E653" t="s">
        <v>2680</v>
      </c>
      <c r="F653" t="s">
        <v>118</v>
      </c>
      <c r="G653" t="str">
        <f>HYPERLINK("https://www.wildberries.ru/catalog/26952626/detail.aspx?targetUrl=ES#Comments")</f>
        <v>https://www.wildberries.ru/catalog/26952626/detail.aspx?targetUrl=ES#Comments</v>
      </c>
      <c r="H653" t="s">
        <v>119</v>
      </c>
      <c r="I653" t="s">
        <v>2681</v>
      </c>
      <c r="J653" t="str">
        <f>HYPERLINK("https://www.wildberries.ru/brands/trikolor-tv")</f>
        <v>https://www.wildberries.ru/brands/trikolor-tv</v>
      </c>
      <c r="L653" t="s">
        <v>340</v>
      </c>
      <c r="N653" t="s">
        <v>534</v>
      </c>
      <c r="O653" t="s">
        <v>967</v>
      </c>
      <c r="P653" t="str">
        <f>HYPERLINK("https://www.wildberries.ru/catalog/19754871/detail.aspx")</f>
        <v>https://www.wildberries.ru/catalog/19754871/detail.aspx</v>
      </c>
      <c r="R653" t="s">
        <v>184</v>
      </c>
      <c r="S653" t="s">
        <v>125</v>
      </c>
      <c r="AM653" t="s">
        <v>129</v>
      </c>
      <c r="AN653" t="s">
        <v>130</v>
      </c>
      <c r="BI653" t="s">
        <v>60</v>
      </c>
    </row>
    <row r="654" spans="1:77" x14ac:dyDescent="0.2">
      <c r="A654" t="s">
        <v>2274</v>
      </c>
      <c r="B654" t="s">
        <v>2678</v>
      </c>
      <c r="C654" t="s">
        <v>2682</v>
      </c>
      <c r="D654" t="s">
        <v>967</v>
      </c>
      <c r="E654" t="s">
        <v>2683</v>
      </c>
      <c r="F654" t="s">
        <v>180</v>
      </c>
      <c r="G654" t="str">
        <f>HYPERLINK("https://www.wildberries.ru/catalog/26952626/detail.aspx?targetUrl=ES#Comments")</f>
        <v>https://www.wildberries.ru/catalog/26952626/detail.aspx?targetUrl=ES#Comments</v>
      </c>
      <c r="H654" t="s">
        <v>181</v>
      </c>
      <c r="I654" t="s">
        <v>924</v>
      </c>
      <c r="J654" t="str">
        <f>HYPERLINK("https://www.wildberries.ru/profile/w7TDssOkw7PCu8KwwrnCsMKwwrDCucK4wrk=")</f>
        <v>https://www.wildberries.ru/profile/w7TDssOkw7PCu8KwwrnCsMKwwrDCucK4wrk=</v>
      </c>
      <c r="L654" t="s">
        <v>121</v>
      </c>
      <c r="N654" t="s">
        <v>534</v>
      </c>
      <c r="O654" t="s">
        <v>967</v>
      </c>
      <c r="P654" t="str">
        <f>HYPERLINK("https://www.wildberries.ru/catalog/19754871/detail.aspx")</f>
        <v>https://www.wildberries.ru/catalog/19754871/detail.aspx</v>
      </c>
      <c r="R654" t="s">
        <v>184</v>
      </c>
      <c r="S654" t="s">
        <v>125</v>
      </c>
      <c r="W654">
        <v>0</v>
      </c>
      <c r="X654">
        <v>0</v>
      </c>
      <c r="AH654">
        <v>5</v>
      </c>
      <c r="AM654" t="s">
        <v>129</v>
      </c>
      <c r="AN654" t="s">
        <v>130</v>
      </c>
      <c r="AP654" t="s">
        <v>41</v>
      </c>
      <c r="AT654" t="s">
        <v>45</v>
      </c>
      <c r="AZ654" t="s">
        <v>51</v>
      </c>
      <c r="BA654" t="s">
        <v>52</v>
      </c>
    </row>
    <row r="655" spans="1:77" x14ac:dyDescent="0.2">
      <c r="A655" t="s">
        <v>2274</v>
      </c>
      <c r="B655" t="s">
        <v>562</v>
      </c>
      <c r="C655" t="s">
        <v>2684</v>
      </c>
      <c r="D655" t="s">
        <v>2501</v>
      </c>
      <c r="E655" t="s">
        <v>2685</v>
      </c>
      <c r="F655" t="s">
        <v>118</v>
      </c>
      <c r="G655" t="str">
        <f>HYPERLINK("https://vk.com/wall-2290850_682750?reply=682790&amp;thread=682757")</f>
        <v>https://vk.com/wall-2290850_682750?reply=682790&amp;thread=682757</v>
      </c>
      <c r="H655" t="s">
        <v>119</v>
      </c>
      <c r="I655" t="s">
        <v>2649</v>
      </c>
      <c r="J655" t="str">
        <f>HYPERLINK("http://vk.com/id11447094")</f>
        <v>http://vk.com/id11447094</v>
      </c>
      <c r="K655">
        <v>407</v>
      </c>
      <c r="L655" t="s">
        <v>151</v>
      </c>
      <c r="N655" t="s">
        <v>122</v>
      </c>
      <c r="O655" t="s">
        <v>136</v>
      </c>
      <c r="P655" t="str">
        <f>HYPERLINK("http://vk.com/club2290850")</f>
        <v>http://vk.com/club2290850</v>
      </c>
      <c r="Q655">
        <v>14544</v>
      </c>
      <c r="R655" t="s">
        <v>124</v>
      </c>
      <c r="S655" t="s">
        <v>125</v>
      </c>
      <c r="T655" t="s">
        <v>137</v>
      </c>
      <c r="U655" t="s">
        <v>137</v>
      </c>
      <c r="AM655" t="s">
        <v>129</v>
      </c>
      <c r="AN655" t="s">
        <v>130</v>
      </c>
      <c r="AP655" t="s">
        <v>41</v>
      </c>
      <c r="AW655" t="s">
        <v>48</v>
      </c>
      <c r="AZ655" t="s">
        <v>51</v>
      </c>
      <c r="BD655" t="s">
        <v>55</v>
      </c>
    </row>
    <row r="656" spans="1:77" x14ac:dyDescent="0.2">
      <c r="A656" t="s">
        <v>2274</v>
      </c>
      <c r="B656" t="s">
        <v>1678</v>
      </c>
      <c r="C656" t="s">
        <v>2684</v>
      </c>
      <c r="D656" t="s">
        <v>2686</v>
      </c>
      <c r="E656" t="s">
        <v>2687</v>
      </c>
      <c r="F656" t="s">
        <v>118</v>
      </c>
      <c r="G656" t="str">
        <f>HYPERLINK("https://vk.com/wall-93334665_84054?reply=84117")</f>
        <v>https://vk.com/wall-93334665_84054?reply=84117</v>
      </c>
      <c r="H656" t="s">
        <v>119</v>
      </c>
      <c r="I656" t="s">
        <v>2688</v>
      </c>
      <c r="J656" t="str">
        <f>HYPERLINK("http://vk.com/id606690049")</f>
        <v>http://vk.com/id606690049</v>
      </c>
      <c r="L656" t="s">
        <v>151</v>
      </c>
      <c r="M656">
        <v>37</v>
      </c>
      <c r="N656" t="s">
        <v>122</v>
      </c>
      <c r="O656" t="s">
        <v>2689</v>
      </c>
      <c r="P656" t="str">
        <f>HYPERLINK("http://vk.com/club93334665")</f>
        <v>http://vk.com/club93334665</v>
      </c>
      <c r="Q656">
        <v>16878</v>
      </c>
      <c r="R656" t="s">
        <v>124</v>
      </c>
      <c r="AM656" t="s">
        <v>129</v>
      </c>
      <c r="AN656" t="s">
        <v>130</v>
      </c>
      <c r="AP656" t="s">
        <v>41</v>
      </c>
      <c r="AY656" t="s">
        <v>50</v>
      </c>
      <c r="AZ656" t="s">
        <v>51</v>
      </c>
      <c r="BA656" t="s">
        <v>52</v>
      </c>
      <c r="BM656" t="s">
        <v>64</v>
      </c>
    </row>
    <row r="657" spans="1:65" x14ac:dyDescent="0.2">
      <c r="A657" t="s">
        <v>2274</v>
      </c>
      <c r="B657" t="s">
        <v>565</v>
      </c>
      <c r="C657" t="s">
        <v>2690</v>
      </c>
      <c r="D657" t="s">
        <v>2215</v>
      </c>
      <c r="E657" t="s">
        <v>2691</v>
      </c>
      <c r="F657" t="s">
        <v>118</v>
      </c>
      <c r="G657" t="str">
        <f>HYPERLINK("https://vk.com/wall-27863223_292151?reply=292260&amp;thread=292165")</f>
        <v>https://vk.com/wall-27863223_292151?reply=292260&amp;thread=292165</v>
      </c>
      <c r="H657" t="s">
        <v>119</v>
      </c>
      <c r="I657" t="s">
        <v>2692</v>
      </c>
      <c r="J657" t="str">
        <f>HYPERLINK("http://vk.com/id142645076")</f>
        <v>http://vk.com/id142645076</v>
      </c>
      <c r="K657">
        <v>236</v>
      </c>
      <c r="L657" t="s">
        <v>151</v>
      </c>
      <c r="N657" t="s">
        <v>122</v>
      </c>
      <c r="O657" t="s">
        <v>175</v>
      </c>
      <c r="P657" t="str">
        <f>HYPERLINK("http://vk.com/club27863223")</f>
        <v>http://vk.com/club27863223</v>
      </c>
      <c r="Q657">
        <v>134698</v>
      </c>
      <c r="R657" t="s">
        <v>124</v>
      </c>
      <c r="S657" t="s">
        <v>125</v>
      </c>
      <c r="AM657" t="s">
        <v>129</v>
      </c>
      <c r="AN657" t="s">
        <v>130</v>
      </c>
      <c r="AP657" t="s">
        <v>41</v>
      </c>
      <c r="AU657" t="s">
        <v>46</v>
      </c>
      <c r="AZ657" t="s">
        <v>51</v>
      </c>
      <c r="BA657" t="s">
        <v>52</v>
      </c>
    </row>
    <row r="658" spans="1:65" x14ac:dyDescent="0.2">
      <c r="A658" t="s">
        <v>2274</v>
      </c>
      <c r="B658" t="s">
        <v>2693</v>
      </c>
      <c r="C658" t="s">
        <v>2684</v>
      </c>
      <c r="D658" t="s">
        <v>1031</v>
      </c>
      <c r="E658" t="s">
        <v>2694</v>
      </c>
      <c r="F658" t="s">
        <v>118</v>
      </c>
      <c r="G658" t="str">
        <f>HYPERLINK("https://vk.com/wall-27863223_292230?reply=292259")</f>
        <v>https://vk.com/wall-27863223_292230?reply=292259</v>
      </c>
      <c r="H658" t="s">
        <v>119</v>
      </c>
      <c r="I658" t="s">
        <v>1465</v>
      </c>
      <c r="J658" t="str">
        <f>HYPERLINK("http://vk.com/id645453971")</f>
        <v>http://vk.com/id645453971</v>
      </c>
      <c r="K658">
        <v>46</v>
      </c>
      <c r="L658" t="s">
        <v>121</v>
      </c>
      <c r="M658">
        <v>30</v>
      </c>
      <c r="N658" t="s">
        <v>122</v>
      </c>
      <c r="O658" t="s">
        <v>175</v>
      </c>
      <c r="P658" t="str">
        <f>HYPERLINK("http://vk.com/club27863223")</f>
        <v>http://vk.com/club27863223</v>
      </c>
      <c r="Q658">
        <v>134698</v>
      </c>
      <c r="R658" t="s">
        <v>124</v>
      </c>
      <c r="S658" t="s">
        <v>125</v>
      </c>
      <c r="T658" t="s">
        <v>1466</v>
      </c>
      <c r="U658" t="s">
        <v>1467</v>
      </c>
      <c r="W658">
        <v>0</v>
      </c>
      <c r="X658">
        <v>0</v>
      </c>
      <c r="AM658" t="s">
        <v>129</v>
      </c>
      <c r="AN658" t="s">
        <v>130</v>
      </c>
      <c r="AO658" t="s">
        <v>40</v>
      </c>
      <c r="AP658" t="s">
        <v>41</v>
      </c>
      <c r="AZ658" t="s">
        <v>51</v>
      </c>
      <c r="BA658" t="s">
        <v>52</v>
      </c>
    </row>
    <row r="659" spans="1:65" x14ac:dyDescent="0.2">
      <c r="A659" t="s">
        <v>2274</v>
      </c>
      <c r="B659" t="s">
        <v>2134</v>
      </c>
      <c r="C659" t="s">
        <v>2684</v>
      </c>
      <c r="D659" t="s">
        <v>1031</v>
      </c>
      <c r="E659" t="s">
        <v>2695</v>
      </c>
      <c r="F659" t="s">
        <v>118</v>
      </c>
      <c r="G659" t="str">
        <f>HYPERLINK("https://vk.com/wall-27863223_292230?reply=292258")</f>
        <v>https://vk.com/wall-27863223_292230?reply=292258</v>
      </c>
      <c r="H659" t="s">
        <v>119</v>
      </c>
      <c r="I659" t="s">
        <v>1677</v>
      </c>
      <c r="J659" t="str">
        <f>HYPERLINK("http://vk.com/id50059590")</f>
        <v>http://vk.com/id50059590</v>
      </c>
      <c r="K659">
        <v>166</v>
      </c>
      <c r="L659" t="s">
        <v>151</v>
      </c>
      <c r="M659">
        <v>41</v>
      </c>
      <c r="N659" t="s">
        <v>122</v>
      </c>
      <c r="O659" t="s">
        <v>175</v>
      </c>
      <c r="P659" t="str">
        <f>HYPERLINK("http://vk.com/club27863223")</f>
        <v>http://vk.com/club27863223</v>
      </c>
      <c r="Q659">
        <v>134698</v>
      </c>
      <c r="R659" t="s">
        <v>124</v>
      </c>
      <c r="S659" t="s">
        <v>125</v>
      </c>
      <c r="T659" t="s">
        <v>169</v>
      </c>
      <c r="U659" t="s">
        <v>169</v>
      </c>
      <c r="W659">
        <v>0</v>
      </c>
      <c r="X659">
        <v>0</v>
      </c>
      <c r="AM659" t="s">
        <v>129</v>
      </c>
      <c r="AN659" t="s">
        <v>130</v>
      </c>
      <c r="AO659" t="s">
        <v>40</v>
      </c>
      <c r="AP659" t="s">
        <v>41</v>
      </c>
      <c r="AZ659" t="s">
        <v>51</v>
      </c>
      <c r="BA659" t="s">
        <v>52</v>
      </c>
    </row>
    <row r="660" spans="1:65" x14ac:dyDescent="0.2">
      <c r="A660" t="s">
        <v>2274</v>
      </c>
      <c r="B660" t="s">
        <v>2134</v>
      </c>
      <c r="C660" t="s">
        <v>2696</v>
      </c>
      <c r="D660" t="s">
        <v>2697</v>
      </c>
      <c r="E660" t="s">
        <v>2698</v>
      </c>
      <c r="F660" t="s">
        <v>118</v>
      </c>
      <c r="G660" t="str">
        <f>HYPERLINK("https://ok.ru/group/50415375614101/topic/153726783876501#MTYyNzM3NTQ3MzI5NTotMTYxOTk6MTYyNzM3NTQ3MzI5NToxNTM3MjY3ODM4NzY1MDE6MQ==")</f>
        <v>https://ok.ru/group/50415375614101/topic/153726783876501#MTYyNzM3NTQ3MzI5NTotMTYxOTk6MTYyNzM3NTQ3MzI5NToxNTM3MjY3ODM4NzY1MDE6MQ==</v>
      </c>
      <c r="H660" t="s">
        <v>119</v>
      </c>
      <c r="I660" t="s">
        <v>2699</v>
      </c>
      <c r="J660" t="str">
        <f>HYPERLINK("https://ok.ru/profile/598409797139")</f>
        <v>https://ok.ru/profile/598409797139</v>
      </c>
      <c r="K660">
        <v>68</v>
      </c>
      <c r="L660" t="s">
        <v>151</v>
      </c>
      <c r="N660" t="s">
        <v>347</v>
      </c>
      <c r="O660" t="s">
        <v>2700</v>
      </c>
      <c r="P660" t="str">
        <f>HYPERLINK("https://ok.ru/group/50415375614101")</f>
        <v>https://ok.ru/group/50415375614101</v>
      </c>
      <c r="Q660">
        <v>1006128</v>
      </c>
      <c r="R660" t="s">
        <v>124</v>
      </c>
      <c r="S660" t="s">
        <v>125</v>
      </c>
      <c r="W660">
        <v>0</v>
      </c>
      <c r="X660">
        <v>0</v>
      </c>
      <c r="AM660" t="s">
        <v>129</v>
      </c>
      <c r="AN660" t="s">
        <v>130</v>
      </c>
      <c r="AP660" t="s">
        <v>41</v>
      </c>
      <c r="AZ660" t="s">
        <v>51</v>
      </c>
      <c r="BB660" t="s">
        <v>53</v>
      </c>
    </row>
    <row r="661" spans="1:65" x14ac:dyDescent="0.2">
      <c r="A661" t="s">
        <v>2274</v>
      </c>
      <c r="B661" t="s">
        <v>572</v>
      </c>
      <c r="C661" t="s">
        <v>2701</v>
      </c>
      <c r="D661" t="s">
        <v>2702</v>
      </c>
      <c r="E661" t="s">
        <v>2703</v>
      </c>
      <c r="F661" t="s">
        <v>118</v>
      </c>
      <c r="G661" t="str">
        <f>HYPERLINK("https://vk.com/wall-144649245_446641?reply=446760")</f>
        <v>https://vk.com/wall-144649245_446641?reply=446760</v>
      </c>
      <c r="H661" t="s">
        <v>119</v>
      </c>
      <c r="I661" t="s">
        <v>2704</v>
      </c>
      <c r="J661" t="str">
        <f>HYPERLINK("http://vk.com/id222674037")</f>
        <v>http://vk.com/id222674037</v>
      </c>
      <c r="K661">
        <v>301</v>
      </c>
      <c r="L661" t="s">
        <v>151</v>
      </c>
      <c r="M661">
        <v>29</v>
      </c>
      <c r="N661" t="s">
        <v>122</v>
      </c>
      <c r="O661" t="s">
        <v>2705</v>
      </c>
      <c r="P661" t="str">
        <f>HYPERLINK("http://vk.com/club144649245")</f>
        <v>http://vk.com/club144649245</v>
      </c>
      <c r="Q661">
        <v>27581</v>
      </c>
      <c r="R661" t="s">
        <v>124</v>
      </c>
      <c r="S661" t="s">
        <v>125</v>
      </c>
      <c r="T661" t="s">
        <v>1819</v>
      </c>
      <c r="U661" t="s">
        <v>2706</v>
      </c>
      <c r="AM661" t="s">
        <v>129</v>
      </c>
      <c r="AN661" t="s">
        <v>130</v>
      </c>
      <c r="AP661" t="s">
        <v>41</v>
      </c>
      <c r="AY661" t="s">
        <v>50</v>
      </c>
      <c r="AZ661" t="s">
        <v>51</v>
      </c>
      <c r="BA661" t="s">
        <v>52</v>
      </c>
      <c r="BL661" t="s">
        <v>63</v>
      </c>
    </row>
    <row r="662" spans="1:65" x14ac:dyDescent="0.2">
      <c r="A662" t="s">
        <v>2274</v>
      </c>
      <c r="B662" t="s">
        <v>577</v>
      </c>
      <c r="C662" t="s">
        <v>2684</v>
      </c>
      <c r="D662" t="s">
        <v>1031</v>
      </c>
      <c r="E662" t="s">
        <v>2376</v>
      </c>
      <c r="F662" t="s">
        <v>118</v>
      </c>
      <c r="G662" t="str">
        <f>HYPERLINK("https://vk.com/wall-27863223_292230?reply=292257")</f>
        <v>https://vk.com/wall-27863223_292230?reply=292257</v>
      </c>
      <c r="H662" t="s">
        <v>119</v>
      </c>
      <c r="I662" t="s">
        <v>2707</v>
      </c>
      <c r="J662" t="str">
        <f>HYPERLINK("http://vk.com/id397189970")</f>
        <v>http://vk.com/id397189970</v>
      </c>
      <c r="K662">
        <v>273</v>
      </c>
      <c r="L662" t="s">
        <v>121</v>
      </c>
      <c r="N662" t="s">
        <v>122</v>
      </c>
      <c r="O662" t="s">
        <v>175</v>
      </c>
      <c r="P662" t="str">
        <f>HYPERLINK("http://vk.com/club27863223")</f>
        <v>http://vk.com/club27863223</v>
      </c>
      <c r="Q662">
        <v>134698</v>
      </c>
      <c r="R662" t="s">
        <v>124</v>
      </c>
      <c r="S662" t="s">
        <v>125</v>
      </c>
      <c r="T662" t="s">
        <v>325</v>
      </c>
      <c r="U662" t="s">
        <v>326</v>
      </c>
      <c r="W662">
        <v>0</v>
      </c>
      <c r="X662">
        <v>0</v>
      </c>
      <c r="AM662" t="s">
        <v>129</v>
      </c>
      <c r="AN662" t="s">
        <v>130</v>
      </c>
      <c r="AO662" t="s">
        <v>40</v>
      </c>
      <c r="AP662" t="s">
        <v>41</v>
      </c>
      <c r="AZ662" t="s">
        <v>51</v>
      </c>
      <c r="BA662" t="s">
        <v>52</v>
      </c>
    </row>
    <row r="663" spans="1:65" x14ac:dyDescent="0.2">
      <c r="A663" t="s">
        <v>2274</v>
      </c>
      <c r="B663" t="s">
        <v>2145</v>
      </c>
      <c r="C663" t="s">
        <v>2708</v>
      </c>
      <c r="D663" t="s">
        <v>2709</v>
      </c>
      <c r="E663" t="s">
        <v>2710</v>
      </c>
      <c r="F663" t="s">
        <v>118</v>
      </c>
      <c r="G663" t="str">
        <f>HYPERLINK("https://www.youtube.com/watch?v=OZy3WdMP1o4&amp;lc=UgwQeexlOn9ogUQTMAN4AaABAg")</f>
        <v>https://www.youtube.com/watch?v=OZy3WdMP1o4&amp;lc=UgwQeexlOn9ogUQTMAN4AaABAg</v>
      </c>
      <c r="H663" t="s">
        <v>119</v>
      </c>
      <c r="I663" t="s">
        <v>2711</v>
      </c>
      <c r="J663" t="str">
        <f>HYPERLINK("https://www.youtube.com/channel/UCnQsrX2ExD9BJW2CfpNchIA")</f>
        <v>https://www.youtube.com/channel/UCnQsrX2ExD9BJW2CfpNchIA</v>
      </c>
      <c r="K663">
        <v>0</v>
      </c>
      <c r="L663" t="s">
        <v>121</v>
      </c>
      <c r="N663" t="s">
        <v>248</v>
      </c>
      <c r="O663" t="s">
        <v>2712</v>
      </c>
      <c r="P663" t="str">
        <f>HYPERLINK("https://www.youtube.com/channel/UCxwi7VKi7MubvRJbWfLMDNg")</f>
        <v>https://www.youtube.com/channel/UCxwi7VKi7MubvRJbWfLMDNg</v>
      </c>
      <c r="Q663">
        <v>3770</v>
      </c>
      <c r="R663" t="s">
        <v>124</v>
      </c>
      <c r="S663" t="s">
        <v>125</v>
      </c>
      <c r="W663">
        <v>0</v>
      </c>
      <c r="X663">
        <v>0</v>
      </c>
      <c r="AE663">
        <v>1</v>
      </c>
      <c r="AM663" t="s">
        <v>129</v>
      </c>
      <c r="AN663" t="s">
        <v>130</v>
      </c>
      <c r="AP663" t="s">
        <v>41</v>
      </c>
      <c r="AU663" t="s">
        <v>46</v>
      </c>
      <c r="AY663" t="s">
        <v>50</v>
      </c>
      <c r="AZ663" t="s">
        <v>51</v>
      </c>
      <c r="BA663" t="s">
        <v>52</v>
      </c>
    </row>
    <row r="664" spans="1:65" x14ac:dyDescent="0.2">
      <c r="A664" t="s">
        <v>2274</v>
      </c>
      <c r="B664" t="s">
        <v>2713</v>
      </c>
      <c r="C664" t="s">
        <v>2714</v>
      </c>
      <c r="D664" t="s">
        <v>2501</v>
      </c>
      <c r="E664" t="s">
        <v>2715</v>
      </c>
      <c r="F664" t="s">
        <v>118</v>
      </c>
      <c r="G664" t="str">
        <f>HYPERLINK("https://vk.com/wall-2290850_682750?reply=682768")</f>
        <v>https://vk.com/wall-2290850_682750?reply=682768</v>
      </c>
      <c r="H664" t="s">
        <v>228</v>
      </c>
      <c r="I664" t="s">
        <v>2716</v>
      </c>
      <c r="J664" t="str">
        <f>HYPERLINK("http://vk.com/id33490270")</f>
        <v>http://vk.com/id33490270</v>
      </c>
      <c r="K664">
        <v>58</v>
      </c>
      <c r="L664" t="s">
        <v>121</v>
      </c>
      <c r="N664" t="s">
        <v>122</v>
      </c>
      <c r="O664" t="s">
        <v>136</v>
      </c>
      <c r="P664" t="str">
        <f>HYPERLINK("http://vk.com/club2290850")</f>
        <v>http://vk.com/club2290850</v>
      </c>
      <c r="Q664">
        <v>14544</v>
      </c>
      <c r="R664" t="s">
        <v>124</v>
      </c>
      <c r="S664" t="s">
        <v>125</v>
      </c>
      <c r="AM664" t="s">
        <v>129</v>
      </c>
      <c r="AN664" t="s">
        <v>130</v>
      </c>
      <c r="AP664" t="s">
        <v>41</v>
      </c>
      <c r="AZ664" t="s">
        <v>51</v>
      </c>
      <c r="BA664" t="s">
        <v>52</v>
      </c>
    </row>
    <row r="665" spans="1:65" x14ac:dyDescent="0.2">
      <c r="A665" t="s">
        <v>2274</v>
      </c>
      <c r="B665" t="s">
        <v>2717</v>
      </c>
      <c r="C665" t="s">
        <v>2718</v>
      </c>
      <c r="D665" t="s">
        <v>2501</v>
      </c>
      <c r="E665" t="s">
        <v>2719</v>
      </c>
      <c r="F665" t="s">
        <v>118</v>
      </c>
      <c r="G665" t="str">
        <f>HYPERLINK("https://vk.com/wall-2290850_682750?reply=682757")</f>
        <v>https://vk.com/wall-2290850_682750?reply=682757</v>
      </c>
      <c r="H665" t="s">
        <v>119</v>
      </c>
      <c r="I665" t="s">
        <v>2666</v>
      </c>
      <c r="J665" t="str">
        <f>HYPERLINK("http://vk.com/id2383883")</f>
        <v>http://vk.com/id2383883</v>
      </c>
      <c r="K665">
        <v>164</v>
      </c>
      <c r="L665" t="s">
        <v>121</v>
      </c>
      <c r="M665">
        <v>43</v>
      </c>
      <c r="N665" t="s">
        <v>122</v>
      </c>
      <c r="O665" t="s">
        <v>136</v>
      </c>
      <c r="P665" t="str">
        <f>HYPERLINK("http://vk.com/club2290850")</f>
        <v>http://vk.com/club2290850</v>
      </c>
      <c r="Q665">
        <v>14544</v>
      </c>
      <c r="R665" t="s">
        <v>124</v>
      </c>
      <c r="S665" t="s">
        <v>125</v>
      </c>
      <c r="T665" t="s">
        <v>137</v>
      </c>
      <c r="U665" t="s">
        <v>137</v>
      </c>
      <c r="AM665" t="s">
        <v>129</v>
      </c>
      <c r="AN665" t="s">
        <v>130</v>
      </c>
      <c r="AP665" t="s">
        <v>41</v>
      </c>
      <c r="AW665" t="s">
        <v>48</v>
      </c>
      <c r="AZ665" t="s">
        <v>51</v>
      </c>
      <c r="BA665" t="s">
        <v>52</v>
      </c>
      <c r="BM665" t="s">
        <v>64</v>
      </c>
    </row>
    <row r="666" spans="1:65" x14ac:dyDescent="0.2">
      <c r="A666" t="s">
        <v>2274</v>
      </c>
      <c r="B666" t="s">
        <v>2720</v>
      </c>
      <c r="C666" t="s">
        <v>2721</v>
      </c>
      <c r="D666" t="s">
        <v>1031</v>
      </c>
      <c r="E666" t="s">
        <v>2376</v>
      </c>
      <c r="F666" t="s">
        <v>118</v>
      </c>
      <c r="G666" t="str">
        <f>HYPERLINK("https://vk.com/wall-27863223_292230?reply=292252")</f>
        <v>https://vk.com/wall-27863223_292230?reply=292252</v>
      </c>
      <c r="H666" t="s">
        <v>119</v>
      </c>
      <c r="I666" t="s">
        <v>324</v>
      </c>
      <c r="J666" t="str">
        <f>HYPERLINK("http://vk.com/id23957717")</f>
        <v>http://vk.com/id23957717</v>
      </c>
      <c r="K666">
        <v>296</v>
      </c>
      <c r="L666" t="s">
        <v>121</v>
      </c>
      <c r="M666">
        <v>43</v>
      </c>
      <c r="N666" t="s">
        <v>122</v>
      </c>
      <c r="O666" t="s">
        <v>175</v>
      </c>
      <c r="P666" t="str">
        <f>HYPERLINK("http://vk.com/club27863223")</f>
        <v>http://vk.com/club27863223</v>
      </c>
      <c r="Q666">
        <v>134698</v>
      </c>
      <c r="R666" t="s">
        <v>124</v>
      </c>
      <c r="S666" t="s">
        <v>125</v>
      </c>
      <c r="T666" t="s">
        <v>325</v>
      </c>
      <c r="U666" t="s">
        <v>326</v>
      </c>
      <c r="W666">
        <v>0</v>
      </c>
      <c r="X666">
        <v>0</v>
      </c>
      <c r="AM666" t="s">
        <v>129</v>
      </c>
      <c r="AN666" t="s">
        <v>130</v>
      </c>
      <c r="AO666" t="s">
        <v>40</v>
      </c>
      <c r="AP666" t="s">
        <v>41</v>
      </c>
      <c r="AZ666" t="s">
        <v>51</v>
      </c>
      <c r="BA666" t="s">
        <v>52</v>
      </c>
    </row>
    <row r="667" spans="1:65" x14ac:dyDescent="0.2">
      <c r="A667" t="s">
        <v>2274</v>
      </c>
      <c r="B667" t="s">
        <v>1709</v>
      </c>
      <c r="C667" t="s">
        <v>2722</v>
      </c>
      <c r="D667" t="s">
        <v>129</v>
      </c>
      <c r="E667" t="s">
        <v>2723</v>
      </c>
      <c r="F667" t="s">
        <v>180</v>
      </c>
      <c r="G667" t="str">
        <f>HYPERLINK("https://vk.com/wall-2290850_682750")</f>
        <v>https://vk.com/wall-2290850_682750</v>
      </c>
      <c r="H667" t="s">
        <v>119</v>
      </c>
      <c r="I667" t="s">
        <v>2649</v>
      </c>
      <c r="J667" t="str">
        <f>HYPERLINK("http://vk.com/id11447094")</f>
        <v>http://vk.com/id11447094</v>
      </c>
      <c r="K667">
        <v>407</v>
      </c>
      <c r="L667" t="s">
        <v>151</v>
      </c>
      <c r="N667" t="s">
        <v>122</v>
      </c>
      <c r="O667" t="s">
        <v>136</v>
      </c>
      <c r="P667" t="str">
        <f>HYPERLINK("http://vk.com/club2290850")</f>
        <v>http://vk.com/club2290850</v>
      </c>
      <c r="Q667">
        <v>14544</v>
      </c>
      <c r="R667" t="s">
        <v>124</v>
      </c>
      <c r="S667" t="s">
        <v>125</v>
      </c>
      <c r="T667" t="s">
        <v>137</v>
      </c>
      <c r="U667" t="s">
        <v>137</v>
      </c>
      <c r="W667">
        <v>0</v>
      </c>
      <c r="X667">
        <v>0</v>
      </c>
      <c r="AE667">
        <v>20</v>
      </c>
      <c r="AF667">
        <v>1</v>
      </c>
      <c r="AM667" t="s">
        <v>129</v>
      </c>
      <c r="AN667" t="s">
        <v>130</v>
      </c>
      <c r="AP667" t="s">
        <v>41</v>
      </c>
      <c r="AW667" t="s">
        <v>48</v>
      </c>
      <c r="AZ667" t="s">
        <v>51</v>
      </c>
      <c r="BA667" t="s">
        <v>52</v>
      </c>
    </row>
    <row r="668" spans="1:65" x14ac:dyDescent="0.2">
      <c r="A668" t="s">
        <v>2274</v>
      </c>
      <c r="B668" t="s">
        <v>2724</v>
      </c>
      <c r="C668" t="s">
        <v>2721</v>
      </c>
      <c r="D668" t="s">
        <v>1031</v>
      </c>
      <c r="E668" t="s">
        <v>2725</v>
      </c>
      <c r="F668" t="s">
        <v>118</v>
      </c>
      <c r="G668" t="str">
        <f>HYPERLINK("https://vk.com/wall-27863223_292230?reply=292251")</f>
        <v>https://vk.com/wall-27863223_292230?reply=292251</v>
      </c>
      <c r="H668" t="s">
        <v>119</v>
      </c>
      <c r="I668" t="s">
        <v>2726</v>
      </c>
      <c r="J668" t="str">
        <f>HYPERLINK("http://vk.com/id8013464")</f>
        <v>http://vk.com/id8013464</v>
      </c>
      <c r="K668">
        <v>269</v>
      </c>
      <c r="L668" t="s">
        <v>121</v>
      </c>
      <c r="M668">
        <v>53</v>
      </c>
      <c r="N668" t="s">
        <v>122</v>
      </c>
      <c r="O668" t="s">
        <v>175</v>
      </c>
      <c r="P668" t="str">
        <f t="shared" ref="P668:P684" si="6">HYPERLINK("http://vk.com/club27863223")</f>
        <v>http://vk.com/club27863223</v>
      </c>
      <c r="Q668">
        <v>134698</v>
      </c>
      <c r="R668" t="s">
        <v>124</v>
      </c>
      <c r="S668" t="s">
        <v>125</v>
      </c>
      <c r="T668" t="s">
        <v>126</v>
      </c>
      <c r="U668" t="s">
        <v>127</v>
      </c>
      <c r="W668">
        <v>0</v>
      </c>
      <c r="X668">
        <v>0</v>
      </c>
      <c r="AM668" t="s">
        <v>129</v>
      </c>
      <c r="AN668" t="s">
        <v>130</v>
      </c>
      <c r="AO668" t="s">
        <v>40</v>
      </c>
      <c r="AP668" t="s">
        <v>41</v>
      </c>
      <c r="AZ668" t="s">
        <v>51</v>
      </c>
      <c r="BA668" t="s">
        <v>52</v>
      </c>
    </row>
    <row r="669" spans="1:65" x14ac:dyDescent="0.2">
      <c r="A669" t="s">
        <v>2274</v>
      </c>
      <c r="B669" t="s">
        <v>2727</v>
      </c>
      <c r="C669" t="s">
        <v>2728</v>
      </c>
      <c r="D669" t="s">
        <v>1031</v>
      </c>
      <c r="E669" t="s">
        <v>2263</v>
      </c>
      <c r="F669" t="s">
        <v>118</v>
      </c>
      <c r="G669" t="str">
        <f>HYPERLINK("https://vk.com/wall-27863223_292230?reply=292250")</f>
        <v>https://vk.com/wall-27863223_292230?reply=292250</v>
      </c>
      <c r="H669" t="s">
        <v>119</v>
      </c>
      <c r="I669" t="s">
        <v>827</v>
      </c>
      <c r="J669" t="str">
        <f>HYPERLINK("http://vk.com/id586256633")</f>
        <v>http://vk.com/id586256633</v>
      </c>
      <c r="K669">
        <v>44</v>
      </c>
      <c r="L669" t="s">
        <v>121</v>
      </c>
      <c r="N669" t="s">
        <v>122</v>
      </c>
      <c r="O669" t="s">
        <v>175</v>
      </c>
      <c r="P669" t="str">
        <f t="shared" si="6"/>
        <v>http://vk.com/club27863223</v>
      </c>
      <c r="Q669">
        <v>134698</v>
      </c>
      <c r="R669" t="s">
        <v>124</v>
      </c>
      <c r="S669" t="s">
        <v>125</v>
      </c>
      <c r="T669" t="s">
        <v>828</v>
      </c>
      <c r="U669" t="s">
        <v>829</v>
      </c>
      <c r="W669">
        <v>0</v>
      </c>
      <c r="X669">
        <v>0</v>
      </c>
      <c r="AM669" t="s">
        <v>129</v>
      </c>
      <c r="AN669" t="s">
        <v>130</v>
      </c>
      <c r="AO669" t="s">
        <v>40</v>
      </c>
      <c r="AP669" t="s">
        <v>41</v>
      </c>
      <c r="AZ669" t="s">
        <v>51</v>
      </c>
      <c r="BA669" t="s">
        <v>52</v>
      </c>
    </row>
    <row r="670" spans="1:65" x14ac:dyDescent="0.2">
      <c r="A670" t="s">
        <v>2274</v>
      </c>
      <c r="B670" t="s">
        <v>2729</v>
      </c>
      <c r="C670" t="s">
        <v>2728</v>
      </c>
      <c r="D670" t="s">
        <v>1031</v>
      </c>
      <c r="E670" t="s">
        <v>2376</v>
      </c>
      <c r="F670" t="s">
        <v>118</v>
      </c>
      <c r="G670" t="str">
        <f>HYPERLINK("https://vk.com/wall-27863223_292230?reply=292249")</f>
        <v>https://vk.com/wall-27863223_292230?reply=292249</v>
      </c>
      <c r="H670" t="s">
        <v>119</v>
      </c>
      <c r="I670" t="s">
        <v>835</v>
      </c>
      <c r="J670" t="str">
        <f>HYPERLINK("http://vk.com/id58646502")</f>
        <v>http://vk.com/id58646502</v>
      </c>
      <c r="K670">
        <v>813</v>
      </c>
      <c r="L670" t="s">
        <v>151</v>
      </c>
      <c r="N670" t="s">
        <v>122</v>
      </c>
      <c r="O670" t="s">
        <v>175</v>
      </c>
      <c r="P670" t="str">
        <f t="shared" si="6"/>
        <v>http://vk.com/club27863223</v>
      </c>
      <c r="Q670">
        <v>134698</v>
      </c>
      <c r="R670" t="s">
        <v>124</v>
      </c>
      <c r="S670" t="s">
        <v>125</v>
      </c>
      <c r="T670" t="s">
        <v>828</v>
      </c>
      <c r="U670" t="s">
        <v>829</v>
      </c>
      <c r="W670">
        <v>0</v>
      </c>
      <c r="X670">
        <v>0</v>
      </c>
      <c r="AM670" t="s">
        <v>129</v>
      </c>
      <c r="AN670" t="s">
        <v>130</v>
      </c>
      <c r="AO670" t="s">
        <v>40</v>
      </c>
      <c r="AP670" t="s">
        <v>41</v>
      </c>
      <c r="AZ670" t="s">
        <v>51</v>
      </c>
      <c r="BA670" t="s">
        <v>52</v>
      </c>
    </row>
    <row r="671" spans="1:65" x14ac:dyDescent="0.2">
      <c r="A671" t="s">
        <v>2274</v>
      </c>
      <c r="B671" t="s">
        <v>2162</v>
      </c>
      <c r="C671" t="s">
        <v>2728</v>
      </c>
      <c r="D671" t="s">
        <v>1031</v>
      </c>
      <c r="E671" t="s">
        <v>2730</v>
      </c>
      <c r="F671" t="s">
        <v>118</v>
      </c>
      <c r="G671" t="str">
        <f>HYPERLINK("https://vk.com/wall-27863223_292230?reply=292248")</f>
        <v>https://vk.com/wall-27863223_292230?reply=292248</v>
      </c>
      <c r="H671" t="s">
        <v>119</v>
      </c>
      <c r="I671" t="s">
        <v>174</v>
      </c>
      <c r="J671" t="str">
        <f>HYPERLINK("http://vk.com/id456414908")</f>
        <v>http://vk.com/id456414908</v>
      </c>
      <c r="K671">
        <v>240</v>
      </c>
      <c r="L671" t="s">
        <v>151</v>
      </c>
      <c r="M671">
        <v>32</v>
      </c>
      <c r="N671" t="s">
        <v>122</v>
      </c>
      <c r="O671" t="s">
        <v>175</v>
      </c>
      <c r="P671" t="str">
        <f t="shared" si="6"/>
        <v>http://vk.com/club27863223</v>
      </c>
      <c r="Q671">
        <v>134698</v>
      </c>
      <c r="R671" t="s">
        <v>124</v>
      </c>
      <c r="W671">
        <v>0</v>
      </c>
      <c r="X671">
        <v>0</v>
      </c>
      <c r="AM671" t="s">
        <v>129</v>
      </c>
      <c r="AN671" t="s">
        <v>130</v>
      </c>
      <c r="AO671" t="s">
        <v>40</v>
      </c>
      <c r="AP671" t="s">
        <v>41</v>
      </c>
      <c r="AZ671" t="s">
        <v>51</v>
      </c>
      <c r="BA671" t="s">
        <v>52</v>
      </c>
    </row>
    <row r="672" spans="1:65" x14ac:dyDescent="0.2">
      <c r="A672" t="s">
        <v>2274</v>
      </c>
      <c r="B672" t="s">
        <v>2162</v>
      </c>
      <c r="C672" t="s">
        <v>2728</v>
      </c>
      <c r="D672" t="s">
        <v>1031</v>
      </c>
      <c r="E672" t="s">
        <v>2731</v>
      </c>
      <c r="F672" t="s">
        <v>118</v>
      </c>
      <c r="G672" t="str">
        <f>HYPERLINK("https://vk.com/wall-27863223_292230?reply=292247")</f>
        <v>https://vk.com/wall-27863223_292230?reply=292247</v>
      </c>
      <c r="H672" t="s">
        <v>119</v>
      </c>
      <c r="I672" t="s">
        <v>831</v>
      </c>
      <c r="J672" t="str">
        <f>HYPERLINK("http://vk.com/id550993424")</f>
        <v>http://vk.com/id550993424</v>
      </c>
      <c r="K672">
        <v>158</v>
      </c>
      <c r="L672" t="s">
        <v>151</v>
      </c>
      <c r="N672" t="s">
        <v>122</v>
      </c>
      <c r="O672" t="s">
        <v>175</v>
      </c>
      <c r="P672" t="str">
        <f t="shared" si="6"/>
        <v>http://vk.com/club27863223</v>
      </c>
      <c r="Q672">
        <v>134698</v>
      </c>
      <c r="R672" t="s">
        <v>124</v>
      </c>
      <c r="S672" t="s">
        <v>125</v>
      </c>
      <c r="T672" t="s">
        <v>828</v>
      </c>
      <c r="U672" t="s">
        <v>829</v>
      </c>
      <c r="W672">
        <v>0</v>
      </c>
      <c r="X672">
        <v>0</v>
      </c>
      <c r="AM672" t="s">
        <v>129</v>
      </c>
      <c r="AN672" t="s">
        <v>130</v>
      </c>
      <c r="AO672" t="s">
        <v>40</v>
      </c>
      <c r="AP672" t="s">
        <v>41</v>
      </c>
      <c r="AZ672" t="s">
        <v>51</v>
      </c>
      <c r="BA672" t="s">
        <v>52</v>
      </c>
    </row>
    <row r="673" spans="1:77" x14ac:dyDescent="0.2">
      <c r="A673" t="s">
        <v>2274</v>
      </c>
      <c r="B673" t="s">
        <v>1122</v>
      </c>
      <c r="C673" t="s">
        <v>2728</v>
      </c>
      <c r="D673" t="s">
        <v>1031</v>
      </c>
      <c r="E673" t="s">
        <v>2097</v>
      </c>
      <c r="F673" t="s">
        <v>118</v>
      </c>
      <c r="G673" t="str">
        <f>HYPERLINK("https://vk.com/wall-27863223_292230?reply=292246")</f>
        <v>https://vk.com/wall-27863223_292230?reply=292246</v>
      </c>
      <c r="H673" t="s">
        <v>119</v>
      </c>
      <c r="I673" t="s">
        <v>837</v>
      </c>
      <c r="J673" t="str">
        <f>HYPERLINK("http://vk.com/id17320969")</f>
        <v>http://vk.com/id17320969</v>
      </c>
      <c r="K673">
        <v>326</v>
      </c>
      <c r="L673" t="s">
        <v>121</v>
      </c>
      <c r="M673">
        <v>31</v>
      </c>
      <c r="N673" t="s">
        <v>122</v>
      </c>
      <c r="O673" t="s">
        <v>175</v>
      </c>
      <c r="P673" t="str">
        <f t="shared" si="6"/>
        <v>http://vk.com/club27863223</v>
      </c>
      <c r="Q673">
        <v>134698</v>
      </c>
      <c r="R673" t="s">
        <v>124</v>
      </c>
      <c r="S673" t="s">
        <v>125</v>
      </c>
      <c r="T673" t="s">
        <v>828</v>
      </c>
      <c r="U673" t="s">
        <v>829</v>
      </c>
      <c r="W673">
        <v>0</v>
      </c>
      <c r="X673">
        <v>0</v>
      </c>
      <c r="AM673" t="s">
        <v>129</v>
      </c>
      <c r="AN673" t="s">
        <v>130</v>
      </c>
      <c r="AO673" t="s">
        <v>40</v>
      </c>
      <c r="AP673" t="s">
        <v>41</v>
      </c>
      <c r="AZ673" t="s">
        <v>51</v>
      </c>
      <c r="BA673" t="s">
        <v>52</v>
      </c>
    </row>
    <row r="674" spans="1:77" x14ac:dyDescent="0.2">
      <c r="A674" t="s">
        <v>2274</v>
      </c>
      <c r="B674" t="s">
        <v>1127</v>
      </c>
      <c r="C674" t="s">
        <v>2728</v>
      </c>
      <c r="D674" t="s">
        <v>1031</v>
      </c>
      <c r="E674" t="s">
        <v>2732</v>
      </c>
      <c r="F674" t="s">
        <v>118</v>
      </c>
      <c r="G674" t="str">
        <f>HYPERLINK("https://vk.com/wall-27863223_292230?reply=292245")</f>
        <v>https://vk.com/wall-27863223_292230?reply=292245</v>
      </c>
      <c r="H674" t="s">
        <v>119</v>
      </c>
      <c r="I674" t="s">
        <v>2733</v>
      </c>
      <c r="J674" t="str">
        <f>HYPERLINK("http://vk.com/id535411953")</f>
        <v>http://vk.com/id535411953</v>
      </c>
      <c r="K674">
        <v>150</v>
      </c>
      <c r="L674" t="s">
        <v>121</v>
      </c>
      <c r="M674">
        <v>15</v>
      </c>
      <c r="N674" t="s">
        <v>122</v>
      </c>
      <c r="O674" t="s">
        <v>175</v>
      </c>
      <c r="P674" t="str">
        <f t="shared" si="6"/>
        <v>http://vk.com/club27863223</v>
      </c>
      <c r="Q674">
        <v>134698</v>
      </c>
      <c r="R674" t="s">
        <v>124</v>
      </c>
      <c r="S674" t="s">
        <v>125</v>
      </c>
      <c r="T674" t="s">
        <v>364</v>
      </c>
      <c r="U674" t="s">
        <v>2734</v>
      </c>
      <c r="W674">
        <v>0</v>
      </c>
      <c r="X674">
        <v>0</v>
      </c>
      <c r="AM674" t="s">
        <v>129</v>
      </c>
      <c r="AN674" t="s">
        <v>130</v>
      </c>
      <c r="AO674" t="s">
        <v>40</v>
      </c>
      <c r="AP674" t="s">
        <v>41</v>
      </c>
      <c r="AZ674" t="s">
        <v>51</v>
      </c>
      <c r="BA674" t="s">
        <v>52</v>
      </c>
    </row>
    <row r="675" spans="1:77" x14ac:dyDescent="0.2">
      <c r="A675" t="s">
        <v>2274</v>
      </c>
      <c r="B675" t="s">
        <v>1127</v>
      </c>
      <c r="C675" t="s">
        <v>2728</v>
      </c>
      <c r="D675" t="s">
        <v>1031</v>
      </c>
      <c r="E675" t="s">
        <v>2735</v>
      </c>
      <c r="F675" t="s">
        <v>118</v>
      </c>
      <c r="G675" t="str">
        <f>HYPERLINK("https://vk.com/wall-27863223_292230?reply=292244")</f>
        <v>https://vk.com/wall-27863223_292230?reply=292244</v>
      </c>
      <c r="H675" t="s">
        <v>119</v>
      </c>
      <c r="I675" t="s">
        <v>2733</v>
      </c>
      <c r="J675" t="str">
        <f>HYPERLINK("http://vk.com/id535411953")</f>
        <v>http://vk.com/id535411953</v>
      </c>
      <c r="K675">
        <v>150</v>
      </c>
      <c r="L675" t="s">
        <v>121</v>
      </c>
      <c r="M675">
        <v>15</v>
      </c>
      <c r="N675" t="s">
        <v>122</v>
      </c>
      <c r="O675" t="s">
        <v>175</v>
      </c>
      <c r="P675" t="str">
        <f t="shared" si="6"/>
        <v>http://vk.com/club27863223</v>
      </c>
      <c r="Q675">
        <v>134698</v>
      </c>
      <c r="R675" t="s">
        <v>124</v>
      </c>
      <c r="S675" t="s">
        <v>125</v>
      </c>
      <c r="T675" t="s">
        <v>364</v>
      </c>
      <c r="U675" t="s">
        <v>2734</v>
      </c>
      <c r="W675">
        <v>0</v>
      </c>
      <c r="X675">
        <v>0</v>
      </c>
      <c r="AM675" t="s">
        <v>129</v>
      </c>
      <c r="AN675" t="s">
        <v>130</v>
      </c>
      <c r="AO675" t="s">
        <v>40</v>
      </c>
      <c r="AP675" t="s">
        <v>41</v>
      </c>
      <c r="AZ675" t="s">
        <v>51</v>
      </c>
      <c r="BA675" t="s">
        <v>52</v>
      </c>
    </row>
    <row r="676" spans="1:77" x14ac:dyDescent="0.2">
      <c r="A676" t="s">
        <v>2274</v>
      </c>
      <c r="B676" t="s">
        <v>1127</v>
      </c>
      <c r="C676" t="s">
        <v>2728</v>
      </c>
      <c r="D676" t="s">
        <v>1031</v>
      </c>
      <c r="E676" t="s">
        <v>2736</v>
      </c>
      <c r="F676" t="s">
        <v>118</v>
      </c>
      <c r="G676" t="str">
        <f>HYPERLINK("https://vk.com/wall-27863223_292230?reply=292243")</f>
        <v>https://vk.com/wall-27863223_292230?reply=292243</v>
      </c>
      <c r="H676" t="s">
        <v>119</v>
      </c>
      <c r="I676" t="s">
        <v>2733</v>
      </c>
      <c r="J676" t="str">
        <f>HYPERLINK("http://vk.com/id535411953")</f>
        <v>http://vk.com/id535411953</v>
      </c>
      <c r="K676">
        <v>150</v>
      </c>
      <c r="L676" t="s">
        <v>121</v>
      </c>
      <c r="M676">
        <v>15</v>
      </c>
      <c r="N676" t="s">
        <v>122</v>
      </c>
      <c r="O676" t="s">
        <v>175</v>
      </c>
      <c r="P676" t="str">
        <f t="shared" si="6"/>
        <v>http://vk.com/club27863223</v>
      </c>
      <c r="Q676">
        <v>134698</v>
      </c>
      <c r="R676" t="s">
        <v>124</v>
      </c>
      <c r="S676" t="s">
        <v>125</v>
      </c>
      <c r="T676" t="s">
        <v>364</v>
      </c>
      <c r="U676" t="s">
        <v>2734</v>
      </c>
      <c r="W676">
        <v>0</v>
      </c>
      <c r="X676">
        <v>0</v>
      </c>
      <c r="AM676" t="s">
        <v>129</v>
      </c>
      <c r="AN676" t="s">
        <v>130</v>
      </c>
      <c r="AO676" t="s">
        <v>40</v>
      </c>
      <c r="AP676" t="s">
        <v>41</v>
      </c>
      <c r="AZ676" t="s">
        <v>51</v>
      </c>
      <c r="BA676" t="s">
        <v>52</v>
      </c>
    </row>
    <row r="677" spans="1:77" x14ac:dyDescent="0.2">
      <c r="A677" t="s">
        <v>2274</v>
      </c>
      <c r="B677" t="s">
        <v>2737</v>
      </c>
      <c r="C677" t="s">
        <v>2728</v>
      </c>
      <c r="D677" t="s">
        <v>2215</v>
      </c>
      <c r="E677" t="s">
        <v>2738</v>
      </c>
      <c r="F677" t="s">
        <v>118</v>
      </c>
      <c r="G677" t="str">
        <f>HYPERLINK("https://vk.com/wall-27863223_292151?w=wall-27863223_292151_r292239")</f>
        <v>https://vk.com/wall-27863223_292151?w=wall-27863223_292151_r292239</v>
      </c>
      <c r="H677" t="s">
        <v>119</v>
      </c>
      <c r="I677" t="s">
        <v>254</v>
      </c>
      <c r="J677" t="str">
        <f>HYPERLINK("http://vk.com/id286061518")</f>
        <v>http://vk.com/id286061518</v>
      </c>
      <c r="K677">
        <v>5170</v>
      </c>
      <c r="L677" t="s">
        <v>121</v>
      </c>
      <c r="M677">
        <v>34</v>
      </c>
      <c r="N677" t="s">
        <v>122</v>
      </c>
      <c r="O677" t="s">
        <v>175</v>
      </c>
      <c r="P677" t="str">
        <f t="shared" si="6"/>
        <v>http://vk.com/club27863223</v>
      </c>
      <c r="Q677">
        <v>134698</v>
      </c>
      <c r="R677" t="s">
        <v>124</v>
      </c>
      <c r="S677" t="s">
        <v>125</v>
      </c>
      <c r="T677" t="s">
        <v>256</v>
      </c>
      <c r="U677" t="s">
        <v>257</v>
      </c>
      <c r="W677">
        <v>0</v>
      </c>
      <c r="X677">
        <v>0</v>
      </c>
      <c r="AM677" t="s">
        <v>129</v>
      </c>
      <c r="AN677" t="s">
        <v>130</v>
      </c>
      <c r="AP677" t="s">
        <v>41</v>
      </c>
      <c r="AZ677" t="s">
        <v>51</v>
      </c>
      <c r="BA677" t="s">
        <v>52</v>
      </c>
      <c r="BY677" t="s">
        <v>76</v>
      </c>
    </row>
    <row r="678" spans="1:77" x14ac:dyDescent="0.2">
      <c r="A678" t="s">
        <v>2274</v>
      </c>
      <c r="B678" t="s">
        <v>2739</v>
      </c>
      <c r="C678" t="s">
        <v>2740</v>
      </c>
      <c r="D678" t="s">
        <v>1031</v>
      </c>
      <c r="E678" t="s">
        <v>2097</v>
      </c>
      <c r="F678" t="s">
        <v>118</v>
      </c>
      <c r="G678" t="str">
        <f>HYPERLINK("https://vk.com/wall-27863223_292230?reply=292238")</f>
        <v>https://vk.com/wall-27863223_292230?reply=292238</v>
      </c>
      <c r="H678" t="s">
        <v>119</v>
      </c>
      <c r="I678" t="s">
        <v>2741</v>
      </c>
      <c r="J678" t="str">
        <f>HYPERLINK("http://vk.com/id155408355")</f>
        <v>http://vk.com/id155408355</v>
      </c>
      <c r="K678">
        <v>989</v>
      </c>
      <c r="L678" t="s">
        <v>121</v>
      </c>
      <c r="M678">
        <v>27</v>
      </c>
      <c r="N678" t="s">
        <v>122</v>
      </c>
      <c r="O678" t="s">
        <v>175</v>
      </c>
      <c r="P678" t="str">
        <f t="shared" si="6"/>
        <v>http://vk.com/club27863223</v>
      </c>
      <c r="Q678">
        <v>134698</v>
      </c>
      <c r="R678" t="s">
        <v>124</v>
      </c>
      <c r="S678" t="s">
        <v>125</v>
      </c>
      <c r="T678" t="s">
        <v>759</v>
      </c>
      <c r="U678" t="s">
        <v>2371</v>
      </c>
      <c r="W678">
        <v>0</v>
      </c>
      <c r="X678">
        <v>0</v>
      </c>
      <c r="AM678" t="s">
        <v>129</v>
      </c>
      <c r="AN678" t="s">
        <v>130</v>
      </c>
      <c r="AP678" t="s">
        <v>41</v>
      </c>
      <c r="AU678" t="s">
        <v>46</v>
      </c>
      <c r="AZ678" t="s">
        <v>51</v>
      </c>
      <c r="BA678" t="s">
        <v>52</v>
      </c>
    </row>
    <row r="679" spans="1:77" x14ac:dyDescent="0.2">
      <c r="A679" t="s">
        <v>2274</v>
      </c>
      <c r="B679" t="s">
        <v>2739</v>
      </c>
      <c r="C679" t="s">
        <v>2740</v>
      </c>
      <c r="D679" t="s">
        <v>1031</v>
      </c>
      <c r="E679" t="s">
        <v>2742</v>
      </c>
      <c r="F679" t="s">
        <v>118</v>
      </c>
      <c r="G679" t="str">
        <f>HYPERLINK("https://vk.com/wall-27863223_292230?reply=292237")</f>
        <v>https://vk.com/wall-27863223_292230?reply=292237</v>
      </c>
      <c r="H679" t="s">
        <v>119</v>
      </c>
      <c r="I679" t="s">
        <v>254</v>
      </c>
      <c r="J679" t="str">
        <f>HYPERLINK("http://vk.com/id286061518")</f>
        <v>http://vk.com/id286061518</v>
      </c>
      <c r="K679">
        <v>5170</v>
      </c>
      <c r="L679" t="s">
        <v>121</v>
      </c>
      <c r="M679">
        <v>34</v>
      </c>
      <c r="N679" t="s">
        <v>122</v>
      </c>
      <c r="O679" t="s">
        <v>175</v>
      </c>
      <c r="P679" t="str">
        <f t="shared" si="6"/>
        <v>http://vk.com/club27863223</v>
      </c>
      <c r="Q679">
        <v>134698</v>
      </c>
      <c r="R679" t="s">
        <v>124</v>
      </c>
      <c r="S679" t="s">
        <v>125</v>
      </c>
      <c r="T679" t="s">
        <v>256</v>
      </c>
      <c r="U679" t="s">
        <v>257</v>
      </c>
      <c r="W679">
        <v>0</v>
      </c>
      <c r="X679">
        <v>0</v>
      </c>
      <c r="AM679" t="s">
        <v>129</v>
      </c>
      <c r="AN679" t="s">
        <v>130</v>
      </c>
      <c r="AP679" t="s">
        <v>41</v>
      </c>
      <c r="AU679" t="s">
        <v>46</v>
      </c>
      <c r="AZ679" t="s">
        <v>51</v>
      </c>
      <c r="BA679" t="s">
        <v>52</v>
      </c>
    </row>
    <row r="680" spans="1:77" x14ac:dyDescent="0.2">
      <c r="A680" t="s">
        <v>2274</v>
      </c>
      <c r="B680" t="s">
        <v>2743</v>
      </c>
      <c r="C680" t="s">
        <v>2740</v>
      </c>
      <c r="D680" t="s">
        <v>1031</v>
      </c>
      <c r="E680" t="s">
        <v>2453</v>
      </c>
      <c r="F680" t="s">
        <v>118</v>
      </c>
      <c r="G680" t="str">
        <f>HYPERLINK("https://vk.com/wall-27863223_292230?reply=292236")</f>
        <v>https://vk.com/wall-27863223_292230?reply=292236</v>
      </c>
      <c r="H680" t="s">
        <v>119</v>
      </c>
      <c r="I680" t="s">
        <v>641</v>
      </c>
      <c r="J680" t="str">
        <f>HYPERLINK("http://vk.com/id625372429")</f>
        <v>http://vk.com/id625372429</v>
      </c>
      <c r="K680">
        <v>1</v>
      </c>
      <c r="L680" t="s">
        <v>151</v>
      </c>
      <c r="M680">
        <v>30</v>
      </c>
      <c r="N680" t="s">
        <v>122</v>
      </c>
      <c r="O680" t="s">
        <v>175</v>
      </c>
      <c r="P680" t="str">
        <f t="shared" si="6"/>
        <v>http://vk.com/club27863223</v>
      </c>
      <c r="Q680">
        <v>134698</v>
      </c>
      <c r="R680" t="s">
        <v>124</v>
      </c>
      <c r="W680">
        <v>0</v>
      </c>
      <c r="X680">
        <v>0</v>
      </c>
      <c r="AM680" t="s">
        <v>129</v>
      </c>
      <c r="AN680" t="s">
        <v>130</v>
      </c>
      <c r="AO680" t="s">
        <v>40</v>
      </c>
    </row>
    <row r="681" spans="1:77" x14ac:dyDescent="0.2">
      <c r="A681" t="s">
        <v>2274</v>
      </c>
      <c r="B681" t="s">
        <v>2744</v>
      </c>
      <c r="C681" t="s">
        <v>2740</v>
      </c>
      <c r="D681" t="s">
        <v>1031</v>
      </c>
      <c r="E681" t="s">
        <v>1032</v>
      </c>
      <c r="F681" t="s">
        <v>118</v>
      </c>
      <c r="G681" t="str">
        <f>HYPERLINK("https://vk.com/wall-27863223_292230?reply=292235")</f>
        <v>https://vk.com/wall-27863223_292230?reply=292235</v>
      </c>
      <c r="H681" t="s">
        <v>119</v>
      </c>
      <c r="I681" t="s">
        <v>284</v>
      </c>
      <c r="J681" t="str">
        <f>HYPERLINK("http://vk.com/id11221120")</f>
        <v>http://vk.com/id11221120</v>
      </c>
      <c r="K681">
        <v>511</v>
      </c>
      <c r="L681" t="s">
        <v>151</v>
      </c>
      <c r="N681" t="s">
        <v>122</v>
      </c>
      <c r="O681" t="s">
        <v>175</v>
      </c>
      <c r="P681" t="str">
        <f t="shared" si="6"/>
        <v>http://vk.com/club27863223</v>
      </c>
      <c r="Q681">
        <v>134698</v>
      </c>
      <c r="R681" t="s">
        <v>124</v>
      </c>
      <c r="S681" t="s">
        <v>125</v>
      </c>
      <c r="T681" t="s">
        <v>137</v>
      </c>
      <c r="U681" t="s">
        <v>137</v>
      </c>
      <c r="W681">
        <v>0</v>
      </c>
      <c r="X681">
        <v>0</v>
      </c>
      <c r="AM681" t="s">
        <v>129</v>
      </c>
      <c r="AN681" t="s">
        <v>130</v>
      </c>
      <c r="AO681" t="s">
        <v>40</v>
      </c>
    </row>
    <row r="682" spans="1:77" x14ac:dyDescent="0.2">
      <c r="A682" t="s">
        <v>2274</v>
      </c>
      <c r="B682" t="s">
        <v>2744</v>
      </c>
      <c r="C682" t="s">
        <v>2740</v>
      </c>
      <c r="D682" t="s">
        <v>1031</v>
      </c>
      <c r="E682" t="s">
        <v>2453</v>
      </c>
      <c r="F682" t="s">
        <v>118</v>
      </c>
      <c r="G682" t="str">
        <f>HYPERLINK("https://vk.com/wall-27863223_292230?reply=292234")</f>
        <v>https://vk.com/wall-27863223_292230?reply=292234</v>
      </c>
      <c r="H682" t="s">
        <v>119</v>
      </c>
      <c r="I682" t="s">
        <v>642</v>
      </c>
      <c r="J682" t="str">
        <f>HYPERLINK("http://vk.com/id179499241")</f>
        <v>http://vk.com/id179499241</v>
      </c>
      <c r="K682">
        <v>196</v>
      </c>
      <c r="L682" t="s">
        <v>151</v>
      </c>
      <c r="M682">
        <v>37</v>
      </c>
      <c r="N682" t="s">
        <v>122</v>
      </c>
      <c r="O682" t="s">
        <v>175</v>
      </c>
      <c r="P682" t="str">
        <f t="shared" si="6"/>
        <v>http://vk.com/club27863223</v>
      </c>
      <c r="Q682">
        <v>134698</v>
      </c>
      <c r="R682" t="s">
        <v>124</v>
      </c>
      <c r="S682" t="s">
        <v>125</v>
      </c>
      <c r="T682" t="s">
        <v>153</v>
      </c>
      <c r="U682" t="s">
        <v>643</v>
      </c>
      <c r="W682">
        <v>0</v>
      </c>
      <c r="X682">
        <v>0</v>
      </c>
      <c r="AM682" t="s">
        <v>129</v>
      </c>
      <c r="AN682" t="s">
        <v>130</v>
      </c>
      <c r="AO682" t="s">
        <v>40</v>
      </c>
    </row>
    <row r="683" spans="1:77" x14ac:dyDescent="0.2">
      <c r="A683" t="s">
        <v>2274</v>
      </c>
      <c r="B683" t="s">
        <v>2744</v>
      </c>
      <c r="C683" t="s">
        <v>2740</v>
      </c>
      <c r="D683" t="s">
        <v>1031</v>
      </c>
      <c r="E683" t="s">
        <v>2376</v>
      </c>
      <c r="F683" t="s">
        <v>118</v>
      </c>
      <c r="G683" t="str">
        <f>HYPERLINK("https://vk.com/wall-27863223_292230?reply=292233")</f>
        <v>https://vk.com/wall-27863223_292230?reply=292233</v>
      </c>
      <c r="H683" t="s">
        <v>119</v>
      </c>
      <c r="I683" t="s">
        <v>646</v>
      </c>
      <c r="J683" t="str">
        <f>HYPERLINK("http://vk.com/id613018508")</f>
        <v>http://vk.com/id613018508</v>
      </c>
      <c r="K683">
        <v>66</v>
      </c>
      <c r="L683" t="s">
        <v>151</v>
      </c>
      <c r="M683">
        <v>33</v>
      </c>
      <c r="N683" t="s">
        <v>122</v>
      </c>
      <c r="O683" t="s">
        <v>175</v>
      </c>
      <c r="P683" t="str">
        <f t="shared" si="6"/>
        <v>http://vk.com/club27863223</v>
      </c>
      <c r="Q683">
        <v>134698</v>
      </c>
      <c r="R683" t="s">
        <v>124</v>
      </c>
      <c r="S683" t="s">
        <v>125</v>
      </c>
      <c r="T683" t="s">
        <v>169</v>
      </c>
      <c r="U683" t="s">
        <v>169</v>
      </c>
      <c r="W683">
        <v>0</v>
      </c>
      <c r="X683">
        <v>0</v>
      </c>
      <c r="AM683" t="s">
        <v>129</v>
      </c>
      <c r="AN683" t="s">
        <v>130</v>
      </c>
      <c r="AO683" t="s">
        <v>40</v>
      </c>
    </row>
    <row r="684" spans="1:77" x14ac:dyDescent="0.2">
      <c r="A684" t="s">
        <v>2274</v>
      </c>
      <c r="B684" t="s">
        <v>631</v>
      </c>
      <c r="C684" t="s">
        <v>2740</v>
      </c>
      <c r="D684" t="s">
        <v>1031</v>
      </c>
      <c r="E684" t="s">
        <v>2453</v>
      </c>
      <c r="F684" t="s">
        <v>118</v>
      </c>
      <c r="G684" t="str">
        <f>HYPERLINK("https://vk.com/wall-27863223_292230?reply=292232")</f>
        <v>https://vk.com/wall-27863223_292230?reply=292232</v>
      </c>
      <c r="H684" t="s">
        <v>119</v>
      </c>
      <c r="I684" t="s">
        <v>2745</v>
      </c>
      <c r="J684" t="str">
        <f>HYPERLINK("http://vk.com/id110327428")</f>
        <v>http://vk.com/id110327428</v>
      </c>
      <c r="K684">
        <v>59</v>
      </c>
      <c r="L684" t="s">
        <v>121</v>
      </c>
      <c r="M684">
        <v>42</v>
      </c>
      <c r="N684" t="s">
        <v>122</v>
      </c>
      <c r="O684" t="s">
        <v>175</v>
      </c>
      <c r="P684" t="str">
        <f t="shared" si="6"/>
        <v>http://vk.com/club27863223</v>
      </c>
      <c r="Q684">
        <v>134698</v>
      </c>
      <c r="R684" t="s">
        <v>124</v>
      </c>
      <c r="S684" t="s">
        <v>125</v>
      </c>
      <c r="T684" t="s">
        <v>153</v>
      </c>
      <c r="U684" t="s">
        <v>643</v>
      </c>
      <c r="W684">
        <v>0</v>
      </c>
      <c r="X684">
        <v>0</v>
      </c>
      <c r="AM684" t="s">
        <v>129</v>
      </c>
      <c r="AN684" t="s">
        <v>130</v>
      </c>
      <c r="AO684" t="s">
        <v>40</v>
      </c>
    </row>
    <row r="685" spans="1:77" x14ac:dyDescent="0.2">
      <c r="A685" t="s">
        <v>2274</v>
      </c>
      <c r="B685" t="s">
        <v>2746</v>
      </c>
      <c r="C685" t="s">
        <v>2747</v>
      </c>
      <c r="D685" t="s">
        <v>129</v>
      </c>
      <c r="E685" t="s">
        <v>2748</v>
      </c>
      <c r="F685" t="s">
        <v>180</v>
      </c>
      <c r="G685" t="str">
        <f>HYPERLINK("https://vk.com/wall-21672831_46080")</f>
        <v>https://vk.com/wall-21672831_46080</v>
      </c>
      <c r="H685" t="s">
        <v>119</v>
      </c>
      <c r="I685" t="s">
        <v>2749</v>
      </c>
      <c r="J685" t="str">
        <f>HYPERLINK("http://vk.com/club21672831")</f>
        <v>http://vk.com/club21672831</v>
      </c>
      <c r="K685">
        <v>5959</v>
      </c>
      <c r="L685" t="s">
        <v>340</v>
      </c>
      <c r="N685" t="s">
        <v>122</v>
      </c>
      <c r="O685" t="s">
        <v>2749</v>
      </c>
      <c r="P685" t="str">
        <f>HYPERLINK("http://vk.com/club21672831")</f>
        <v>http://vk.com/club21672831</v>
      </c>
      <c r="Q685">
        <v>5959</v>
      </c>
      <c r="R685" t="s">
        <v>124</v>
      </c>
      <c r="S685" t="s">
        <v>125</v>
      </c>
      <c r="T685" t="s">
        <v>612</v>
      </c>
      <c r="U685" t="s">
        <v>2750</v>
      </c>
      <c r="W685">
        <v>9</v>
      </c>
      <c r="X685">
        <v>9</v>
      </c>
      <c r="AE685">
        <v>7</v>
      </c>
      <c r="AF685">
        <v>0</v>
      </c>
      <c r="AG685">
        <v>2857</v>
      </c>
      <c r="AM685" t="s">
        <v>129</v>
      </c>
      <c r="AN685" t="s">
        <v>130</v>
      </c>
      <c r="AP685" t="s">
        <v>41</v>
      </c>
      <c r="AZ685" t="s">
        <v>51</v>
      </c>
      <c r="BA685" t="s">
        <v>52</v>
      </c>
    </row>
    <row r="686" spans="1:77" x14ac:dyDescent="0.2">
      <c r="A686" t="s">
        <v>2274</v>
      </c>
      <c r="B686" t="s">
        <v>659</v>
      </c>
      <c r="C686" t="s">
        <v>2751</v>
      </c>
      <c r="D686" t="s">
        <v>2752</v>
      </c>
      <c r="E686" t="s">
        <v>2753</v>
      </c>
      <c r="F686" t="s">
        <v>118</v>
      </c>
      <c r="G686" t="str">
        <f>HYPERLINK("https://vk.com/wall-27863223_292197?reply=292227&amp;thread=292199")</f>
        <v>https://vk.com/wall-27863223_292197?reply=292227&amp;thread=292199</v>
      </c>
      <c r="H686" t="s">
        <v>119</v>
      </c>
      <c r="I686" t="s">
        <v>1111</v>
      </c>
      <c r="J686" t="str">
        <f>HYPERLINK("http://vk.com/id575539922")</f>
        <v>http://vk.com/id575539922</v>
      </c>
      <c r="K686">
        <v>12</v>
      </c>
      <c r="L686" t="s">
        <v>121</v>
      </c>
      <c r="M686">
        <v>54</v>
      </c>
      <c r="N686" t="s">
        <v>122</v>
      </c>
      <c r="O686" t="s">
        <v>175</v>
      </c>
      <c r="P686" t="str">
        <f>HYPERLINK("http://vk.com/club27863223")</f>
        <v>http://vk.com/club27863223</v>
      </c>
      <c r="Q686">
        <v>134698</v>
      </c>
      <c r="R686" t="s">
        <v>124</v>
      </c>
      <c r="S686" t="s">
        <v>125</v>
      </c>
      <c r="T686" t="s">
        <v>627</v>
      </c>
      <c r="U686" t="s">
        <v>1112</v>
      </c>
      <c r="AM686" t="s">
        <v>129</v>
      </c>
      <c r="AN686" t="s">
        <v>130</v>
      </c>
      <c r="AP686" t="s">
        <v>41</v>
      </c>
      <c r="AU686" t="s">
        <v>46</v>
      </c>
      <c r="AZ686" t="s">
        <v>51</v>
      </c>
      <c r="BA686" t="s">
        <v>52</v>
      </c>
    </row>
    <row r="687" spans="1:77" x14ac:dyDescent="0.2">
      <c r="A687" t="s">
        <v>2274</v>
      </c>
      <c r="B687" t="s">
        <v>2754</v>
      </c>
      <c r="C687" t="s">
        <v>2755</v>
      </c>
      <c r="D687" t="s">
        <v>2752</v>
      </c>
      <c r="E687" t="s">
        <v>2756</v>
      </c>
      <c r="F687" t="s">
        <v>118</v>
      </c>
      <c r="G687" t="str">
        <f>HYPERLINK("https://vk.com/wall-27863223_292197?reply=292223&amp;thread=292199")</f>
        <v>https://vk.com/wall-27863223_292197?reply=292223&amp;thread=292199</v>
      </c>
      <c r="H687" t="s">
        <v>228</v>
      </c>
      <c r="I687" t="s">
        <v>1111</v>
      </c>
      <c r="J687" t="str">
        <f>HYPERLINK("http://vk.com/id575539922")</f>
        <v>http://vk.com/id575539922</v>
      </c>
      <c r="K687">
        <v>12</v>
      </c>
      <c r="L687" t="s">
        <v>121</v>
      </c>
      <c r="M687">
        <v>54</v>
      </c>
      <c r="N687" t="s">
        <v>122</v>
      </c>
      <c r="O687" t="s">
        <v>175</v>
      </c>
      <c r="P687" t="str">
        <f>HYPERLINK("http://vk.com/club27863223")</f>
        <v>http://vk.com/club27863223</v>
      </c>
      <c r="Q687">
        <v>134698</v>
      </c>
      <c r="R687" t="s">
        <v>124</v>
      </c>
      <c r="S687" t="s">
        <v>125</v>
      </c>
      <c r="T687" t="s">
        <v>627</v>
      </c>
      <c r="U687" t="s">
        <v>1112</v>
      </c>
      <c r="AM687" t="s">
        <v>129</v>
      </c>
      <c r="AN687" t="s">
        <v>130</v>
      </c>
      <c r="AP687" t="s">
        <v>41</v>
      </c>
      <c r="AY687" t="s">
        <v>50</v>
      </c>
      <c r="AZ687" t="s">
        <v>51</v>
      </c>
      <c r="BA687" t="s">
        <v>52</v>
      </c>
    </row>
    <row r="688" spans="1:77" x14ac:dyDescent="0.2">
      <c r="A688" t="s">
        <v>2274</v>
      </c>
      <c r="B688" t="s">
        <v>2757</v>
      </c>
      <c r="C688" t="s">
        <v>2758</v>
      </c>
      <c r="D688" t="s">
        <v>2752</v>
      </c>
      <c r="E688" t="s">
        <v>2759</v>
      </c>
      <c r="F688" t="s">
        <v>118</v>
      </c>
      <c r="G688" t="str">
        <f>HYPERLINK("https://vk.com/wall-27863223_292197?reply=292218&amp;thread=292199")</f>
        <v>https://vk.com/wall-27863223_292197?reply=292218&amp;thread=292199</v>
      </c>
      <c r="H688" t="s">
        <v>119</v>
      </c>
      <c r="I688" t="s">
        <v>1111</v>
      </c>
      <c r="J688" t="str">
        <f>HYPERLINK("http://vk.com/id575539922")</f>
        <v>http://vk.com/id575539922</v>
      </c>
      <c r="K688">
        <v>12</v>
      </c>
      <c r="L688" t="s">
        <v>121</v>
      </c>
      <c r="M688">
        <v>54</v>
      </c>
      <c r="N688" t="s">
        <v>122</v>
      </c>
      <c r="O688" t="s">
        <v>175</v>
      </c>
      <c r="P688" t="str">
        <f>HYPERLINK("http://vk.com/club27863223")</f>
        <v>http://vk.com/club27863223</v>
      </c>
      <c r="Q688">
        <v>134698</v>
      </c>
      <c r="R688" t="s">
        <v>124</v>
      </c>
      <c r="S688" t="s">
        <v>125</v>
      </c>
      <c r="T688" t="s">
        <v>627</v>
      </c>
      <c r="U688" t="s">
        <v>1112</v>
      </c>
      <c r="AM688" t="s">
        <v>129</v>
      </c>
      <c r="AN688" t="s">
        <v>130</v>
      </c>
      <c r="AP688" t="s">
        <v>41</v>
      </c>
      <c r="AZ688" t="s">
        <v>51</v>
      </c>
      <c r="BB688" t="s">
        <v>53</v>
      </c>
    </row>
    <row r="689" spans="1:69" x14ac:dyDescent="0.2">
      <c r="A689" t="s">
        <v>2274</v>
      </c>
      <c r="B689" t="s">
        <v>1139</v>
      </c>
      <c r="C689" t="s">
        <v>2758</v>
      </c>
      <c r="D689" t="s">
        <v>2760</v>
      </c>
      <c r="E689" t="s">
        <v>2761</v>
      </c>
      <c r="F689" t="s">
        <v>118</v>
      </c>
      <c r="G689" t="str">
        <f>HYPERLINK("https://vk.com/wall-27863223_292204?w=wall-27863223_292204_r292217")</f>
        <v>https://vk.com/wall-27863223_292204?w=wall-27863223_292204_r292217</v>
      </c>
      <c r="H689" t="s">
        <v>119</v>
      </c>
      <c r="I689" t="s">
        <v>1111</v>
      </c>
      <c r="J689" t="str">
        <f>HYPERLINK("http://vk.com/id575539922")</f>
        <v>http://vk.com/id575539922</v>
      </c>
      <c r="K689">
        <v>12</v>
      </c>
      <c r="L689" t="s">
        <v>121</v>
      </c>
      <c r="M689">
        <v>54</v>
      </c>
      <c r="N689" t="s">
        <v>122</v>
      </c>
      <c r="O689" t="s">
        <v>175</v>
      </c>
      <c r="P689" t="str">
        <f>HYPERLINK("http://vk.com/club27863223")</f>
        <v>http://vk.com/club27863223</v>
      </c>
      <c r="Q689">
        <v>134698</v>
      </c>
      <c r="R689" t="s">
        <v>124</v>
      </c>
      <c r="S689" t="s">
        <v>125</v>
      </c>
      <c r="T689" t="s">
        <v>627</v>
      </c>
      <c r="U689" t="s">
        <v>1112</v>
      </c>
      <c r="W689">
        <v>0</v>
      </c>
      <c r="X689">
        <v>0</v>
      </c>
      <c r="AM689" t="s">
        <v>129</v>
      </c>
      <c r="AN689" t="s">
        <v>130</v>
      </c>
      <c r="AP689" t="s">
        <v>41</v>
      </c>
      <c r="AU689" t="s">
        <v>46</v>
      </c>
      <c r="AZ689" t="s">
        <v>51</v>
      </c>
    </row>
    <row r="690" spans="1:69" x14ac:dyDescent="0.2">
      <c r="A690" t="s">
        <v>2274</v>
      </c>
      <c r="B690" t="s">
        <v>2762</v>
      </c>
      <c r="C690" t="s">
        <v>2763</v>
      </c>
      <c r="D690" t="s">
        <v>2752</v>
      </c>
      <c r="E690" t="s">
        <v>2764</v>
      </c>
      <c r="F690" t="s">
        <v>118</v>
      </c>
      <c r="G690" t="str">
        <f>HYPERLINK("https://vk.com/wall-27863223_292197?reply=292214&amp;thread=292199")</f>
        <v>https://vk.com/wall-27863223_292197?reply=292214&amp;thread=292199</v>
      </c>
      <c r="H690" t="s">
        <v>119</v>
      </c>
      <c r="I690" t="s">
        <v>1111</v>
      </c>
      <c r="J690" t="str">
        <f>HYPERLINK("http://vk.com/id575539922")</f>
        <v>http://vk.com/id575539922</v>
      </c>
      <c r="K690">
        <v>12</v>
      </c>
      <c r="L690" t="s">
        <v>121</v>
      </c>
      <c r="M690">
        <v>54</v>
      </c>
      <c r="N690" t="s">
        <v>122</v>
      </c>
      <c r="O690" t="s">
        <v>175</v>
      </c>
      <c r="P690" t="str">
        <f>HYPERLINK("http://vk.com/club27863223")</f>
        <v>http://vk.com/club27863223</v>
      </c>
      <c r="Q690">
        <v>134698</v>
      </c>
      <c r="R690" t="s">
        <v>124</v>
      </c>
      <c r="S690" t="s">
        <v>125</v>
      </c>
      <c r="T690" t="s">
        <v>627</v>
      </c>
      <c r="U690" t="s">
        <v>1112</v>
      </c>
      <c r="AM690" t="s">
        <v>129</v>
      </c>
      <c r="AN690" t="s">
        <v>130</v>
      </c>
      <c r="AP690" t="s">
        <v>41</v>
      </c>
      <c r="AU690" t="s">
        <v>46</v>
      </c>
      <c r="AZ690" t="s">
        <v>51</v>
      </c>
      <c r="BA690" t="s">
        <v>52</v>
      </c>
    </row>
    <row r="691" spans="1:69" x14ac:dyDescent="0.2">
      <c r="A691" t="s">
        <v>2274</v>
      </c>
      <c r="B691" t="s">
        <v>2765</v>
      </c>
      <c r="C691" t="s">
        <v>2766</v>
      </c>
      <c r="D691" t="s">
        <v>129</v>
      </c>
      <c r="E691" t="s">
        <v>2767</v>
      </c>
      <c r="F691" t="s">
        <v>180</v>
      </c>
      <c r="G691" t="str">
        <f>HYPERLINK("https://telegram.me/RumParkRemont/19547")</f>
        <v>https://telegram.me/RumParkRemont/19547</v>
      </c>
      <c r="H691" t="s">
        <v>119</v>
      </c>
      <c r="I691" t="s">
        <v>2768</v>
      </c>
      <c r="J691" t="str">
        <f>HYPERLINK("https://telegram.me/aliminalov")</f>
        <v>https://telegram.me/aliminalov</v>
      </c>
      <c r="L691" t="s">
        <v>121</v>
      </c>
      <c r="N691" t="s">
        <v>143</v>
      </c>
      <c r="O691" t="s">
        <v>2769</v>
      </c>
      <c r="P691" t="str">
        <f>HYPERLINK("https://telegram.me/rumparkremont")</f>
        <v>https://telegram.me/rumparkremont</v>
      </c>
      <c r="Q691">
        <v>829</v>
      </c>
      <c r="R691" t="s">
        <v>145</v>
      </c>
      <c r="AM691" t="s">
        <v>129</v>
      </c>
      <c r="AN691" t="s">
        <v>130</v>
      </c>
      <c r="AP691" t="s">
        <v>41</v>
      </c>
      <c r="AT691" t="s">
        <v>45</v>
      </c>
      <c r="AZ691" t="s">
        <v>51</v>
      </c>
      <c r="BA691" t="s">
        <v>52</v>
      </c>
      <c r="BL691" t="s">
        <v>63</v>
      </c>
    </row>
    <row r="692" spans="1:69" x14ac:dyDescent="0.2">
      <c r="A692" t="s">
        <v>2274</v>
      </c>
      <c r="B692" t="s">
        <v>2770</v>
      </c>
      <c r="C692" t="s">
        <v>2758</v>
      </c>
      <c r="D692" t="s">
        <v>2215</v>
      </c>
      <c r="E692" t="s">
        <v>2771</v>
      </c>
      <c r="F692" t="s">
        <v>118</v>
      </c>
      <c r="G692" t="str">
        <f>HYPERLINK("https://vk.com/wall-27863223_292151?w=wall-27863223_292151_r292211")</f>
        <v>https://vk.com/wall-27863223_292151?w=wall-27863223_292151_r292211</v>
      </c>
      <c r="H692" t="s">
        <v>119</v>
      </c>
      <c r="I692" t="s">
        <v>1111</v>
      </c>
      <c r="J692" t="str">
        <f>HYPERLINK("http://vk.com/id575539922")</f>
        <v>http://vk.com/id575539922</v>
      </c>
      <c r="K692">
        <v>12</v>
      </c>
      <c r="L692" t="s">
        <v>121</v>
      </c>
      <c r="M692">
        <v>54</v>
      </c>
      <c r="N692" t="s">
        <v>122</v>
      </c>
      <c r="O692" t="s">
        <v>175</v>
      </c>
      <c r="P692" t="str">
        <f>HYPERLINK("http://vk.com/club27863223")</f>
        <v>http://vk.com/club27863223</v>
      </c>
      <c r="Q692">
        <v>134698</v>
      </c>
      <c r="R692" t="s">
        <v>124</v>
      </c>
      <c r="S692" t="s">
        <v>125</v>
      </c>
      <c r="T692" t="s">
        <v>627</v>
      </c>
      <c r="U692" t="s">
        <v>1112</v>
      </c>
      <c r="W692">
        <v>0</v>
      </c>
      <c r="X692">
        <v>0</v>
      </c>
      <c r="AM692" t="s">
        <v>129</v>
      </c>
      <c r="AN692" t="s">
        <v>130</v>
      </c>
      <c r="AP692" t="s">
        <v>41</v>
      </c>
      <c r="AU692" t="s">
        <v>46</v>
      </c>
      <c r="AZ692" t="s">
        <v>51</v>
      </c>
      <c r="BA692" t="s">
        <v>52</v>
      </c>
    </row>
    <row r="693" spans="1:69" x14ac:dyDescent="0.2">
      <c r="A693" t="s">
        <v>2274</v>
      </c>
      <c r="B693" t="s">
        <v>2184</v>
      </c>
      <c r="C693" t="s">
        <v>2758</v>
      </c>
      <c r="D693" t="s">
        <v>2772</v>
      </c>
      <c r="E693" t="s">
        <v>2773</v>
      </c>
      <c r="F693" t="s">
        <v>118</v>
      </c>
      <c r="G693" t="str">
        <f>HYPERLINK("https://vk.com/wall-61101621_254782?w=wall-61101621_254782_r254847")</f>
        <v>https://vk.com/wall-61101621_254782?w=wall-61101621_254782_r254847</v>
      </c>
      <c r="H693" t="s">
        <v>119</v>
      </c>
      <c r="I693" t="s">
        <v>359</v>
      </c>
      <c r="J693" t="str">
        <f>HYPERLINK("http://vk.com/club204351896")</f>
        <v>http://vk.com/club204351896</v>
      </c>
      <c r="K693">
        <v>272</v>
      </c>
      <c r="L693" t="s">
        <v>340</v>
      </c>
      <c r="N693" t="s">
        <v>122</v>
      </c>
      <c r="O693" t="s">
        <v>160</v>
      </c>
      <c r="P693" t="str">
        <f>HYPERLINK("http://vk.com/club61101621")</f>
        <v>http://vk.com/club61101621</v>
      </c>
      <c r="Q693">
        <v>21119</v>
      </c>
      <c r="R693" t="s">
        <v>124</v>
      </c>
      <c r="S693" t="s">
        <v>125</v>
      </c>
      <c r="W693">
        <v>0</v>
      </c>
      <c r="X693">
        <v>0</v>
      </c>
      <c r="AM693" t="s">
        <v>129</v>
      </c>
      <c r="AN693" t="s">
        <v>130</v>
      </c>
      <c r="AP693" t="s">
        <v>41</v>
      </c>
      <c r="AU693" t="s">
        <v>46</v>
      </c>
      <c r="AZ693" t="s">
        <v>51</v>
      </c>
      <c r="BB693" t="s">
        <v>53</v>
      </c>
    </row>
    <row r="694" spans="1:69" x14ac:dyDescent="0.2">
      <c r="A694" t="s">
        <v>2274</v>
      </c>
      <c r="B694" t="s">
        <v>2774</v>
      </c>
      <c r="C694" t="s">
        <v>2775</v>
      </c>
      <c r="D694" t="s">
        <v>2776</v>
      </c>
      <c r="E694" t="s">
        <v>2777</v>
      </c>
      <c r="F694" t="s">
        <v>180</v>
      </c>
      <c r="G694" t="str">
        <f>HYPERLINK("https://telesputnik.ru/forum/viewtopic.php?f=36&amp;t=47527&amp;start=280#p2482629")</f>
        <v>https://telesputnik.ru/forum/viewtopic.php?f=36&amp;t=47527&amp;start=280#p2482629</v>
      </c>
      <c r="H694" t="s">
        <v>119</v>
      </c>
      <c r="I694" t="s">
        <v>2778</v>
      </c>
      <c r="J694" t="str">
        <f>HYPERLINK("https://telesputnik.ru/forum/memberlist.php?mode=viewprofile&amp;u=47818")</f>
        <v>https://telesputnik.ru/forum/memberlist.php?mode=viewprofile&amp;u=47818</v>
      </c>
      <c r="N694" t="s">
        <v>335</v>
      </c>
      <c r="O694" t="s">
        <v>909</v>
      </c>
      <c r="P694" t="str">
        <f>HYPERLINK("https://telesputnik.ru/forum/viewforum.php?f=36")</f>
        <v>https://telesputnik.ru/forum/viewforum.php?f=36</v>
      </c>
      <c r="R694" t="s">
        <v>295</v>
      </c>
      <c r="S694" t="s">
        <v>125</v>
      </c>
      <c r="T694" t="s">
        <v>2779</v>
      </c>
      <c r="U694" t="s">
        <v>2780</v>
      </c>
      <c r="AM694" t="s">
        <v>129</v>
      </c>
      <c r="AN694" t="s">
        <v>130</v>
      </c>
      <c r="AP694" t="s">
        <v>41</v>
      </c>
      <c r="AU694" t="s">
        <v>46</v>
      </c>
      <c r="AY694" t="s">
        <v>50</v>
      </c>
      <c r="AZ694" t="s">
        <v>51</v>
      </c>
      <c r="BA694" t="s">
        <v>52</v>
      </c>
    </row>
    <row r="695" spans="1:69" x14ac:dyDescent="0.2">
      <c r="A695" t="s">
        <v>2274</v>
      </c>
      <c r="B695" t="s">
        <v>2781</v>
      </c>
      <c r="C695" t="s">
        <v>2782</v>
      </c>
      <c r="D695" t="s">
        <v>332</v>
      </c>
      <c r="E695" t="s">
        <v>2783</v>
      </c>
      <c r="F695" t="s">
        <v>180</v>
      </c>
      <c r="G695" t="str">
        <f>HYPERLINK("https://telesputnik.ru/forum/viewtopic.php?f=36&amp;t=42382&amp;start=37820#p2482746")</f>
        <v>https://telesputnik.ru/forum/viewtopic.php?f=36&amp;t=42382&amp;start=37820#p2482746</v>
      </c>
      <c r="H695" t="s">
        <v>119</v>
      </c>
      <c r="I695" t="s">
        <v>2784</v>
      </c>
      <c r="J695" t="str">
        <f>HYPERLINK("https://telesputnik.ru/forum/memberlist.php?mode=viewprofile&amp;u=105407")</f>
        <v>https://telesputnik.ru/forum/memberlist.php?mode=viewprofile&amp;u=105407</v>
      </c>
      <c r="N695" t="s">
        <v>335</v>
      </c>
      <c r="O695" t="s">
        <v>336</v>
      </c>
      <c r="P695" t="str">
        <f>HYPERLINK("https://telesputnik.ru/forum/viewforum.php?f=11")</f>
        <v>https://telesputnik.ru/forum/viewforum.php?f=11</v>
      </c>
      <c r="R695" t="s">
        <v>295</v>
      </c>
      <c r="S695" t="s">
        <v>125</v>
      </c>
      <c r="AM695" t="s">
        <v>129</v>
      </c>
      <c r="AN695" t="s">
        <v>130</v>
      </c>
      <c r="AP695" t="s">
        <v>41</v>
      </c>
      <c r="AT695" t="s">
        <v>45</v>
      </c>
      <c r="AX695" t="s">
        <v>49</v>
      </c>
      <c r="AZ695" t="s">
        <v>51</v>
      </c>
      <c r="BA695" t="s">
        <v>52</v>
      </c>
    </row>
    <row r="696" spans="1:69" x14ac:dyDescent="0.2">
      <c r="A696" t="s">
        <v>2274</v>
      </c>
      <c r="B696" t="s">
        <v>2785</v>
      </c>
      <c r="C696" t="s">
        <v>2786</v>
      </c>
      <c r="D696" t="s">
        <v>2787</v>
      </c>
      <c r="E696" t="s">
        <v>2788</v>
      </c>
      <c r="F696" t="s">
        <v>118</v>
      </c>
      <c r="G696" t="str">
        <f>HYPERLINK("https://vk.com/wall-24720111_380291?reply=382201")</f>
        <v>https://vk.com/wall-24720111_380291?reply=382201</v>
      </c>
      <c r="H696" t="s">
        <v>228</v>
      </c>
      <c r="I696" t="s">
        <v>2789</v>
      </c>
      <c r="J696" t="str">
        <f>HYPERLINK("http://vk.com/id57457050")</f>
        <v>http://vk.com/id57457050</v>
      </c>
      <c r="K696">
        <v>471</v>
      </c>
      <c r="L696" t="s">
        <v>151</v>
      </c>
      <c r="N696" t="s">
        <v>122</v>
      </c>
      <c r="O696" t="s">
        <v>2790</v>
      </c>
      <c r="P696" t="str">
        <f>HYPERLINK("http://vk.com/club24720111")</f>
        <v>http://vk.com/club24720111</v>
      </c>
      <c r="Q696">
        <v>610008</v>
      </c>
      <c r="R696" t="s">
        <v>124</v>
      </c>
      <c r="S696" t="s">
        <v>125</v>
      </c>
      <c r="T696" t="s">
        <v>428</v>
      </c>
      <c r="U696" t="s">
        <v>429</v>
      </c>
      <c r="AM696" t="s">
        <v>129</v>
      </c>
      <c r="AN696" t="s">
        <v>130</v>
      </c>
      <c r="AP696" t="s">
        <v>41</v>
      </c>
      <c r="AW696" t="s">
        <v>48</v>
      </c>
      <c r="AZ696" t="s">
        <v>51</v>
      </c>
      <c r="BA696" t="s">
        <v>52</v>
      </c>
    </row>
    <row r="697" spans="1:69" x14ac:dyDescent="0.2">
      <c r="A697" t="s">
        <v>2274</v>
      </c>
      <c r="B697" t="s">
        <v>675</v>
      </c>
      <c r="C697" t="s">
        <v>2791</v>
      </c>
      <c r="D697" t="s">
        <v>955</v>
      </c>
      <c r="E697" t="s">
        <v>2792</v>
      </c>
      <c r="F697" t="s">
        <v>180</v>
      </c>
      <c r="G697" t="str">
        <f>HYPERLINK("https://www.wildberries.ru/catalog/16559824/detail.aspx?targetUrl=ES#Comments")</f>
        <v>https://www.wildberries.ru/catalog/16559824/detail.aspx?targetUrl=ES#Comments</v>
      </c>
      <c r="H697" t="s">
        <v>181</v>
      </c>
      <c r="I697" t="s">
        <v>1347</v>
      </c>
      <c r="J697" t="str">
        <f>HYPERLINK("https://www.wildberries.ru/profile/w7TDssOkw7PCu8K0wrXCtMK0wrPCtcK0wrM=")</f>
        <v>https://www.wildberries.ru/profile/w7TDssOkw7PCu8K0wrXCtMK0wrPCtcK0wrM=</v>
      </c>
      <c r="L697" t="s">
        <v>121</v>
      </c>
      <c r="N697" t="s">
        <v>534</v>
      </c>
      <c r="O697" t="s">
        <v>955</v>
      </c>
      <c r="P697" t="str">
        <f>HYPERLINK("https://www.wildberries.ru/catalog/12339622/detail.aspx")</f>
        <v>https://www.wildberries.ru/catalog/12339622/detail.aspx</v>
      </c>
      <c r="R697" t="s">
        <v>184</v>
      </c>
      <c r="S697" t="s">
        <v>125</v>
      </c>
      <c r="W697">
        <v>0</v>
      </c>
      <c r="X697">
        <v>0</v>
      </c>
      <c r="AH697">
        <v>5</v>
      </c>
      <c r="AM697" t="s">
        <v>129</v>
      </c>
      <c r="AN697" t="s">
        <v>130</v>
      </c>
      <c r="AP697" t="s">
        <v>41</v>
      </c>
      <c r="AT697" t="s">
        <v>45</v>
      </c>
      <c r="AZ697" t="s">
        <v>51</v>
      </c>
      <c r="BA697" t="s">
        <v>52</v>
      </c>
    </row>
    <row r="698" spans="1:69" x14ac:dyDescent="0.2">
      <c r="A698" t="s">
        <v>2274</v>
      </c>
      <c r="B698" t="s">
        <v>2793</v>
      </c>
      <c r="C698" t="s">
        <v>2794</v>
      </c>
      <c r="D698" t="s">
        <v>2795</v>
      </c>
      <c r="E698" t="s">
        <v>2796</v>
      </c>
      <c r="F698" t="s">
        <v>180</v>
      </c>
      <c r="G698" t="str">
        <f>HYPERLINK("https://ru.otzyv.com/cyberplat-kiberplat/review-737322")</f>
        <v>https://ru.otzyv.com/cyberplat-kiberplat/review-737322</v>
      </c>
      <c r="H698" t="s">
        <v>181</v>
      </c>
      <c r="I698" t="s">
        <v>2198</v>
      </c>
      <c r="J698" t="str">
        <f>HYPERLINK("https://ru.otzyv.com/cyberplat-kiberplat/review-737322")</f>
        <v>https://ru.otzyv.com/cyberplat-kiberplat/review-737322</v>
      </c>
      <c r="L698" t="s">
        <v>151</v>
      </c>
      <c r="N698" t="s">
        <v>2797</v>
      </c>
      <c r="O698" t="s">
        <v>2795</v>
      </c>
      <c r="P698" t="str">
        <f>HYPERLINK("https://ru.otzyv.com/cyberplat-kiberplat")</f>
        <v>https://ru.otzyv.com/cyberplat-kiberplat</v>
      </c>
      <c r="R698" t="s">
        <v>184</v>
      </c>
      <c r="S698" t="s">
        <v>125</v>
      </c>
      <c r="AH698">
        <v>5</v>
      </c>
      <c r="AM698" t="s">
        <v>129</v>
      </c>
      <c r="AN698" t="s">
        <v>130</v>
      </c>
      <c r="AP698" t="s">
        <v>41</v>
      </c>
      <c r="AZ698" t="s">
        <v>51</v>
      </c>
      <c r="BA698" t="s">
        <v>52</v>
      </c>
    </row>
    <row r="699" spans="1:69" x14ac:dyDescent="0.2">
      <c r="A699" t="s">
        <v>2274</v>
      </c>
      <c r="B699" t="s">
        <v>1790</v>
      </c>
      <c r="C699" t="s">
        <v>2775</v>
      </c>
      <c r="D699" t="s">
        <v>2776</v>
      </c>
      <c r="E699" t="s">
        <v>2798</v>
      </c>
      <c r="F699" t="s">
        <v>180</v>
      </c>
      <c r="G699" t="str">
        <f>HYPERLINK("https://telesputnik.ru/forum/viewtopic.php?f=36&amp;t=47527&amp;start=280#p2482627")</f>
        <v>https://telesputnik.ru/forum/viewtopic.php?f=36&amp;t=47527&amp;start=280#p2482627</v>
      </c>
      <c r="H699" t="s">
        <v>119</v>
      </c>
      <c r="I699" t="s">
        <v>2799</v>
      </c>
      <c r="J699" t="str">
        <f>HYPERLINK("https://telesputnik.ru/forum/memberlist.php?mode=viewprofile&amp;u=59426")</f>
        <v>https://telesputnik.ru/forum/memberlist.php?mode=viewprofile&amp;u=59426</v>
      </c>
      <c r="N699" t="s">
        <v>335</v>
      </c>
      <c r="O699" t="s">
        <v>909</v>
      </c>
      <c r="P699" t="str">
        <f>HYPERLINK("https://telesputnik.ru/forum/viewforum.php?f=36")</f>
        <v>https://telesputnik.ru/forum/viewforum.php?f=36</v>
      </c>
      <c r="R699" t="s">
        <v>295</v>
      </c>
      <c r="S699" t="s">
        <v>125</v>
      </c>
      <c r="AM699" t="s">
        <v>129</v>
      </c>
      <c r="AN699" t="s">
        <v>130</v>
      </c>
      <c r="AP699" t="s">
        <v>41</v>
      </c>
      <c r="AU699" t="s">
        <v>46</v>
      </c>
      <c r="AY699" t="s">
        <v>50</v>
      </c>
      <c r="BA699" t="s">
        <v>52</v>
      </c>
      <c r="BE699" t="s">
        <v>56</v>
      </c>
    </row>
    <row r="700" spans="1:69" x14ac:dyDescent="0.2">
      <c r="A700" t="s">
        <v>2274</v>
      </c>
      <c r="B700" t="s">
        <v>2800</v>
      </c>
      <c r="C700" t="s">
        <v>2801</v>
      </c>
      <c r="D700" t="s">
        <v>2089</v>
      </c>
      <c r="E700" t="s">
        <v>2802</v>
      </c>
      <c r="F700" t="s">
        <v>118</v>
      </c>
      <c r="G700" t="str">
        <f>HYPERLINK("https://vk.com/wall-61101621_254764?reply=254846")</f>
        <v>https://vk.com/wall-61101621_254764?reply=254846</v>
      </c>
      <c r="H700" t="s">
        <v>119</v>
      </c>
      <c r="I700" t="s">
        <v>2803</v>
      </c>
      <c r="J700" t="str">
        <f>HYPERLINK("http://vk.com/id12396088")</f>
        <v>http://vk.com/id12396088</v>
      </c>
      <c r="K700">
        <v>14</v>
      </c>
      <c r="L700" t="s">
        <v>121</v>
      </c>
      <c r="N700" t="s">
        <v>122</v>
      </c>
      <c r="O700" t="s">
        <v>160</v>
      </c>
      <c r="P700" t="str">
        <f>HYPERLINK("http://vk.com/club61101621")</f>
        <v>http://vk.com/club61101621</v>
      </c>
      <c r="Q700">
        <v>21119</v>
      </c>
      <c r="R700" t="s">
        <v>124</v>
      </c>
      <c r="S700" t="s">
        <v>125</v>
      </c>
      <c r="T700" t="s">
        <v>759</v>
      </c>
      <c r="U700" t="s">
        <v>2804</v>
      </c>
      <c r="W700">
        <v>0</v>
      </c>
      <c r="X700">
        <v>0</v>
      </c>
      <c r="AM700" t="s">
        <v>129</v>
      </c>
      <c r="AN700" t="s">
        <v>130</v>
      </c>
      <c r="AP700" t="s">
        <v>41</v>
      </c>
      <c r="AU700" t="s">
        <v>46</v>
      </c>
      <c r="AZ700" t="s">
        <v>51</v>
      </c>
      <c r="BA700" t="s">
        <v>52</v>
      </c>
    </row>
    <row r="701" spans="1:69" x14ac:dyDescent="0.2">
      <c r="A701" t="s">
        <v>2274</v>
      </c>
      <c r="B701" t="s">
        <v>2805</v>
      </c>
      <c r="C701" t="s">
        <v>2806</v>
      </c>
      <c r="D701" t="s">
        <v>129</v>
      </c>
      <c r="E701" t="s">
        <v>2807</v>
      </c>
      <c r="F701" t="s">
        <v>2808</v>
      </c>
      <c r="G701" t="str">
        <f>HYPERLINK("https://vk.com/wall320952893_2011")</f>
        <v>https://vk.com/wall320952893_2011</v>
      </c>
      <c r="H701" t="s">
        <v>181</v>
      </c>
      <c r="I701" t="s">
        <v>2809</v>
      </c>
      <c r="J701" t="str">
        <f>HYPERLINK("http://vk.com/id320952893")</f>
        <v>http://vk.com/id320952893</v>
      </c>
      <c r="K701">
        <v>108</v>
      </c>
      <c r="L701" t="s">
        <v>121</v>
      </c>
      <c r="M701">
        <v>57</v>
      </c>
      <c r="N701" t="s">
        <v>122</v>
      </c>
      <c r="O701" t="s">
        <v>2809</v>
      </c>
      <c r="P701" t="str">
        <f>HYPERLINK("http://vk.com/id320952893")</f>
        <v>http://vk.com/id320952893</v>
      </c>
      <c r="Q701">
        <v>108</v>
      </c>
      <c r="R701" t="s">
        <v>124</v>
      </c>
      <c r="S701" t="s">
        <v>125</v>
      </c>
      <c r="T701" t="s">
        <v>153</v>
      </c>
      <c r="U701" t="s">
        <v>2810</v>
      </c>
      <c r="W701">
        <v>0</v>
      </c>
      <c r="X701">
        <v>0</v>
      </c>
      <c r="AE701">
        <v>0</v>
      </c>
      <c r="AF701">
        <v>0</v>
      </c>
      <c r="AG701">
        <v>1</v>
      </c>
      <c r="AJ701" t="s">
        <v>129</v>
      </c>
      <c r="AK701" t="s">
        <v>129</v>
      </c>
      <c r="AL701" t="str">
        <f>HYPERLINK("https://i.mycdn.me/getVideoPreview?id=1615528200783&amp;idx=0&amp;type=39&amp;tkn=XJmDOBw7U09HrKvg0WcoxHmmINA&amp;fn=vid_w")</f>
        <v>https://i.mycdn.me/getVideoPreview?id=1615528200783&amp;idx=0&amp;type=39&amp;tkn=XJmDOBw7U09HrKvg0WcoxHmmINA&amp;fn=vid_w</v>
      </c>
      <c r="AM701" t="s">
        <v>129</v>
      </c>
      <c r="AN701" t="s">
        <v>130</v>
      </c>
      <c r="AP701" t="s">
        <v>41</v>
      </c>
      <c r="AU701" t="s">
        <v>46</v>
      </c>
      <c r="AZ701" t="s">
        <v>51</v>
      </c>
      <c r="BA701" t="s">
        <v>52</v>
      </c>
    </row>
    <row r="702" spans="1:69" x14ac:dyDescent="0.2">
      <c r="A702" t="s">
        <v>2274</v>
      </c>
      <c r="B702" t="s">
        <v>2231</v>
      </c>
      <c r="C702" t="s">
        <v>2811</v>
      </c>
      <c r="D702" t="s">
        <v>1697</v>
      </c>
      <c r="E702" t="s">
        <v>2812</v>
      </c>
      <c r="F702" t="s">
        <v>180</v>
      </c>
      <c r="G702" t="str">
        <f>HYPERLINK("https://apps.apple.com/ru/app/мой-триколор/id1204321194#7622585663")</f>
        <v>https://apps.apple.com/ru/app/мой-триколор/id1204321194#7622585663</v>
      </c>
      <c r="H702" t="s">
        <v>181</v>
      </c>
      <c r="I702" t="s">
        <v>2813</v>
      </c>
      <c r="J702" t="str">
        <f>HYPERLINK("https://itunes.apple.com/reviews?userProfileId=480907265")</f>
        <v>https://itunes.apple.com/reviews?userProfileId=480907265</v>
      </c>
      <c r="N702" t="s">
        <v>1411</v>
      </c>
      <c r="O702" t="s">
        <v>1697</v>
      </c>
      <c r="P702" t="str">
        <f>HYPERLINK("https://apps.apple.com/ru/app/мой-триколор/id1204321194")</f>
        <v>https://apps.apple.com/ru/app/мой-триколор/id1204321194</v>
      </c>
      <c r="R702" t="s">
        <v>184</v>
      </c>
      <c r="S702" t="s">
        <v>125</v>
      </c>
      <c r="AH702">
        <v>5</v>
      </c>
      <c r="AM702" t="s">
        <v>129</v>
      </c>
      <c r="AN702" t="s">
        <v>130</v>
      </c>
      <c r="AP702" t="s">
        <v>41</v>
      </c>
      <c r="AZ702" t="s">
        <v>51</v>
      </c>
      <c r="BA702" t="s">
        <v>52</v>
      </c>
      <c r="BQ702" t="s">
        <v>68</v>
      </c>
    </row>
    <row r="703" spans="1:69" x14ac:dyDescent="0.2">
      <c r="A703" t="s">
        <v>2274</v>
      </c>
      <c r="B703" t="s">
        <v>2231</v>
      </c>
      <c r="C703" t="s">
        <v>2814</v>
      </c>
      <c r="D703" t="s">
        <v>204</v>
      </c>
      <c r="E703" t="s">
        <v>2815</v>
      </c>
      <c r="F703" t="s">
        <v>180</v>
      </c>
      <c r="G703" t="str">
        <f>HYPERLINK("https://play.google.com/store/apps/details?id=ru.iflex.android.a3colortv&amp;reviewId=gp:AOqpTOHakh9WGdDrq1UQgiyEzeX1dIyBD3qfMXxIUQ0dv4pZvdYAAKCKZ-PxFxRxJ_VeW9jzUnv7U8khVO7Dvw")</f>
        <v>https://play.google.com/store/apps/details?id=ru.iflex.android.a3colortv&amp;reviewId=gp:AOqpTOHakh9WGdDrq1UQgiyEzeX1dIyBD3qfMXxIUQ0dv4pZvdYAAKCKZ-PxFxRxJ_VeW9jzUnv7U8khVO7Dvw</v>
      </c>
      <c r="H703" t="s">
        <v>119</v>
      </c>
      <c r="I703" t="s">
        <v>2816</v>
      </c>
      <c r="J703" t="str">
        <f>HYPERLINK("https://plus.google.com/101560077803338298679")</f>
        <v>https://plus.google.com/101560077803338298679</v>
      </c>
      <c r="L703" t="s">
        <v>121</v>
      </c>
      <c r="N703" t="s">
        <v>207</v>
      </c>
      <c r="O703" t="s">
        <v>204</v>
      </c>
      <c r="P703" t="str">
        <f>HYPERLINK("https://play.google.com/store/apps/details?id=ru.iflex.android.a3colortv&amp;hl=ru")</f>
        <v>https://play.google.com/store/apps/details?id=ru.iflex.android.a3colortv&amp;hl=ru</v>
      </c>
      <c r="R703" t="s">
        <v>184</v>
      </c>
      <c r="S703" t="s">
        <v>125</v>
      </c>
      <c r="W703">
        <v>0</v>
      </c>
      <c r="X703">
        <v>0</v>
      </c>
      <c r="AH703">
        <v>2</v>
      </c>
      <c r="AM703" t="s">
        <v>129</v>
      </c>
      <c r="AN703" t="s">
        <v>130</v>
      </c>
      <c r="AP703" t="s">
        <v>41</v>
      </c>
      <c r="AZ703" t="s">
        <v>51</v>
      </c>
      <c r="BA703" t="s">
        <v>52</v>
      </c>
      <c r="BQ703" t="s">
        <v>68</v>
      </c>
    </row>
    <row r="704" spans="1:69" x14ac:dyDescent="0.2">
      <c r="A704" t="s">
        <v>2274</v>
      </c>
      <c r="B704" t="s">
        <v>2817</v>
      </c>
      <c r="C704" t="s">
        <v>2818</v>
      </c>
      <c r="D704" t="s">
        <v>2772</v>
      </c>
      <c r="E704" t="s">
        <v>2819</v>
      </c>
      <c r="F704" t="s">
        <v>118</v>
      </c>
      <c r="G704" t="str">
        <f>HYPERLINK("https://vk.com/wall-61101621_254782?reply=254845&amp;thread=254788")</f>
        <v>https://vk.com/wall-61101621_254782?reply=254845&amp;thread=254788</v>
      </c>
      <c r="H704" t="s">
        <v>119</v>
      </c>
      <c r="I704" t="s">
        <v>2820</v>
      </c>
      <c r="J704" t="str">
        <f>HYPERLINK("http://vk.com/id73383147")</f>
        <v>http://vk.com/id73383147</v>
      </c>
      <c r="K704">
        <v>813</v>
      </c>
      <c r="L704" t="s">
        <v>151</v>
      </c>
      <c r="N704" t="s">
        <v>122</v>
      </c>
      <c r="O704" t="s">
        <v>160</v>
      </c>
      <c r="P704" t="str">
        <f>HYPERLINK("http://vk.com/club61101621")</f>
        <v>http://vk.com/club61101621</v>
      </c>
      <c r="Q704">
        <v>21119</v>
      </c>
      <c r="R704" t="s">
        <v>124</v>
      </c>
      <c r="S704" t="s">
        <v>125</v>
      </c>
      <c r="T704" t="s">
        <v>137</v>
      </c>
      <c r="U704" t="s">
        <v>2821</v>
      </c>
      <c r="AM704" t="s">
        <v>129</v>
      </c>
      <c r="AN704" t="s">
        <v>130</v>
      </c>
      <c r="AP704" t="s">
        <v>41</v>
      </c>
      <c r="AU704" t="s">
        <v>46</v>
      </c>
      <c r="AZ704" t="s">
        <v>51</v>
      </c>
      <c r="BA704" t="s">
        <v>52</v>
      </c>
      <c r="BL704" t="s">
        <v>63</v>
      </c>
    </row>
    <row r="705" spans="1:84" x14ac:dyDescent="0.2">
      <c r="A705" t="s">
        <v>2274</v>
      </c>
      <c r="B705" t="s">
        <v>2822</v>
      </c>
      <c r="C705" t="s">
        <v>2441</v>
      </c>
      <c r="D705" t="s">
        <v>2823</v>
      </c>
      <c r="E705" t="s">
        <v>2824</v>
      </c>
      <c r="F705" t="s">
        <v>180</v>
      </c>
      <c r="G705" t="str">
        <f>HYPERLINK("https://www.ozon.ru/context/detail/id/218622339/#62344500")</f>
        <v>https://www.ozon.ru/context/detail/id/218622339/#62344500</v>
      </c>
      <c r="H705" t="s">
        <v>181</v>
      </c>
      <c r="I705" t="s">
        <v>2825</v>
      </c>
      <c r="J705" t="str">
        <f>HYPERLINK("https://www.ozon.ru/context/client_opinion/ClientGuid/44d96fbc-1cf5-42d1-8b21-e7d26db87a91/")</f>
        <v>https://www.ozon.ru/context/client_opinion/ClientGuid/44d96fbc-1cf5-42d1-8b21-e7d26db87a91/</v>
      </c>
      <c r="L705" t="s">
        <v>121</v>
      </c>
      <c r="N705" t="s">
        <v>183</v>
      </c>
      <c r="O705" t="s">
        <v>2823</v>
      </c>
      <c r="P705" t="str">
        <f>HYPERLINK("https://www.ozon.ru/context/detail/id/218622339/")</f>
        <v>https://www.ozon.ru/context/detail/id/218622339/</v>
      </c>
      <c r="R705" t="s">
        <v>184</v>
      </c>
      <c r="S705" t="s">
        <v>125</v>
      </c>
      <c r="W705">
        <v>0</v>
      </c>
      <c r="X705">
        <v>0</v>
      </c>
      <c r="AH705">
        <v>5</v>
      </c>
      <c r="AM705" t="s">
        <v>129</v>
      </c>
      <c r="AN705" t="s">
        <v>130</v>
      </c>
      <c r="AP705" t="s">
        <v>41</v>
      </c>
      <c r="AT705" t="s">
        <v>45</v>
      </c>
      <c r="AW705" t="s">
        <v>48</v>
      </c>
      <c r="AZ705" t="s">
        <v>51</v>
      </c>
      <c r="BA705" t="s">
        <v>52</v>
      </c>
    </row>
    <row r="706" spans="1:84" x14ac:dyDescent="0.2">
      <c r="A706" t="s">
        <v>2274</v>
      </c>
      <c r="B706" t="s">
        <v>2826</v>
      </c>
      <c r="C706" t="s">
        <v>2827</v>
      </c>
      <c r="D706" t="s">
        <v>2828</v>
      </c>
      <c r="E706" t="s">
        <v>2829</v>
      </c>
      <c r="F706" t="s">
        <v>118</v>
      </c>
      <c r="G706" t="str">
        <f>HYPERLINK("https://www.youtube.com/watch?v=sGF6Qf2rhtI&amp;lc=UgxoohUk1BTY0LLccIt4AaABAg.9QGfuJaUoUw9QHrXo-JFDx")</f>
        <v>https://www.youtube.com/watch?v=sGF6Qf2rhtI&amp;lc=UgxoohUk1BTY0LLccIt4AaABAg.9QGfuJaUoUw9QHrXo-JFDx</v>
      </c>
      <c r="H706" t="s">
        <v>119</v>
      </c>
      <c r="I706" t="s">
        <v>2830</v>
      </c>
      <c r="J706" t="str">
        <f>HYPERLINK("https://www.youtube.com/channel/UCAlYmHST3xM8jq0A6Ve7XSQ")</f>
        <v>https://www.youtube.com/channel/UCAlYmHST3xM8jq0A6Ve7XSQ</v>
      </c>
      <c r="K706">
        <v>0</v>
      </c>
      <c r="N706" t="s">
        <v>248</v>
      </c>
      <c r="O706" t="s">
        <v>2831</v>
      </c>
      <c r="P706" t="str">
        <f>HYPERLINK("https://www.youtube.com/channel/UCiT0ClOwvHK6xi95ANfjDcg")</f>
        <v>https://www.youtube.com/channel/UCiT0ClOwvHK6xi95ANfjDcg</v>
      </c>
      <c r="Q706">
        <v>419</v>
      </c>
      <c r="R706" t="s">
        <v>124</v>
      </c>
      <c r="S706" t="s">
        <v>125</v>
      </c>
      <c r="W706">
        <v>0</v>
      </c>
      <c r="X706">
        <v>0</v>
      </c>
      <c r="AM706" t="s">
        <v>129</v>
      </c>
      <c r="AN706" t="s">
        <v>130</v>
      </c>
      <c r="AP706" t="s">
        <v>41</v>
      </c>
      <c r="AU706" t="s">
        <v>46</v>
      </c>
      <c r="AZ706" t="s">
        <v>51</v>
      </c>
      <c r="BA706" t="s">
        <v>52</v>
      </c>
    </row>
    <row r="707" spans="1:84" x14ac:dyDescent="0.2">
      <c r="A707" t="s">
        <v>2274</v>
      </c>
      <c r="B707" t="s">
        <v>685</v>
      </c>
      <c r="C707" t="s">
        <v>2832</v>
      </c>
      <c r="D707" t="s">
        <v>2833</v>
      </c>
      <c r="E707" t="s">
        <v>2834</v>
      </c>
      <c r="F707" t="s">
        <v>118</v>
      </c>
      <c r="G707" t="str">
        <f>HYPERLINK("https://ok.ru/group/51085510115462/topic/153410793088390#MTYyNzM2MTEzMjc5MzotMTUyMDM6MTYyNzM2MTEzMjc5MzoxNTM0MTA3OTMwODgzOTA6MQ==")</f>
        <v>https://ok.ru/group/51085510115462/topic/153410793088390#MTYyNzM2MTEzMjc5MzotMTUyMDM6MTYyNzM2MTEzMjc5MzoxNTM0MTA3OTMwODgzOTA6MQ==</v>
      </c>
      <c r="H707" t="s">
        <v>228</v>
      </c>
      <c r="I707" t="s">
        <v>2835</v>
      </c>
      <c r="J707" t="str">
        <f>HYPERLINK("https://ok.ru/profile/482836614748")</f>
        <v>https://ok.ru/profile/482836614748</v>
      </c>
      <c r="K707">
        <v>132</v>
      </c>
      <c r="L707" t="s">
        <v>121</v>
      </c>
      <c r="N707" t="s">
        <v>347</v>
      </c>
      <c r="O707" t="s">
        <v>175</v>
      </c>
      <c r="P707" t="str">
        <f>HYPERLINK("https://ok.ru/group/51085510115462")</f>
        <v>https://ok.ru/group/51085510115462</v>
      </c>
      <c r="Q707">
        <v>94768</v>
      </c>
      <c r="R707" t="s">
        <v>124</v>
      </c>
      <c r="S707" t="s">
        <v>125</v>
      </c>
      <c r="T707" t="s">
        <v>2521</v>
      </c>
      <c r="U707" t="s">
        <v>2836</v>
      </c>
      <c r="W707">
        <v>0</v>
      </c>
      <c r="X707">
        <v>0</v>
      </c>
      <c r="AM707" t="s">
        <v>129</v>
      </c>
      <c r="AN707" t="s">
        <v>130</v>
      </c>
      <c r="AP707" t="s">
        <v>41</v>
      </c>
      <c r="AW707" t="s">
        <v>48</v>
      </c>
      <c r="AZ707" t="s">
        <v>51</v>
      </c>
      <c r="BA707" t="s">
        <v>52</v>
      </c>
      <c r="BM707" t="s">
        <v>64</v>
      </c>
    </row>
    <row r="708" spans="1:84" x14ac:dyDescent="0.2">
      <c r="A708" t="s">
        <v>2274</v>
      </c>
      <c r="B708" t="s">
        <v>2837</v>
      </c>
      <c r="C708" t="s">
        <v>1048</v>
      </c>
      <c r="D708" t="s">
        <v>2838</v>
      </c>
      <c r="E708" t="s">
        <v>2839</v>
      </c>
      <c r="F708" t="s">
        <v>180</v>
      </c>
      <c r="G708" t="str">
        <f>HYPERLINK("https://www.google.com/maps/reviews/data=!4m5!14m4!1m3!1m2!1s106370445650164919153!2s0x0:0x3873f063ddc2f79f?hl=en-NL")</f>
        <v>https://www.google.com/maps/reviews/data=!4m5!14m4!1m3!1m2!1s106370445650164919153!2s0x0:0x3873f063ddc2f79f?hl=en-NL</v>
      </c>
      <c r="H708" t="s">
        <v>181</v>
      </c>
      <c r="I708" t="s">
        <v>2840</v>
      </c>
      <c r="J708" t="str">
        <f>HYPERLINK("https://maps.google.com/maps/contrib/106370445650164919153")</f>
        <v>https://maps.google.com/maps/contrib/106370445650164919153</v>
      </c>
      <c r="L708" t="s">
        <v>151</v>
      </c>
      <c r="N708" t="s">
        <v>673</v>
      </c>
      <c r="O708" t="s">
        <v>2838</v>
      </c>
      <c r="P708" t="str">
        <f>HYPERLINK("https://maps.google.com/maps/place/data=!3m1!4b1!4m5!3m4!1s0x0:0x3873f063ddc2f79f!8m2!3d61.684390!4d50.805560")</f>
        <v>https://maps.google.com/maps/place/data=!3m1!4b1!4m5!3m4!1s0x0:0x3873f063ddc2f79f!8m2!3d61.684390!4d50.805560</v>
      </c>
      <c r="R708" t="s">
        <v>184</v>
      </c>
      <c r="S708" t="s">
        <v>125</v>
      </c>
      <c r="T708" t="s">
        <v>2103</v>
      </c>
      <c r="U708" t="s">
        <v>2104</v>
      </c>
      <c r="W708">
        <v>0</v>
      </c>
      <c r="X708">
        <v>0</v>
      </c>
      <c r="AH708">
        <v>5</v>
      </c>
      <c r="AM708" t="s">
        <v>129</v>
      </c>
      <c r="AN708" t="s">
        <v>130</v>
      </c>
      <c r="AP708" t="s">
        <v>41</v>
      </c>
      <c r="AX708" t="s">
        <v>49</v>
      </c>
      <c r="AZ708" t="s">
        <v>51</v>
      </c>
      <c r="BA708" t="s">
        <v>52</v>
      </c>
      <c r="BL708" t="s">
        <v>63</v>
      </c>
    </row>
    <row r="709" spans="1:84" x14ac:dyDescent="0.2">
      <c r="A709" t="s">
        <v>2274</v>
      </c>
      <c r="B709" t="s">
        <v>2841</v>
      </c>
      <c r="C709" t="s">
        <v>2441</v>
      </c>
      <c r="D709" t="s">
        <v>2842</v>
      </c>
      <c r="E709" t="s">
        <v>2843</v>
      </c>
      <c r="F709" t="s">
        <v>180</v>
      </c>
      <c r="G709" t="str">
        <f>HYPERLINK("https://www.ozon.ru/context/detail/id/206030955/#62334048")</f>
        <v>https://www.ozon.ru/context/detail/id/206030955/#62334048</v>
      </c>
      <c r="H709" t="s">
        <v>181</v>
      </c>
      <c r="I709" t="s">
        <v>2844</v>
      </c>
      <c r="J709" t="str">
        <f>HYPERLINK("https://www.ozon.ru/context/client_opinion/ClientGuid/8b3b768c-09d9-406b-be76-d568230011f5/")</f>
        <v>https://www.ozon.ru/context/client_opinion/ClientGuid/8b3b768c-09d9-406b-be76-d568230011f5/</v>
      </c>
      <c r="L709" t="s">
        <v>121</v>
      </c>
      <c r="N709" t="s">
        <v>183</v>
      </c>
      <c r="O709" t="s">
        <v>2842</v>
      </c>
      <c r="P709" t="str">
        <f>HYPERLINK("https://www.ozon.ru/context/detail/id/206030955/")</f>
        <v>https://www.ozon.ru/context/detail/id/206030955/</v>
      </c>
      <c r="R709" t="s">
        <v>184</v>
      </c>
      <c r="S709" t="s">
        <v>125</v>
      </c>
      <c r="W709">
        <v>0</v>
      </c>
      <c r="X709">
        <v>0</v>
      </c>
      <c r="AH709">
        <v>5</v>
      </c>
      <c r="AM709" t="s">
        <v>129</v>
      </c>
      <c r="AN709" t="s">
        <v>130</v>
      </c>
      <c r="AP709" t="s">
        <v>41</v>
      </c>
      <c r="AT709" t="s">
        <v>45</v>
      </c>
      <c r="AZ709" t="s">
        <v>51</v>
      </c>
      <c r="BA709" t="s">
        <v>52</v>
      </c>
      <c r="BM709" t="s">
        <v>64</v>
      </c>
    </row>
    <row r="710" spans="1:84" x14ac:dyDescent="0.2">
      <c r="A710" t="s">
        <v>2274</v>
      </c>
      <c r="B710" t="s">
        <v>2845</v>
      </c>
      <c r="C710" t="s">
        <v>2846</v>
      </c>
      <c r="D710" t="s">
        <v>1542</v>
      </c>
      <c r="E710" t="s">
        <v>2847</v>
      </c>
      <c r="F710" t="s">
        <v>118</v>
      </c>
      <c r="G710" t="str">
        <f>HYPERLINK("https://www.youtube.com/watch?v=8b2cjCmwft0&amp;lc=UgzgRrsx1HbNXRjVcX54AaABAg")</f>
        <v>https://www.youtube.com/watch?v=8b2cjCmwft0&amp;lc=UgzgRrsx1HbNXRjVcX54AaABAg</v>
      </c>
      <c r="H710" t="s">
        <v>228</v>
      </c>
      <c r="I710" t="s">
        <v>2848</v>
      </c>
      <c r="J710" t="str">
        <f>HYPERLINK("https://www.youtube.com/channel/UC2GbG9Sxjm804DELfLzZZig")</f>
        <v>https://www.youtube.com/channel/UC2GbG9Sxjm804DELfLzZZig</v>
      </c>
      <c r="K710">
        <v>9</v>
      </c>
      <c r="N710" t="s">
        <v>248</v>
      </c>
      <c r="O710" t="s">
        <v>1545</v>
      </c>
      <c r="P710" t="str">
        <f>HYPERLINK("https://www.youtube.com/channel/UCkbSaWqttPHTS00K0fjniTQ")</f>
        <v>https://www.youtube.com/channel/UCkbSaWqttPHTS00K0fjniTQ</v>
      </c>
      <c r="Q710">
        <v>1040000</v>
      </c>
      <c r="R710" t="s">
        <v>124</v>
      </c>
      <c r="W710">
        <v>0</v>
      </c>
      <c r="X710">
        <v>0</v>
      </c>
      <c r="AE710">
        <v>1</v>
      </c>
      <c r="AM710" t="s">
        <v>129</v>
      </c>
      <c r="AN710" t="s">
        <v>130</v>
      </c>
      <c r="AP710" t="s">
        <v>41</v>
      </c>
      <c r="AZ710" t="s">
        <v>51</v>
      </c>
      <c r="CF710" t="s">
        <v>83</v>
      </c>
    </row>
    <row r="711" spans="1:84" x14ac:dyDescent="0.2">
      <c r="A711" t="s">
        <v>2274</v>
      </c>
      <c r="B711" t="s">
        <v>2849</v>
      </c>
      <c r="C711" t="s">
        <v>2850</v>
      </c>
      <c r="D711" t="s">
        <v>2851</v>
      </c>
      <c r="E711" t="s">
        <v>2852</v>
      </c>
      <c r="F711" t="s">
        <v>118</v>
      </c>
      <c r="G711" t="str">
        <f>HYPERLINK("https://vk.com/wall-196389526_301631?reply=302537&amp;thread=301816")</f>
        <v>https://vk.com/wall-196389526_301631?reply=302537&amp;thread=301816</v>
      </c>
      <c r="H711" t="s">
        <v>119</v>
      </c>
      <c r="I711" t="s">
        <v>2853</v>
      </c>
      <c r="J711" t="str">
        <f>HYPERLINK("http://vk.com/id207372831")</f>
        <v>http://vk.com/id207372831</v>
      </c>
      <c r="K711">
        <v>84</v>
      </c>
      <c r="L711" t="s">
        <v>151</v>
      </c>
      <c r="N711" t="s">
        <v>122</v>
      </c>
      <c r="O711" t="s">
        <v>2854</v>
      </c>
      <c r="P711" t="str">
        <f>HYPERLINK("http://vk.com/club196389526")</f>
        <v>http://vk.com/club196389526</v>
      </c>
      <c r="Q711">
        <v>65728</v>
      </c>
      <c r="R711" t="s">
        <v>124</v>
      </c>
      <c r="S711" t="s">
        <v>125</v>
      </c>
      <c r="T711" t="s">
        <v>218</v>
      </c>
      <c r="U711" t="s">
        <v>2855</v>
      </c>
      <c r="AM711" t="s">
        <v>129</v>
      </c>
      <c r="AN711" t="s">
        <v>130</v>
      </c>
      <c r="AP711" t="s">
        <v>41</v>
      </c>
      <c r="AW711" t="s">
        <v>48</v>
      </c>
      <c r="AZ711" t="s">
        <v>51</v>
      </c>
      <c r="BA711" t="s">
        <v>52</v>
      </c>
      <c r="BM711" t="s">
        <v>64</v>
      </c>
    </row>
    <row r="712" spans="1:84" x14ac:dyDescent="0.2">
      <c r="A712" t="s">
        <v>2274</v>
      </c>
      <c r="B712" t="s">
        <v>2856</v>
      </c>
      <c r="C712" t="s">
        <v>2857</v>
      </c>
      <c r="D712" t="s">
        <v>2858</v>
      </c>
      <c r="E712" t="s">
        <v>2859</v>
      </c>
      <c r="F712" t="s">
        <v>118</v>
      </c>
      <c r="G712" t="str">
        <f>HYPERLINK("https://vk.com/wall-61101621_241476?reply=254835&amp;thread=241484")</f>
        <v>https://vk.com/wall-61101621_241476?reply=254835&amp;thread=241484</v>
      </c>
      <c r="H712" t="s">
        <v>119</v>
      </c>
      <c r="I712" t="s">
        <v>2860</v>
      </c>
      <c r="J712" t="str">
        <f>HYPERLINK("http://vk.com/id29184152")</f>
        <v>http://vk.com/id29184152</v>
      </c>
      <c r="K712">
        <v>7</v>
      </c>
      <c r="L712" t="s">
        <v>121</v>
      </c>
      <c r="M712">
        <v>40</v>
      </c>
      <c r="N712" t="s">
        <v>122</v>
      </c>
      <c r="O712" t="s">
        <v>160</v>
      </c>
      <c r="P712" t="str">
        <f>HYPERLINK("http://vk.com/club61101621")</f>
        <v>http://vk.com/club61101621</v>
      </c>
      <c r="Q712">
        <v>21119</v>
      </c>
      <c r="R712" t="s">
        <v>124</v>
      </c>
      <c r="S712" t="s">
        <v>125</v>
      </c>
      <c r="T712" t="s">
        <v>2225</v>
      </c>
      <c r="U712" t="s">
        <v>2861</v>
      </c>
      <c r="AM712" t="s">
        <v>129</v>
      </c>
      <c r="AN712" t="s">
        <v>130</v>
      </c>
      <c r="AP712" t="s">
        <v>41</v>
      </c>
      <c r="AT712" t="s">
        <v>45</v>
      </c>
      <c r="AZ712" t="s">
        <v>51</v>
      </c>
      <c r="BA712" t="s">
        <v>52</v>
      </c>
      <c r="BL712" t="s">
        <v>63</v>
      </c>
    </row>
    <row r="713" spans="1:84" x14ac:dyDescent="0.2">
      <c r="A713" t="s">
        <v>2274</v>
      </c>
      <c r="B713" t="s">
        <v>2856</v>
      </c>
      <c r="C713" t="s">
        <v>2857</v>
      </c>
      <c r="D713" t="s">
        <v>2858</v>
      </c>
      <c r="E713" t="s">
        <v>2862</v>
      </c>
      <c r="F713" t="s">
        <v>118</v>
      </c>
      <c r="G713" t="str">
        <f>HYPERLINK("https://vk.com/wall-61101621_241476?reply=254834&amp;thread=241480")</f>
        <v>https://vk.com/wall-61101621_241476?reply=254834&amp;thread=241480</v>
      </c>
      <c r="H713" t="s">
        <v>119</v>
      </c>
      <c r="I713" t="s">
        <v>2860</v>
      </c>
      <c r="J713" t="str">
        <f>HYPERLINK("http://vk.com/id29184152")</f>
        <v>http://vk.com/id29184152</v>
      </c>
      <c r="K713">
        <v>7</v>
      </c>
      <c r="L713" t="s">
        <v>121</v>
      </c>
      <c r="M713">
        <v>40</v>
      </c>
      <c r="N713" t="s">
        <v>122</v>
      </c>
      <c r="O713" t="s">
        <v>160</v>
      </c>
      <c r="P713" t="str">
        <f>HYPERLINK("http://vk.com/club61101621")</f>
        <v>http://vk.com/club61101621</v>
      </c>
      <c r="Q713">
        <v>21119</v>
      </c>
      <c r="R713" t="s">
        <v>124</v>
      </c>
      <c r="S713" t="s">
        <v>125</v>
      </c>
      <c r="T713" t="s">
        <v>2225</v>
      </c>
      <c r="U713" t="s">
        <v>2861</v>
      </c>
      <c r="AM713" t="s">
        <v>129</v>
      </c>
      <c r="AN713" t="s">
        <v>130</v>
      </c>
      <c r="AP713" t="s">
        <v>41</v>
      </c>
      <c r="AT713" t="s">
        <v>45</v>
      </c>
      <c r="AZ713" t="s">
        <v>51</v>
      </c>
      <c r="BA713" t="s">
        <v>52</v>
      </c>
      <c r="BL713" t="s">
        <v>63</v>
      </c>
    </row>
    <row r="714" spans="1:84" x14ac:dyDescent="0.2">
      <c r="A714" t="s">
        <v>2274</v>
      </c>
      <c r="B714" t="s">
        <v>1223</v>
      </c>
      <c r="C714" t="s">
        <v>2863</v>
      </c>
      <c r="D714" t="s">
        <v>2215</v>
      </c>
      <c r="E714" t="s">
        <v>2864</v>
      </c>
      <c r="F714" t="s">
        <v>118</v>
      </c>
      <c r="G714" t="str">
        <f>HYPERLINK("https://vk.com/wall-27863223_292151?w=wall-27863223_292151_r292205")</f>
        <v>https://vk.com/wall-27863223_292151?w=wall-27863223_292151_r292205</v>
      </c>
      <c r="H714" t="s">
        <v>119</v>
      </c>
      <c r="I714" t="s">
        <v>2353</v>
      </c>
      <c r="J714" t="str">
        <f>HYPERLINK("http://vk.com/id26675501")</f>
        <v>http://vk.com/id26675501</v>
      </c>
      <c r="K714">
        <v>163</v>
      </c>
      <c r="L714" t="s">
        <v>121</v>
      </c>
      <c r="M714">
        <v>31</v>
      </c>
      <c r="N714" t="s">
        <v>122</v>
      </c>
      <c r="O714" t="s">
        <v>175</v>
      </c>
      <c r="P714" t="str">
        <f>HYPERLINK("http://vk.com/club27863223")</f>
        <v>http://vk.com/club27863223</v>
      </c>
      <c r="Q714">
        <v>134698</v>
      </c>
      <c r="R714" t="s">
        <v>124</v>
      </c>
      <c r="S714" t="s">
        <v>125</v>
      </c>
      <c r="T714" t="s">
        <v>137</v>
      </c>
      <c r="U714" t="s">
        <v>137</v>
      </c>
      <c r="W714">
        <v>0</v>
      </c>
      <c r="X714">
        <v>0</v>
      </c>
      <c r="AM714" t="s">
        <v>129</v>
      </c>
      <c r="AN714" t="s">
        <v>130</v>
      </c>
      <c r="AP714" t="s">
        <v>41</v>
      </c>
      <c r="AZ714" t="s">
        <v>51</v>
      </c>
      <c r="BA714" t="s">
        <v>52</v>
      </c>
      <c r="BY714" t="s">
        <v>76</v>
      </c>
    </row>
    <row r="715" spans="1:84" x14ac:dyDescent="0.2">
      <c r="A715" t="s">
        <v>2865</v>
      </c>
      <c r="B715" t="s">
        <v>1249</v>
      </c>
      <c r="C715" t="s">
        <v>2866</v>
      </c>
      <c r="D715" t="s">
        <v>204</v>
      </c>
      <c r="E715" t="s">
        <v>2867</v>
      </c>
      <c r="F715" t="s">
        <v>180</v>
      </c>
      <c r="G715" t="str">
        <f>HYPERLINK("https://play.google.com/store/apps/details?id=ru.iflex.android.a3colortv&amp;reviewId=gp:AOqpTOH1PbHOgWlI5YKNgTbM2CrvGzwThQsW4Fo9O_fS-IuDsF2JjzLC85TOFGx6BZLgcVMEcKuQqhBrLEOMhw")</f>
        <v>https://play.google.com/store/apps/details?id=ru.iflex.android.a3colortv&amp;reviewId=gp:AOqpTOH1PbHOgWlI5YKNgTbM2CrvGzwThQsW4Fo9O_fS-IuDsF2JjzLC85TOFGx6BZLgcVMEcKuQqhBrLEOMhw</v>
      </c>
      <c r="H715" t="s">
        <v>181</v>
      </c>
      <c r="I715" t="s">
        <v>2868</v>
      </c>
      <c r="J715" t="str">
        <f>HYPERLINK("https://plus.google.com/116535385700464073675")</f>
        <v>https://plus.google.com/116535385700464073675</v>
      </c>
      <c r="L715" t="s">
        <v>151</v>
      </c>
      <c r="N715" t="s">
        <v>207</v>
      </c>
      <c r="O715" t="s">
        <v>204</v>
      </c>
      <c r="P715" t="str">
        <f>HYPERLINK("https://play.google.com/store/apps/details?id=ru.iflex.android.a3colortv&amp;hl=ru")</f>
        <v>https://play.google.com/store/apps/details?id=ru.iflex.android.a3colortv&amp;hl=ru</v>
      </c>
      <c r="R715" t="s">
        <v>184</v>
      </c>
      <c r="S715" t="s">
        <v>125</v>
      </c>
      <c r="W715">
        <v>0</v>
      </c>
      <c r="X715">
        <v>0</v>
      </c>
      <c r="AH715">
        <v>5</v>
      </c>
      <c r="AM715" t="s">
        <v>129</v>
      </c>
      <c r="AN715" t="s">
        <v>130</v>
      </c>
      <c r="AP715" t="s">
        <v>41</v>
      </c>
      <c r="AZ715" t="s">
        <v>51</v>
      </c>
      <c r="BA715" t="s">
        <v>52</v>
      </c>
      <c r="BQ715" t="s">
        <v>68</v>
      </c>
    </row>
    <row r="716" spans="1:84" x14ac:dyDescent="0.2">
      <c r="A716" t="s">
        <v>2865</v>
      </c>
      <c r="B716" t="s">
        <v>2869</v>
      </c>
      <c r="C716" t="s">
        <v>2870</v>
      </c>
      <c r="D716" t="s">
        <v>2871</v>
      </c>
      <c r="E716" t="s">
        <v>2872</v>
      </c>
      <c r="F716" t="s">
        <v>118</v>
      </c>
      <c r="G716" t="str">
        <f>HYPERLINK("https://vk.com/wall-186674927_12384?reply=12444")</f>
        <v>https://vk.com/wall-186674927_12384?reply=12444</v>
      </c>
      <c r="H716" t="s">
        <v>119</v>
      </c>
      <c r="I716" t="s">
        <v>254</v>
      </c>
      <c r="J716" t="str">
        <f>HYPERLINK("http://vk.com/id286061518")</f>
        <v>http://vk.com/id286061518</v>
      </c>
      <c r="K716">
        <v>5170</v>
      </c>
      <c r="L716" t="s">
        <v>121</v>
      </c>
      <c r="M716">
        <v>34</v>
      </c>
      <c r="N716" t="s">
        <v>122</v>
      </c>
      <c r="O716" t="s">
        <v>358</v>
      </c>
      <c r="P716" t="str">
        <f>HYPERLINK("http://vk.com/club186674927")</f>
        <v>http://vk.com/club186674927</v>
      </c>
      <c r="Q716">
        <v>706</v>
      </c>
      <c r="R716" t="s">
        <v>124</v>
      </c>
      <c r="S716" t="s">
        <v>125</v>
      </c>
      <c r="T716" t="s">
        <v>256</v>
      </c>
      <c r="U716" t="s">
        <v>257</v>
      </c>
      <c r="AM716" t="s">
        <v>129</v>
      </c>
      <c r="AN716" t="s">
        <v>130</v>
      </c>
      <c r="AP716" t="s">
        <v>41</v>
      </c>
      <c r="AZ716" t="s">
        <v>51</v>
      </c>
      <c r="BA716" t="s">
        <v>52</v>
      </c>
      <c r="BQ716" t="s">
        <v>68</v>
      </c>
    </row>
    <row r="717" spans="1:84" x14ac:dyDescent="0.2">
      <c r="A717" t="s">
        <v>2865</v>
      </c>
      <c r="B717" t="s">
        <v>1871</v>
      </c>
      <c r="C717" t="s">
        <v>2866</v>
      </c>
      <c r="D717" t="s">
        <v>204</v>
      </c>
      <c r="E717" t="s">
        <v>2873</v>
      </c>
      <c r="F717" t="s">
        <v>180</v>
      </c>
      <c r="G717" t="str">
        <f>HYPERLINK("https://play.google.com/store/apps/details?id=ru.iflex.android.a3colortv&amp;reviewId=gp:AOqpTOFcQk9EDahn91VGxvgtkZOX_CLJAQ9csznK-ARPaICcirli9SspePESdt_qhtH9yMTDeR3MJg5AMntIqA")</f>
        <v>https://play.google.com/store/apps/details?id=ru.iflex.android.a3colortv&amp;reviewId=gp:AOqpTOFcQk9EDahn91VGxvgtkZOX_CLJAQ9csznK-ARPaICcirli9SspePESdt_qhtH9yMTDeR3MJg5AMntIqA</v>
      </c>
      <c r="H717" t="s">
        <v>228</v>
      </c>
      <c r="I717" t="s">
        <v>2874</v>
      </c>
      <c r="J717" t="str">
        <f>HYPERLINK("https://plus.google.com/113200717932430374991")</f>
        <v>https://plus.google.com/113200717932430374991</v>
      </c>
      <c r="L717" t="s">
        <v>121</v>
      </c>
      <c r="N717" t="s">
        <v>207</v>
      </c>
      <c r="O717" t="s">
        <v>204</v>
      </c>
      <c r="P717" t="str">
        <f>HYPERLINK("https://play.google.com/store/apps/details?id=ru.iflex.android.a3colortv&amp;hl=ru")</f>
        <v>https://play.google.com/store/apps/details?id=ru.iflex.android.a3colortv&amp;hl=ru</v>
      </c>
      <c r="R717" t="s">
        <v>184</v>
      </c>
      <c r="S717" t="s">
        <v>125</v>
      </c>
      <c r="W717">
        <v>0</v>
      </c>
      <c r="X717">
        <v>0</v>
      </c>
      <c r="AH717">
        <v>2</v>
      </c>
      <c r="AM717" t="s">
        <v>129</v>
      </c>
      <c r="AN717" t="s">
        <v>130</v>
      </c>
      <c r="AP717" t="s">
        <v>41</v>
      </c>
      <c r="AY717" t="s">
        <v>50</v>
      </c>
      <c r="AZ717" t="s">
        <v>51</v>
      </c>
      <c r="BA717" t="s">
        <v>52</v>
      </c>
      <c r="BQ717" t="s">
        <v>68</v>
      </c>
    </row>
    <row r="718" spans="1:84" x14ac:dyDescent="0.2">
      <c r="A718" t="s">
        <v>2865</v>
      </c>
      <c r="B718" t="s">
        <v>2286</v>
      </c>
      <c r="C718" t="s">
        <v>2875</v>
      </c>
      <c r="D718" t="s">
        <v>2876</v>
      </c>
      <c r="E718" t="s">
        <v>2877</v>
      </c>
      <c r="F718" t="s">
        <v>118</v>
      </c>
      <c r="G718" t="str">
        <f>HYPERLINK("https://vk.com/wall-385878_303397?reply=303500")</f>
        <v>https://vk.com/wall-385878_303397?reply=303500</v>
      </c>
      <c r="H718" t="s">
        <v>119</v>
      </c>
      <c r="I718" t="s">
        <v>2878</v>
      </c>
      <c r="J718" t="str">
        <f>HYPERLINK("http://vk.com/id20361301")</f>
        <v>http://vk.com/id20361301</v>
      </c>
      <c r="K718">
        <v>58</v>
      </c>
      <c r="L718" t="s">
        <v>151</v>
      </c>
      <c r="N718" t="s">
        <v>122</v>
      </c>
      <c r="O718" t="s">
        <v>1992</v>
      </c>
      <c r="P718" t="str">
        <f>HYPERLINK("http://vk.com/club385878")</f>
        <v>http://vk.com/club385878</v>
      </c>
      <c r="Q718">
        <v>12352</v>
      </c>
      <c r="R718" t="s">
        <v>124</v>
      </c>
      <c r="S718" t="s">
        <v>125</v>
      </c>
      <c r="T718" t="s">
        <v>137</v>
      </c>
      <c r="U718" t="s">
        <v>137</v>
      </c>
      <c r="AM718" t="s">
        <v>129</v>
      </c>
      <c r="AN718" t="s">
        <v>130</v>
      </c>
      <c r="AP718" t="s">
        <v>41</v>
      </c>
      <c r="AZ718" t="s">
        <v>51</v>
      </c>
      <c r="BA718" t="s">
        <v>52</v>
      </c>
      <c r="BK718" t="s">
        <v>62</v>
      </c>
    </row>
    <row r="719" spans="1:84" x14ac:dyDescent="0.2">
      <c r="A719" t="s">
        <v>2865</v>
      </c>
      <c r="B719" t="s">
        <v>2879</v>
      </c>
      <c r="C719" t="s">
        <v>2549</v>
      </c>
      <c r="D719" t="s">
        <v>2550</v>
      </c>
      <c r="E719" t="s">
        <v>2880</v>
      </c>
      <c r="F719" t="s">
        <v>180</v>
      </c>
      <c r="G719" t="str">
        <f>HYPERLINK("https://telesputnik.ru/forum/viewtopic.php?f=39&amp;t=57858&amp;start=1020#p2482611")</f>
        <v>https://telesputnik.ru/forum/viewtopic.php?f=39&amp;t=57858&amp;start=1020#p2482611</v>
      </c>
      <c r="H719" t="s">
        <v>228</v>
      </c>
      <c r="I719" t="s">
        <v>2881</v>
      </c>
      <c r="J719" t="str">
        <f>HYPERLINK("https://telesputnik.ru/forum/memberlist.php?mode=viewprofile&amp;u=174371")</f>
        <v>https://telesputnik.ru/forum/memberlist.php?mode=viewprofile&amp;u=174371</v>
      </c>
      <c r="N719" t="s">
        <v>335</v>
      </c>
      <c r="O719" t="s">
        <v>2553</v>
      </c>
      <c r="P719" t="str">
        <f>HYPERLINK("https://telesputnik.ru/forum/viewforum.php?f=39")</f>
        <v>https://telesputnik.ru/forum/viewforum.php?f=39</v>
      </c>
      <c r="R719" t="s">
        <v>295</v>
      </c>
      <c r="S719" t="s">
        <v>125</v>
      </c>
      <c r="AM719" t="s">
        <v>129</v>
      </c>
      <c r="AN719" t="s">
        <v>130</v>
      </c>
      <c r="AP719" t="s">
        <v>41</v>
      </c>
      <c r="AU719" t="s">
        <v>46</v>
      </c>
      <c r="AZ719" t="s">
        <v>51</v>
      </c>
      <c r="BA719" t="s">
        <v>52</v>
      </c>
      <c r="BR719" t="s">
        <v>69</v>
      </c>
    </row>
    <row r="720" spans="1:84" x14ac:dyDescent="0.2">
      <c r="A720" t="s">
        <v>2865</v>
      </c>
      <c r="B720" t="s">
        <v>2882</v>
      </c>
      <c r="C720" t="s">
        <v>2728</v>
      </c>
      <c r="D720" t="s">
        <v>2883</v>
      </c>
      <c r="E720" t="s">
        <v>2884</v>
      </c>
      <c r="F720" t="s">
        <v>180</v>
      </c>
      <c r="G720" t="str">
        <f>HYPERLINK("https://market.yandex.ru/product/484647126/reviews?id=135283611")</f>
        <v>https://market.yandex.ru/product/484647126/reviews?id=135283611</v>
      </c>
      <c r="H720" t="s">
        <v>181</v>
      </c>
      <c r="I720" t="s">
        <v>2885</v>
      </c>
      <c r="J720" t="str">
        <f>HYPERLINK("https://market.yandex.ru/user/7cxe5g8n3z4w1vr08tzadq5xgc/reviews")</f>
        <v>https://market.yandex.ru/user/7cxe5g8n3z4w1vr08tzadq5xgc/reviews</v>
      </c>
      <c r="L720" t="s">
        <v>121</v>
      </c>
      <c r="N720" t="s">
        <v>611</v>
      </c>
      <c r="O720" t="s">
        <v>2883</v>
      </c>
      <c r="P720" t="str">
        <f>HYPERLINK("https://market.yandex.ru/product/484647126")</f>
        <v>https://market.yandex.ru/product/484647126</v>
      </c>
      <c r="R720" t="s">
        <v>184</v>
      </c>
      <c r="S720" t="s">
        <v>125</v>
      </c>
      <c r="T720" t="s">
        <v>169</v>
      </c>
      <c r="U720" t="s">
        <v>169</v>
      </c>
      <c r="W720">
        <v>0</v>
      </c>
      <c r="X720">
        <v>0</v>
      </c>
      <c r="AH720">
        <v>5</v>
      </c>
      <c r="AM720" t="s">
        <v>129</v>
      </c>
      <c r="AN720" t="s">
        <v>130</v>
      </c>
      <c r="AP720" t="s">
        <v>41</v>
      </c>
      <c r="AT720" t="s">
        <v>45</v>
      </c>
      <c r="AW720" t="s">
        <v>48</v>
      </c>
      <c r="AZ720" t="s">
        <v>51</v>
      </c>
      <c r="BA720" t="s">
        <v>52</v>
      </c>
    </row>
    <row r="721" spans="1:67" x14ac:dyDescent="0.2">
      <c r="A721" t="s">
        <v>2865</v>
      </c>
      <c r="B721" t="s">
        <v>2882</v>
      </c>
      <c r="C721" t="s">
        <v>2886</v>
      </c>
      <c r="D721" t="s">
        <v>2887</v>
      </c>
      <c r="E721" t="s">
        <v>2888</v>
      </c>
      <c r="F721" t="s">
        <v>118</v>
      </c>
      <c r="G721" t="str">
        <f>HYPERLINK("https://www.youtube.com/watch?v=oe8KbW-FgHE&amp;lc=UgzYmLRM4CS0YOsWCwl4AaABAg")</f>
        <v>https://www.youtube.com/watch?v=oe8KbW-FgHE&amp;lc=UgzYmLRM4CS0YOsWCwl4AaABAg</v>
      </c>
      <c r="H721" t="s">
        <v>119</v>
      </c>
      <c r="I721" t="s">
        <v>2889</v>
      </c>
      <c r="J721" t="str">
        <f>HYPERLINK("https://www.youtube.com/channel/UCEJEWYTnJqn5I6DyvN5S-TQ")</f>
        <v>https://www.youtube.com/channel/UCEJEWYTnJqn5I6DyvN5S-TQ</v>
      </c>
      <c r="K721">
        <v>2</v>
      </c>
      <c r="N721" t="s">
        <v>248</v>
      </c>
      <c r="O721" t="s">
        <v>2890</v>
      </c>
      <c r="P721" t="str">
        <f>HYPERLINK("https://www.youtube.com/channel/UCW902tpkuubMuCfthhoUioQ")</f>
        <v>https://www.youtube.com/channel/UCW902tpkuubMuCfthhoUioQ</v>
      </c>
      <c r="Q721">
        <v>7030</v>
      </c>
      <c r="R721" t="s">
        <v>124</v>
      </c>
      <c r="S721" t="s">
        <v>125</v>
      </c>
      <c r="W721">
        <v>0</v>
      </c>
      <c r="X721">
        <v>0</v>
      </c>
      <c r="AE721">
        <v>0</v>
      </c>
      <c r="AM721" t="s">
        <v>129</v>
      </c>
      <c r="AN721" t="s">
        <v>130</v>
      </c>
      <c r="AP721" t="s">
        <v>41</v>
      </c>
      <c r="AU721" t="s">
        <v>46</v>
      </c>
      <c r="AZ721" t="s">
        <v>51</v>
      </c>
      <c r="BA721" t="s">
        <v>52</v>
      </c>
    </row>
    <row r="722" spans="1:67" x14ac:dyDescent="0.2">
      <c r="A722" t="s">
        <v>2865</v>
      </c>
      <c r="B722" t="s">
        <v>146</v>
      </c>
      <c r="C722" t="s">
        <v>2891</v>
      </c>
      <c r="D722" t="s">
        <v>2892</v>
      </c>
      <c r="E722" t="s">
        <v>2893</v>
      </c>
      <c r="F722" t="s">
        <v>180</v>
      </c>
      <c r="G722" t="str">
        <f>HYPERLINK("https://www.wildberries.ru/catalog/29273519/detail.aspx?targetUrl=ES#Comments")</f>
        <v>https://www.wildberries.ru/catalog/29273519/detail.aspx?targetUrl=ES#Comments</v>
      </c>
      <c r="H722" t="s">
        <v>181</v>
      </c>
      <c r="I722" t="s">
        <v>2894</v>
      </c>
      <c r="J722" t="str">
        <f>HYPERLINK("https://www.wildberries.ru/profile/w7TDssOkw7PCu8KywrPCs8K5wrjCscKywrg=")</f>
        <v>https://www.wildberries.ru/profile/w7TDssOkw7PCu8KywrPCs8K5wrjCscKywrg=</v>
      </c>
      <c r="L722" t="s">
        <v>151</v>
      </c>
      <c r="N722" t="s">
        <v>534</v>
      </c>
      <c r="O722" t="s">
        <v>2892</v>
      </c>
      <c r="P722" t="str">
        <f>HYPERLINK("https://www.wildberries.ru/catalog/21534797/detail.aspx")</f>
        <v>https://www.wildberries.ru/catalog/21534797/detail.aspx</v>
      </c>
      <c r="R722" t="s">
        <v>184</v>
      </c>
      <c r="S722" t="s">
        <v>125</v>
      </c>
      <c r="W722">
        <v>0</v>
      </c>
      <c r="X722">
        <v>0</v>
      </c>
      <c r="AH722">
        <v>5</v>
      </c>
      <c r="AM722" t="s">
        <v>129</v>
      </c>
      <c r="AN722" t="s">
        <v>130</v>
      </c>
      <c r="AP722" t="s">
        <v>41</v>
      </c>
      <c r="AT722" t="s">
        <v>45</v>
      </c>
      <c r="AY722" t="s">
        <v>50</v>
      </c>
      <c r="AZ722" t="s">
        <v>51</v>
      </c>
      <c r="BA722" t="s">
        <v>52</v>
      </c>
    </row>
    <row r="723" spans="1:67" x14ac:dyDescent="0.2">
      <c r="A723" t="s">
        <v>2865</v>
      </c>
      <c r="B723" t="s">
        <v>780</v>
      </c>
      <c r="C723" t="s">
        <v>2300</v>
      </c>
      <c r="D723" t="s">
        <v>608</v>
      </c>
      <c r="E723" t="s">
        <v>2895</v>
      </c>
      <c r="F723" t="s">
        <v>180</v>
      </c>
      <c r="G723" t="str">
        <f>HYPERLINK("https://market.yandex.ru/product/297157063/reviews?id=135282575")</f>
        <v>https://market.yandex.ru/product/297157063/reviews?id=135282575</v>
      </c>
      <c r="H723" t="s">
        <v>181</v>
      </c>
      <c r="I723" t="s">
        <v>2896</v>
      </c>
      <c r="J723" t="str">
        <f>HYPERLINK("https://market.yandex.ru/user/42162rt6t7v3z864uc88ufz3j0/reviews")</f>
        <v>https://market.yandex.ru/user/42162rt6t7v3z864uc88ufz3j0/reviews</v>
      </c>
      <c r="L723" t="s">
        <v>121</v>
      </c>
      <c r="N723" t="s">
        <v>611</v>
      </c>
      <c r="O723" t="s">
        <v>608</v>
      </c>
      <c r="P723" t="str">
        <f>HYPERLINK("https://market.yandex.ru/product/297157063")</f>
        <v>https://market.yandex.ru/product/297157063</v>
      </c>
      <c r="R723" t="s">
        <v>184</v>
      </c>
      <c r="S723" t="s">
        <v>125</v>
      </c>
      <c r="T723" t="s">
        <v>169</v>
      </c>
      <c r="U723" t="s">
        <v>169</v>
      </c>
      <c r="W723">
        <v>0</v>
      </c>
      <c r="X723">
        <v>0</v>
      </c>
      <c r="AH723">
        <v>5</v>
      </c>
      <c r="AM723" t="s">
        <v>129</v>
      </c>
      <c r="AN723" t="s">
        <v>130</v>
      </c>
      <c r="AP723" t="s">
        <v>41</v>
      </c>
      <c r="AT723" t="s">
        <v>45</v>
      </c>
      <c r="AZ723" t="s">
        <v>51</v>
      </c>
      <c r="BA723" t="s">
        <v>52</v>
      </c>
    </row>
    <row r="724" spans="1:67" x14ac:dyDescent="0.2">
      <c r="A724" t="s">
        <v>2865</v>
      </c>
      <c r="B724" t="s">
        <v>780</v>
      </c>
      <c r="C724" t="s">
        <v>2897</v>
      </c>
      <c r="D724" t="s">
        <v>2772</v>
      </c>
      <c r="E724" t="s">
        <v>2898</v>
      </c>
      <c r="F724" t="s">
        <v>118</v>
      </c>
      <c r="G724" t="str">
        <f>HYPERLINK("https://vk.com/wall-61101621_254782?reply=254833&amp;thread=254788")</f>
        <v>https://vk.com/wall-61101621_254782?reply=254833&amp;thread=254788</v>
      </c>
      <c r="H724" t="s">
        <v>119</v>
      </c>
      <c r="I724" t="s">
        <v>2899</v>
      </c>
      <c r="J724" t="str">
        <f>HYPERLINK("http://vk.com/id252524042")</f>
        <v>http://vk.com/id252524042</v>
      </c>
      <c r="K724">
        <v>204</v>
      </c>
      <c r="L724" t="s">
        <v>121</v>
      </c>
      <c r="N724" t="s">
        <v>122</v>
      </c>
      <c r="O724" t="s">
        <v>160</v>
      </c>
      <c r="P724" t="str">
        <f>HYPERLINK("http://vk.com/club61101621")</f>
        <v>http://vk.com/club61101621</v>
      </c>
      <c r="Q724">
        <v>21119</v>
      </c>
      <c r="R724" t="s">
        <v>124</v>
      </c>
      <c r="S724" t="s">
        <v>125</v>
      </c>
      <c r="T724" t="s">
        <v>428</v>
      </c>
      <c r="U724" t="s">
        <v>2900</v>
      </c>
      <c r="AM724" t="s">
        <v>129</v>
      </c>
      <c r="AN724" t="s">
        <v>130</v>
      </c>
      <c r="AP724" t="s">
        <v>41</v>
      </c>
      <c r="AU724" t="s">
        <v>46</v>
      </c>
      <c r="AZ724" t="s">
        <v>51</v>
      </c>
      <c r="BA724" t="s">
        <v>52</v>
      </c>
      <c r="BM724" t="s">
        <v>64</v>
      </c>
    </row>
    <row r="725" spans="1:67" x14ac:dyDescent="0.2">
      <c r="A725" t="s">
        <v>2865</v>
      </c>
      <c r="B725" t="s">
        <v>2901</v>
      </c>
      <c r="C725" t="s">
        <v>2549</v>
      </c>
      <c r="D725" t="s">
        <v>2550</v>
      </c>
      <c r="E725" t="s">
        <v>2902</v>
      </c>
      <c r="F725" t="s">
        <v>180</v>
      </c>
      <c r="G725" t="str">
        <f>HYPERLINK("https://telesputnik.ru/forum/viewtopic.php?f=39&amp;t=57858&amp;start=1020#p2482607")</f>
        <v>https://telesputnik.ru/forum/viewtopic.php?f=39&amp;t=57858&amp;start=1020#p2482607</v>
      </c>
      <c r="H725" t="s">
        <v>119</v>
      </c>
      <c r="I725" t="s">
        <v>2881</v>
      </c>
      <c r="J725" t="str">
        <f>HYPERLINK("https://telesputnik.ru/forum/memberlist.php?mode=viewprofile&amp;u=174371")</f>
        <v>https://telesputnik.ru/forum/memberlist.php?mode=viewprofile&amp;u=174371</v>
      </c>
      <c r="N725" t="s">
        <v>335</v>
      </c>
      <c r="O725" t="s">
        <v>2553</v>
      </c>
      <c r="P725" t="str">
        <f>HYPERLINK("https://telesputnik.ru/forum/viewforum.php?f=39")</f>
        <v>https://telesputnik.ru/forum/viewforum.php?f=39</v>
      </c>
      <c r="R725" t="s">
        <v>295</v>
      </c>
      <c r="S725" t="s">
        <v>125</v>
      </c>
      <c r="AM725" t="s">
        <v>129</v>
      </c>
      <c r="AN725" t="s">
        <v>130</v>
      </c>
      <c r="AP725" t="s">
        <v>41</v>
      </c>
      <c r="AU725" t="s">
        <v>46</v>
      </c>
      <c r="AY725" t="s">
        <v>50</v>
      </c>
      <c r="AZ725" t="s">
        <v>51</v>
      </c>
      <c r="BA725" t="s">
        <v>52</v>
      </c>
    </row>
    <row r="726" spans="1:67" x14ac:dyDescent="0.2">
      <c r="A726" t="s">
        <v>2865</v>
      </c>
      <c r="B726" t="s">
        <v>2903</v>
      </c>
      <c r="C726" t="s">
        <v>2904</v>
      </c>
      <c r="D726" t="s">
        <v>1377</v>
      </c>
      <c r="E726" t="s">
        <v>2905</v>
      </c>
      <c r="F726" t="s">
        <v>118</v>
      </c>
      <c r="G726" t="str">
        <f>HYPERLINK("https://vk.com/wall-22935147_368668?w=wall-22935147_368668_r368672")</f>
        <v>https://vk.com/wall-22935147_368668?w=wall-22935147_368668_r368672</v>
      </c>
      <c r="H726" t="s">
        <v>119</v>
      </c>
      <c r="I726" t="s">
        <v>2906</v>
      </c>
      <c r="J726" t="str">
        <f>HYPERLINK("http://vk.com/id72308876")</f>
        <v>http://vk.com/id72308876</v>
      </c>
      <c r="K726">
        <v>466</v>
      </c>
      <c r="L726" t="s">
        <v>121</v>
      </c>
      <c r="M726">
        <v>36</v>
      </c>
      <c r="N726" t="s">
        <v>122</v>
      </c>
      <c r="O726" t="s">
        <v>1093</v>
      </c>
      <c r="P726" t="str">
        <f>HYPERLINK("http://vk.com/club22935147")</f>
        <v>http://vk.com/club22935147</v>
      </c>
      <c r="Q726">
        <v>8943</v>
      </c>
      <c r="R726" t="s">
        <v>124</v>
      </c>
      <c r="S726" t="s">
        <v>125</v>
      </c>
      <c r="T726" t="s">
        <v>1365</v>
      </c>
      <c r="U726" t="s">
        <v>2907</v>
      </c>
      <c r="W726">
        <v>0</v>
      </c>
      <c r="X726">
        <v>0</v>
      </c>
      <c r="AM726" t="s">
        <v>129</v>
      </c>
      <c r="AN726" t="s">
        <v>130</v>
      </c>
      <c r="AP726" t="s">
        <v>41</v>
      </c>
      <c r="AU726" t="s">
        <v>46</v>
      </c>
      <c r="AZ726" t="s">
        <v>51</v>
      </c>
      <c r="BA726" t="s">
        <v>52</v>
      </c>
    </row>
    <row r="727" spans="1:67" x14ac:dyDescent="0.2">
      <c r="A727" t="s">
        <v>2865</v>
      </c>
      <c r="B727" t="s">
        <v>2908</v>
      </c>
      <c r="C727" t="s">
        <v>2909</v>
      </c>
      <c r="D727" t="s">
        <v>2876</v>
      </c>
      <c r="E727" t="s">
        <v>2910</v>
      </c>
      <c r="F727" t="s">
        <v>118</v>
      </c>
      <c r="G727" t="str">
        <f>HYPERLINK("https://vk.com/wall-385878_303397?reply=303454")</f>
        <v>https://vk.com/wall-385878_303397?reply=303454</v>
      </c>
      <c r="H727" t="s">
        <v>119</v>
      </c>
      <c r="I727" t="s">
        <v>2911</v>
      </c>
      <c r="J727" t="str">
        <f>HYPERLINK("http://vk.com/id372024493")</f>
        <v>http://vk.com/id372024493</v>
      </c>
      <c r="K727">
        <v>40</v>
      </c>
      <c r="L727" t="s">
        <v>121</v>
      </c>
      <c r="M727">
        <v>55</v>
      </c>
      <c r="N727" t="s">
        <v>122</v>
      </c>
      <c r="O727" t="s">
        <v>1992</v>
      </c>
      <c r="P727" t="str">
        <f>HYPERLINK("http://vk.com/club385878")</f>
        <v>http://vk.com/club385878</v>
      </c>
      <c r="Q727">
        <v>12352</v>
      </c>
      <c r="R727" t="s">
        <v>124</v>
      </c>
      <c r="S727" t="s">
        <v>125</v>
      </c>
      <c r="T727" t="s">
        <v>137</v>
      </c>
      <c r="U727" t="s">
        <v>137</v>
      </c>
      <c r="AM727" t="s">
        <v>129</v>
      </c>
      <c r="AN727" t="s">
        <v>130</v>
      </c>
      <c r="AP727" t="s">
        <v>41</v>
      </c>
      <c r="AZ727" t="s">
        <v>51</v>
      </c>
      <c r="BA727" t="s">
        <v>52</v>
      </c>
      <c r="BK727" t="s">
        <v>62</v>
      </c>
      <c r="BL727" t="s">
        <v>63</v>
      </c>
    </row>
    <row r="728" spans="1:67" x14ac:dyDescent="0.2">
      <c r="A728" t="s">
        <v>2865</v>
      </c>
      <c r="B728" t="s">
        <v>2912</v>
      </c>
      <c r="C728" t="s">
        <v>2913</v>
      </c>
      <c r="D728" t="s">
        <v>2871</v>
      </c>
      <c r="E728" t="s">
        <v>2914</v>
      </c>
      <c r="F728" t="s">
        <v>118</v>
      </c>
      <c r="G728" t="str">
        <f>HYPERLINK("https://vk.com/wall-186674927_12384?reply=12442")</f>
        <v>https://vk.com/wall-186674927_12384?reply=12442</v>
      </c>
      <c r="H728" t="s">
        <v>119</v>
      </c>
      <c r="I728" t="s">
        <v>1877</v>
      </c>
      <c r="J728" t="str">
        <f>HYPERLINK("http://vk.com/id27926570")</f>
        <v>http://vk.com/id27926570</v>
      </c>
      <c r="K728">
        <v>200</v>
      </c>
      <c r="L728" t="s">
        <v>121</v>
      </c>
      <c r="N728" t="s">
        <v>122</v>
      </c>
      <c r="O728" t="s">
        <v>358</v>
      </c>
      <c r="P728" t="str">
        <f>HYPERLINK("http://vk.com/club186674927")</f>
        <v>http://vk.com/club186674927</v>
      </c>
      <c r="Q728">
        <v>706</v>
      </c>
      <c r="R728" t="s">
        <v>124</v>
      </c>
      <c r="S728" t="s">
        <v>125</v>
      </c>
      <c r="AM728" t="s">
        <v>129</v>
      </c>
      <c r="AN728" t="s">
        <v>130</v>
      </c>
      <c r="AP728" t="s">
        <v>41</v>
      </c>
      <c r="AZ728" t="s">
        <v>51</v>
      </c>
      <c r="BA728" t="s">
        <v>52</v>
      </c>
      <c r="BL728" t="s">
        <v>63</v>
      </c>
    </row>
    <row r="729" spans="1:67" x14ac:dyDescent="0.2">
      <c r="A729" t="s">
        <v>2865</v>
      </c>
      <c r="B729" t="s">
        <v>2354</v>
      </c>
      <c r="C729" t="s">
        <v>2915</v>
      </c>
      <c r="D729" t="s">
        <v>2916</v>
      </c>
      <c r="E729" t="s">
        <v>2917</v>
      </c>
      <c r="F729" t="s">
        <v>118</v>
      </c>
      <c r="G729" t="str">
        <f>HYPERLINK("https://vk.com/wall-29559271_5007611?reply=5011776")</f>
        <v>https://vk.com/wall-29559271_5007611?reply=5011776</v>
      </c>
      <c r="H729" t="s">
        <v>119</v>
      </c>
      <c r="I729" t="s">
        <v>2918</v>
      </c>
      <c r="J729" t="str">
        <f>HYPERLINK("http://vk.com/id661318767")</f>
        <v>http://vk.com/id661318767</v>
      </c>
      <c r="K729">
        <v>1</v>
      </c>
      <c r="L729" t="s">
        <v>151</v>
      </c>
      <c r="M729">
        <v>72</v>
      </c>
      <c r="N729" t="s">
        <v>122</v>
      </c>
      <c r="O729" t="s">
        <v>2919</v>
      </c>
      <c r="P729" t="str">
        <f>HYPERLINK("http://vk.com/club29559271")</f>
        <v>http://vk.com/club29559271</v>
      </c>
      <c r="Q729">
        <v>5262354</v>
      </c>
      <c r="R729" t="s">
        <v>124</v>
      </c>
      <c r="S729" t="s">
        <v>125</v>
      </c>
      <c r="AM729" t="s">
        <v>129</v>
      </c>
      <c r="AN729" t="s">
        <v>130</v>
      </c>
      <c r="AP729" t="s">
        <v>41</v>
      </c>
      <c r="AT729" t="s">
        <v>45</v>
      </c>
      <c r="AZ729" t="s">
        <v>51</v>
      </c>
      <c r="BA729" t="s">
        <v>52</v>
      </c>
    </row>
    <row r="730" spans="1:67" x14ac:dyDescent="0.2">
      <c r="A730" t="s">
        <v>2865</v>
      </c>
      <c r="B730" t="s">
        <v>208</v>
      </c>
      <c r="C730" t="s">
        <v>2920</v>
      </c>
      <c r="D730" t="s">
        <v>2921</v>
      </c>
      <c r="E730" t="s">
        <v>2922</v>
      </c>
      <c r="F730" t="s">
        <v>118</v>
      </c>
      <c r="G730" t="str">
        <f>HYPERLINK("https://vk.com/wall-152071475_439590?reply=439608")</f>
        <v>https://vk.com/wall-152071475_439590?reply=439608</v>
      </c>
      <c r="H730" t="s">
        <v>119</v>
      </c>
      <c r="I730" t="s">
        <v>2923</v>
      </c>
      <c r="J730" t="str">
        <f>HYPERLINK("http://vk.com/id307336787")</f>
        <v>http://vk.com/id307336787</v>
      </c>
      <c r="K730">
        <v>1</v>
      </c>
      <c r="L730" t="s">
        <v>121</v>
      </c>
      <c r="M730">
        <v>25</v>
      </c>
      <c r="N730" t="s">
        <v>122</v>
      </c>
      <c r="O730" t="s">
        <v>2924</v>
      </c>
      <c r="P730" t="str">
        <f>HYPERLINK("http://vk.com/club152071475")</f>
        <v>http://vk.com/club152071475</v>
      </c>
      <c r="Q730">
        <v>271357</v>
      </c>
      <c r="R730" t="s">
        <v>124</v>
      </c>
      <c r="S730" t="s">
        <v>125</v>
      </c>
      <c r="T730" t="s">
        <v>137</v>
      </c>
      <c r="U730" t="s">
        <v>137</v>
      </c>
      <c r="AM730" t="s">
        <v>129</v>
      </c>
      <c r="AN730" t="s">
        <v>130</v>
      </c>
      <c r="AP730" t="s">
        <v>41</v>
      </c>
      <c r="AT730" t="s">
        <v>45</v>
      </c>
      <c r="AZ730" t="s">
        <v>51</v>
      </c>
      <c r="BA730" t="s">
        <v>52</v>
      </c>
    </row>
    <row r="731" spans="1:67" x14ac:dyDescent="0.2">
      <c r="A731" t="s">
        <v>2865</v>
      </c>
      <c r="B731" t="s">
        <v>2360</v>
      </c>
      <c r="C731" t="s">
        <v>2925</v>
      </c>
      <c r="D731" t="s">
        <v>2926</v>
      </c>
      <c r="E731" t="s">
        <v>2927</v>
      </c>
      <c r="F731" t="s">
        <v>180</v>
      </c>
      <c r="G731" t="str">
        <f>HYPERLINK("https://telesputnik.ru/forum/viewtopic.php?f=7&amp;t=84722#p2482596")</f>
        <v>https://telesputnik.ru/forum/viewtopic.php?f=7&amp;t=84722#p2482596</v>
      </c>
      <c r="H731" t="s">
        <v>119</v>
      </c>
      <c r="I731" t="s">
        <v>334</v>
      </c>
      <c r="J731" t="str">
        <f>HYPERLINK("https://telesputnik.ru/forum/memberlist.php?mode=viewprofile&amp;u=330723")</f>
        <v>https://telesputnik.ru/forum/memberlist.php?mode=viewprofile&amp;u=330723</v>
      </c>
      <c r="N731" t="s">
        <v>335</v>
      </c>
      <c r="O731" t="s">
        <v>1126</v>
      </c>
      <c r="P731" t="str">
        <f>HYPERLINK("https://telesputnik.ru/forum/viewforum.php?f=7")</f>
        <v>https://telesputnik.ru/forum/viewforum.php?f=7</v>
      </c>
      <c r="R731" t="s">
        <v>295</v>
      </c>
      <c r="S731" t="s">
        <v>125</v>
      </c>
      <c r="AM731" t="s">
        <v>129</v>
      </c>
      <c r="AN731" t="s">
        <v>130</v>
      </c>
      <c r="AP731" t="s">
        <v>41</v>
      </c>
      <c r="AY731" t="s">
        <v>50</v>
      </c>
      <c r="AZ731" t="s">
        <v>51</v>
      </c>
      <c r="BA731" t="s">
        <v>52</v>
      </c>
      <c r="BL731" t="s">
        <v>63</v>
      </c>
      <c r="BO731" t="s">
        <v>66</v>
      </c>
    </row>
    <row r="732" spans="1:67" x14ac:dyDescent="0.2">
      <c r="A732" t="s">
        <v>2865</v>
      </c>
      <c r="B732" t="s">
        <v>2928</v>
      </c>
      <c r="C732" t="s">
        <v>2929</v>
      </c>
      <c r="D732" t="s">
        <v>2930</v>
      </c>
      <c r="E732" t="s">
        <v>2931</v>
      </c>
      <c r="F732" t="s">
        <v>118</v>
      </c>
      <c r="G732" t="str">
        <f>HYPERLINK("https://vk.com/wall-61202858_1087241?reply=1087323&amp;thread=1087305")</f>
        <v>https://vk.com/wall-61202858_1087241?reply=1087323&amp;thread=1087305</v>
      </c>
      <c r="H732" t="s">
        <v>119</v>
      </c>
      <c r="I732" t="s">
        <v>2932</v>
      </c>
      <c r="J732" t="str">
        <f>HYPERLINK("http://vk.com/id122490503")</f>
        <v>http://vk.com/id122490503</v>
      </c>
      <c r="K732">
        <v>10</v>
      </c>
      <c r="L732" t="s">
        <v>121</v>
      </c>
      <c r="N732" t="s">
        <v>122</v>
      </c>
      <c r="O732" t="s">
        <v>2933</v>
      </c>
      <c r="P732" t="str">
        <f>HYPERLINK("http://vk.com/club61202858")</f>
        <v>http://vk.com/club61202858</v>
      </c>
      <c r="Q732">
        <v>28906</v>
      </c>
      <c r="R732" t="s">
        <v>124</v>
      </c>
      <c r="S732" t="s">
        <v>125</v>
      </c>
      <c r="AM732" t="s">
        <v>129</v>
      </c>
      <c r="AN732" t="s">
        <v>130</v>
      </c>
      <c r="AP732" t="s">
        <v>41</v>
      </c>
      <c r="AT732" t="s">
        <v>45</v>
      </c>
      <c r="AZ732" t="s">
        <v>51</v>
      </c>
      <c r="BA732" t="s">
        <v>52</v>
      </c>
      <c r="BM732" t="s">
        <v>64</v>
      </c>
    </row>
    <row r="733" spans="1:67" x14ac:dyDescent="0.2">
      <c r="A733" t="s">
        <v>2865</v>
      </c>
      <c r="B733" t="s">
        <v>221</v>
      </c>
      <c r="C733" t="s">
        <v>2934</v>
      </c>
      <c r="D733" t="s">
        <v>129</v>
      </c>
      <c r="E733" t="s">
        <v>1377</v>
      </c>
      <c r="F733" t="s">
        <v>180</v>
      </c>
      <c r="G733" t="str">
        <f>HYPERLINK("https://vk.com/wall-22935147_368668")</f>
        <v>https://vk.com/wall-22935147_368668</v>
      </c>
      <c r="H733" t="s">
        <v>119</v>
      </c>
      <c r="I733" t="s">
        <v>2935</v>
      </c>
      <c r="J733" t="str">
        <f>HYPERLINK("http://vk.com/id288844140")</f>
        <v>http://vk.com/id288844140</v>
      </c>
      <c r="K733">
        <v>73</v>
      </c>
      <c r="L733" t="s">
        <v>121</v>
      </c>
      <c r="M733">
        <v>35</v>
      </c>
      <c r="N733" t="s">
        <v>122</v>
      </c>
      <c r="O733" t="s">
        <v>1093</v>
      </c>
      <c r="P733" t="str">
        <f>HYPERLINK("http://vk.com/club22935147")</f>
        <v>http://vk.com/club22935147</v>
      </c>
      <c r="Q733">
        <v>8943</v>
      </c>
      <c r="R733" t="s">
        <v>124</v>
      </c>
      <c r="S733" t="s">
        <v>125</v>
      </c>
      <c r="T733" t="s">
        <v>212</v>
      </c>
      <c r="U733" t="s">
        <v>2936</v>
      </c>
      <c r="W733">
        <v>7</v>
      </c>
      <c r="X733">
        <v>7</v>
      </c>
      <c r="AE733">
        <v>11</v>
      </c>
      <c r="AF733">
        <v>0</v>
      </c>
      <c r="AG733">
        <v>1890</v>
      </c>
      <c r="AM733" t="s">
        <v>129</v>
      </c>
      <c r="AN733" t="s">
        <v>130</v>
      </c>
      <c r="AP733" t="s">
        <v>41</v>
      </c>
      <c r="AU733" t="s">
        <v>46</v>
      </c>
      <c r="AZ733" t="s">
        <v>51</v>
      </c>
      <c r="BA733" t="s">
        <v>52</v>
      </c>
    </row>
    <row r="734" spans="1:67" x14ac:dyDescent="0.2">
      <c r="A734" t="s">
        <v>2865</v>
      </c>
      <c r="B734" t="s">
        <v>819</v>
      </c>
      <c r="C734" t="s">
        <v>2937</v>
      </c>
      <c r="D734" t="s">
        <v>2930</v>
      </c>
      <c r="E734" t="s">
        <v>2938</v>
      </c>
      <c r="F734" t="s">
        <v>118</v>
      </c>
      <c r="G734" t="str">
        <f>HYPERLINK("https://vk.com/wall-61202858_1087241?reply=1087305")</f>
        <v>https://vk.com/wall-61202858_1087241?reply=1087305</v>
      </c>
      <c r="H734" t="s">
        <v>119</v>
      </c>
      <c r="I734" t="s">
        <v>2939</v>
      </c>
      <c r="J734" t="str">
        <f>HYPERLINK("http://vk.com/id209670954")</f>
        <v>http://vk.com/id209670954</v>
      </c>
      <c r="K734">
        <v>75</v>
      </c>
      <c r="L734" t="s">
        <v>121</v>
      </c>
      <c r="M734">
        <v>43</v>
      </c>
      <c r="N734" t="s">
        <v>122</v>
      </c>
      <c r="O734" t="s">
        <v>2933</v>
      </c>
      <c r="P734" t="str">
        <f>HYPERLINK("http://vk.com/club61202858")</f>
        <v>http://vk.com/club61202858</v>
      </c>
      <c r="Q734">
        <v>28906</v>
      </c>
      <c r="R734" t="s">
        <v>124</v>
      </c>
      <c r="S734" t="s">
        <v>125</v>
      </c>
      <c r="T734" t="s">
        <v>627</v>
      </c>
      <c r="U734" t="s">
        <v>2940</v>
      </c>
      <c r="AM734" t="s">
        <v>129</v>
      </c>
      <c r="AN734" t="s">
        <v>130</v>
      </c>
      <c r="AP734" t="s">
        <v>41</v>
      </c>
      <c r="AZ734" t="s">
        <v>51</v>
      </c>
      <c r="BA734" t="s">
        <v>52</v>
      </c>
      <c r="BM734" t="s">
        <v>64</v>
      </c>
    </row>
    <row r="735" spans="1:67" x14ac:dyDescent="0.2">
      <c r="A735" t="s">
        <v>2865</v>
      </c>
      <c r="B735" t="s">
        <v>2941</v>
      </c>
      <c r="C735" t="s">
        <v>2937</v>
      </c>
      <c r="D735" t="s">
        <v>2942</v>
      </c>
      <c r="E735" t="s">
        <v>2943</v>
      </c>
      <c r="F735" t="s">
        <v>180</v>
      </c>
      <c r="G735" t="str">
        <f>HYPERLINK("https://www.otzyvru.com/3-kolor-tv/review-995676")</f>
        <v>https://www.otzyvru.com/3-kolor-tv/review-995676</v>
      </c>
      <c r="H735" t="s">
        <v>228</v>
      </c>
      <c r="I735" t="s">
        <v>2944</v>
      </c>
      <c r="J735" t="str">
        <f>HYPERLINK("https://www.otzyvru.com/3-kolor-tv/review-995676")</f>
        <v>https://www.otzyvru.com/3-kolor-tv/review-995676</v>
      </c>
      <c r="N735" t="s">
        <v>2945</v>
      </c>
      <c r="O735" t="s">
        <v>2946</v>
      </c>
      <c r="P735" t="str">
        <f>HYPERLINK("https://www.otzyvru.com/3-kolor-tv")</f>
        <v>https://www.otzyvru.com/3-kolor-tv</v>
      </c>
      <c r="R735" t="s">
        <v>184</v>
      </c>
      <c r="S735" t="s">
        <v>125</v>
      </c>
      <c r="AG735">
        <v>0</v>
      </c>
      <c r="AH735">
        <v>2</v>
      </c>
      <c r="AM735" t="s">
        <v>129</v>
      </c>
      <c r="AN735" t="s">
        <v>130</v>
      </c>
      <c r="AP735" t="s">
        <v>41</v>
      </c>
      <c r="AY735" t="s">
        <v>50</v>
      </c>
      <c r="AZ735" t="s">
        <v>51</v>
      </c>
      <c r="BA735" t="s">
        <v>52</v>
      </c>
    </row>
    <row r="736" spans="1:67" x14ac:dyDescent="0.2">
      <c r="A736" t="s">
        <v>2865</v>
      </c>
      <c r="B736" t="s">
        <v>2947</v>
      </c>
      <c r="C736" t="s">
        <v>2948</v>
      </c>
      <c r="D736" t="s">
        <v>2949</v>
      </c>
      <c r="E736" t="s">
        <v>2950</v>
      </c>
      <c r="F736" t="s">
        <v>180</v>
      </c>
      <c r="G736" t="str">
        <f>HYPERLINK("https://www.ozon.ru/context/detail/id/242437615/#62274998")</f>
        <v>https://www.ozon.ru/context/detail/id/242437615/#62274998</v>
      </c>
      <c r="H736" t="s">
        <v>119</v>
      </c>
      <c r="I736" t="s">
        <v>2951</v>
      </c>
      <c r="J736" t="str">
        <f>HYPERLINK("https://www.ozon.ru/context/client_opinion/ClientGuid/65b6fc3b-3647-412f-8800-a850b3d9e0cc/")</f>
        <v>https://www.ozon.ru/context/client_opinion/ClientGuid/65b6fc3b-3647-412f-8800-a850b3d9e0cc/</v>
      </c>
      <c r="L736" t="s">
        <v>121</v>
      </c>
      <c r="N736" t="s">
        <v>183</v>
      </c>
      <c r="O736" t="s">
        <v>2949</v>
      </c>
      <c r="P736" t="str">
        <f>HYPERLINK("https://www.ozon.ru/context/detail/id/242437615/")</f>
        <v>https://www.ozon.ru/context/detail/id/242437615/</v>
      </c>
      <c r="R736" t="s">
        <v>184</v>
      </c>
      <c r="S736" t="s">
        <v>125</v>
      </c>
      <c r="W736">
        <v>0</v>
      </c>
      <c r="X736">
        <v>0</v>
      </c>
      <c r="AH736">
        <v>2</v>
      </c>
      <c r="AM736" t="s">
        <v>129</v>
      </c>
      <c r="AN736" t="s">
        <v>130</v>
      </c>
      <c r="AP736" t="s">
        <v>41</v>
      </c>
      <c r="AT736" t="s">
        <v>45</v>
      </c>
      <c r="AW736" t="s">
        <v>48</v>
      </c>
      <c r="AZ736" t="s">
        <v>51</v>
      </c>
      <c r="BL736" t="s">
        <v>63</v>
      </c>
    </row>
    <row r="737" spans="1:65" x14ac:dyDescent="0.2">
      <c r="A737" t="s">
        <v>2865</v>
      </c>
      <c r="B737" t="s">
        <v>275</v>
      </c>
      <c r="C737" t="s">
        <v>2952</v>
      </c>
      <c r="D737" t="s">
        <v>2953</v>
      </c>
      <c r="E737" t="s">
        <v>2954</v>
      </c>
      <c r="F737" t="s">
        <v>118</v>
      </c>
      <c r="G737" t="str">
        <f>HYPERLINK("https://vk.com/wall-61101621_254612?reply=254828&amp;thread=254614")</f>
        <v>https://vk.com/wall-61101621_254612?reply=254828&amp;thread=254614</v>
      </c>
      <c r="H737" t="s">
        <v>119</v>
      </c>
      <c r="I737" t="s">
        <v>2436</v>
      </c>
      <c r="J737" t="str">
        <f>HYPERLINK("http://vk.com/id8629942")</f>
        <v>http://vk.com/id8629942</v>
      </c>
      <c r="K737">
        <v>627</v>
      </c>
      <c r="L737" t="s">
        <v>121</v>
      </c>
      <c r="N737" t="s">
        <v>122</v>
      </c>
      <c r="O737" t="s">
        <v>160</v>
      </c>
      <c r="P737" t="str">
        <f>HYPERLINK("http://vk.com/club61101621")</f>
        <v>http://vk.com/club61101621</v>
      </c>
      <c r="Q737">
        <v>21119</v>
      </c>
      <c r="R737" t="s">
        <v>124</v>
      </c>
      <c r="S737" t="s">
        <v>125</v>
      </c>
      <c r="AM737" t="s">
        <v>129</v>
      </c>
      <c r="AN737" t="s">
        <v>130</v>
      </c>
      <c r="AP737" t="s">
        <v>41</v>
      </c>
      <c r="AU737" t="s">
        <v>46</v>
      </c>
      <c r="AZ737" t="s">
        <v>51</v>
      </c>
      <c r="BA737" t="s">
        <v>52</v>
      </c>
      <c r="BM737" t="s">
        <v>64</v>
      </c>
    </row>
    <row r="738" spans="1:65" x14ac:dyDescent="0.2">
      <c r="A738" t="s">
        <v>2865</v>
      </c>
      <c r="B738" t="s">
        <v>2955</v>
      </c>
      <c r="C738" t="s">
        <v>2956</v>
      </c>
      <c r="D738" t="s">
        <v>1660</v>
      </c>
      <c r="E738" t="s">
        <v>2957</v>
      </c>
      <c r="F738" t="s">
        <v>118</v>
      </c>
      <c r="G738" t="str">
        <f>HYPERLINK("https://vk.com/topic-14098618_30777922?post=2005")</f>
        <v>https://vk.com/topic-14098618_30777922?post=2005</v>
      </c>
      <c r="H738" t="s">
        <v>119</v>
      </c>
      <c r="I738" t="s">
        <v>2958</v>
      </c>
      <c r="J738" t="str">
        <f>HYPERLINK("http://vk.com/id155336905")</f>
        <v>http://vk.com/id155336905</v>
      </c>
      <c r="K738">
        <v>428</v>
      </c>
      <c r="L738" t="s">
        <v>151</v>
      </c>
      <c r="N738" t="s">
        <v>122</v>
      </c>
      <c r="O738" t="s">
        <v>1663</v>
      </c>
      <c r="P738" t="str">
        <f>HYPERLINK("http://vk.com/club14098618")</f>
        <v>http://vk.com/club14098618</v>
      </c>
      <c r="Q738">
        <v>4681</v>
      </c>
      <c r="R738" t="s">
        <v>124</v>
      </c>
      <c r="S738" t="s">
        <v>125</v>
      </c>
      <c r="T738" t="s">
        <v>137</v>
      </c>
      <c r="U738" t="s">
        <v>137</v>
      </c>
      <c r="AM738" t="s">
        <v>129</v>
      </c>
      <c r="AN738" t="s">
        <v>130</v>
      </c>
      <c r="AP738" t="s">
        <v>41</v>
      </c>
      <c r="AU738" t="s">
        <v>46</v>
      </c>
      <c r="AW738" t="s">
        <v>48</v>
      </c>
      <c r="AZ738" t="s">
        <v>51</v>
      </c>
      <c r="BA738" t="s">
        <v>52</v>
      </c>
    </row>
    <row r="739" spans="1:65" x14ac:dyDescent="0.2">
      <c r="A739" t="s">
        <v>2865</v>
      </c>
      <c r="B739" t="s">
        <v>2955</v>
      </c>
      <c r="C739" t="s">
        <v>2959</v>
      </c>
      <c r="D739" t="s">
        <v>129</v>
      </c>
      <c r="E739" t="s">
        <v>2960</v>
      </c>
      <c r="F739" t="s">
        <v>180</v>
      </c>
      <c r="G739" t="str">
        <f>HYPERLINK("https://twitter.com/314458375/status/1419689512045789192")</f>
        <v>https://twitter.com/314458375/status/1419689512045789192</v>
      </c>
      <c r="H739" t="s">
        <v>119</v>
      </c>
      <c r="I739" t="s">
        <v>2961</v>
      </c>
      <c r="J739" t="str">
        <f>HYPERLINK("http://twitter.com/AEsaulkov")</f>
        <v>http://twitter.com/AEsaulkov</v>
      </c>
      <c r="K739">
        <v>873</v>
      </c>
      <c r="N739" t="s">
        <v>350</v>
      </c>
      <c r="R739" t="s">
        <v>124</v>
      </c>
      <c r="S739" t="s">
        <v>125</v>
      </c>
      <c r="W739">
        <v>0</v>
      </c>
      <c r="X739">
        <v>0</v>
      </c>
      <c r="AE739">
        <v>0</v>
      </c>
      <c r="AF739">
        <v>0</v>
      </c>
      <c r="AM739" t="s">
        <v>129</v>
      </c>
      <c r="AN739" t="s">
        <v>130</v>
      </c>
      <c r="AP739" t="s">
        <v>41</v>
      </c>
      <c r="AU739" t="s">
        <v>46</v>
      </c>
      <c r="AW739" t="s">
        <v>48</v>
      </c>
      <c r="AY739" t="s">
        <v>50</v>
      </c>
      <c r="AZ739" t="s">
        <v>51</v>
      </c>
      <c r="BA739" t="s">
        <v>52</v>
      </c>
    </row>
    <row r="740" spans="1:65" x14ac:dyDescent="0.2">
      <c r="A740" t="s">
        <v>2865</v>
      </c>
      <c r="B740" t="s">
        <v>1969</v>
      </c>
      <c r="C740" t="s">
        <v>2962</v>
      </c>
      <c r="D740" t="s">
        <v>2752</v>
      </c>
      <c r="E740" t="s">
        <v>2963</v>
      </c>
      <c r="F740" t="s">
        <v>118</v>
      </c>
      <c r="G740" t="str">
        <f>HYPERLINK("https://vk.com/wall-27863223_292197?reply=292199")</f>
        <v>https://vk.com/wall-27863223_292197?reply=292199</v>
      </c>
      <c r="H740" t="s">
        <v>119</v>
      </c>
      <c r="I740" t="s">
        <v>2964</v>
      </c>
      <c r="J740" t="str">
        <f>HYPERLINK("http://vk.com/id324014201")</f>
        <v>http://vk.com/id324014201</v>
      </c>
      <c r="K740">
        <v>62</v>
      </c>
      <c r="L740" t="s">
        <v>121</v>
      </c>
      <c r="M740">
        <v>23</v>
      </c>
      <c r="N740" t="s">
        <v>122</v>
      </c>
      <c r="O740" t="s">
        <v>175</v>
      </c>
      <c r="P740" t="str">
        <f>HYPERLINK("http://vk.com/club27863223")</f>
        <v>http://vk.com/club27863223</v>
      </c>
      <c r="Q740">
        <v>134698</v>
      </c>
      <c r="R740" t="s">
        <v>124</v>
      </c>
      <c r="S740" t="s">
        <v>125</v>
      </c>
      <c r="T740" t="s">
        <v>237</v>
      </c>
      <c r="U740" t="s">
        <v>238</v>
      </c>
      <c r="W740">
        <v>0</v>
      </c>
      <c r="X740">
        <v>0</v>
      </c>
      <c r="AM740" t="s">
        <v>129</v>
      </c>
      <c r="AN740" t="s">
        <v>130</v>
      </c>
      <c r="AP740" t="s">
        <v>41</v>
      </c>
      <c r="AU740" t="s">
        <v>46</v>
      </c>
      <c r="AZ740" t="s">
        <v>51</v>
      </c>
      <c r="BA740" t="s">
        <v>52</v>
      </c>
    </row>
    <row r="741" spans="1:65" x14ac:dyDescent="0.2">
      <c r="A741" t="s">
        <v>2865</v>
      </c>
      <c r="B741" t="s">
        <v>2965</v>
      </c>
      <c r="C741" t="s">
        <v>2966</v>
      </c>
      <c r="D741" t="s">
        <v>2967</v>
      </c>
      <c r="E741" t="s">
        <v>2968</v>
      </c>
      <c r="F741" t="s">
        <v>118</v>
      </c>
      <c r="G741" t="str">
        <f>HYPERLINK("https://vk.com/wall-93167549_121858?reply=121925&amp;thread=121884")</f>
        <v>https://vk.com/wall-93167549_121858?reply=121925&amp;thread=121884</v>
      </c>
      <c r="H741" t="s">
        <v>181</v>
      </c>
      <c r="I741" t="s">
        <v>2969</v>
      </c>
      <c r="J741" t="str">
        <f>HYPERLINK("http://vk.com/id463901665")</f>
        <v>http://vk.com/id463901665</v>
      </c>
      <c r="K741">
        <v>182</v>
      </c>
      <c r="L741" t="s">
        <v>151</v>
      </c>
      <c r="M741">
        <v>42</v>
      </c>
      <c r="N741" t="s">
        <v>122</v>
      </c>
      <c r="O741" t="s">
        <v>2970</v>
      </c>
      <c r="P741" t="str">
        <f>HYPERLINK("http://vk.com/club93167549")</f>
        <v>http://vk.com/club93167549</v>
      </c>
      <c r="Q741">
        <v>20344</v>
      </c>
      <c r="R741" t="s">
        <v>124</v>
      </c>
      <c r="S741" t="s">
        <v>125</v>
      </c>
      <c r="T741" t="s">
        <v>1365</v>
      </c>
      <c r="U741" t="s">
        <v>1366</v>
      </c>
      <c r="AM741" t="s">
        <v>129</v>
      </c>
      <c r="AN741" t="s">
        <v>130</v>
      </c>
      <c r="AP741" t="s">
        <v>41</v>
      </c>
      <c r="AY741" t="s">
        <v>50</v>
      </c>
      <c r="AZ741" t="s">
        <v>51</v>
      </c>
      <c r="BB741" t="s">
        <v>53</v>
      </c>
    </row>
    <row r="742" spans="1:65" x14ac:dyDescent="0.2">
      <c r="A742" t="s">
        <v>2865</v>
      </c>
      <c r="B742" t="s">
        <v>2965</v>
      </c>
      <c r="C742" t="s">
        <v>2971</v>
      </c>
      <c r="D742" t="s">
        <v>2972</v>
      </c>
      <c r="E742" t="s">
        <v>2973</v>
      </c>
      <c r="F742" t="s">
        <v>118</v>
      </c>
      <c r="G742" t="str">
        <f>HYPERLINK("https://vk.com/wall-33184676_526660?reply=528199&amp;thread=528057")</f>
        <v>https://vk.com/wall-33184676_526660?reply=528199&amp;thread=528057</v>
      </c>
      <c r="H742" t="s">
        <v>119</v>
      </c>
      <c r="I742" t="s">
        <v>2974</v>
      </c>
      <c r="J742" t="str">
        <f>HYPERLINK("http://vk.com/id224481980")</f>
        <v>http://vk.com/id224481980</v>
      </c>
      <c r="K742">
        <v>378</v>
      </c>
      <c r="L742" t="s">
        <v>151</v>
      </c>
      <c r="M742">
        <v>35</v>
      </c>
      <c r="N742" t="s">
        <v>122</v>
      </c>
      <c r="O742" t="s">
        <v>2975</v>
      </c>
      <c r="P742" t="str">
        <f>HYPERLINK("http://vk.com/club33184676")</f>
        <v>http://vk.com/club33184676</v>
      </c>
      <c r="Q742">
        <v>18951</v>
      </c>
      <c r="R742" t="s">
        <v>124</v>
      </c>
      <c r="S742" t="s">
        <v>125</v>
      </c>
      <c r="T742" t="s">
        <v>494</v>
      </c>
      <c r="U742" t="s">
        <v>2976</v>
      </c>
      <c r="AM742" t="s">
        <v>129</v>
      </c>
      <c r="AN742" t="s">
        <v>130</v>
      </c>
      <c r="AP742" t="s">
        <v>41</v>
      </c>
      <c r="AY742" t="s">
        <v>50</v>
      </c>
      <c r="AZ742" t="s">
        <v>51</v>
      </c>
      <c r="BA742" t="s">
        <v>52</v>
      </c>
    </row>
    <row r="743" spans="1:65" x14ac:dyDescent="0.2">
      <c r="A743" t="s">
        <v>2865</v>
      </c>
      <c r="B743" t="s">
        <v>2977</v>
      </c>
      <c r="C743" t="s">
        <v>2971</v>
      </c>
      <c r="D743" t="s">
        <v>2967</v>
      </c>
      <c r="E743" t="s">
        <v>2978</v>
      </c>
      <c r="F743" t="s">
        <v>118</v>
      </c>
      <c r="G743" t="str">
        <f>HYPERLINK("https://vk.com/wall-93167549_121858?reply=121923&amp;thread=121884")</f>
        <v>https://vk.com/wall-93167549_121858?reply=121923&amp;thread=121884</v>
      </c>
      <c r="H743" t="s">
        <v>181</v>
      </c>
      <c r="I743" t="s">
        <v>2979</v>
      </c>
      <c r="J743" t="str">
        <f>HYPERLINK("http://vk.com/id597326265")</f>
        <v>http://vk.com/id597326265</v>
      </c>
      <c r="K743">
        <v>13</v>
      </c>
      <c r="L743" t="s">
        <v>121</v>
      </c>
      <c r="M743">
        <v>42</v>
      </c>
      <c r="N743" t="s">
        <v>122</v>
      </c>
      <c r="O743" t="s">
        <v>2970</v>
      </c>
      <c r="P743" t="str">
        <f>HYPERLINK("http://vk.com/club93167549")</f>
        <v>http://vk.com/club93167549</v>
      </c>
      <c r="Q743">
        <v>20344</v>
      </c>
      <c r="R743" t="s">
        <v>124</v>
      </c>
      <c r="S743" t="s">
        <v>125</v>
      </c>
      <c r="T743" t="s">
        <v>264</v>
      </c>
      <c r="U743" t="s">
        <v>265</v>
      </c>
      <c r="AM743" t="s">
        <v>129</v>
      </c>
      <c r="AN743" t="s">
        <v>130</v>
      </c>
      <c r="AP743" t="s">
        <v>41</v>
      </c>
      <c r="AZ743" t="s">
        <v>51</v>
      </c>
      <c r="BB743" t="s">
        <v>53</v>
      </c>
    </row>
    <row r="744" spans="1:65" x14ac:dyDescent="0.2">
      <c r="A744" t="s">
        <v>2865</v>
      </c>
      <c r="B744" t="s">
        <v>2459</v>
      </c>
      <c r="C744" t="s">
        <v>2980</v>
      </c>
      <c r="D744" t="s">
        <v>2972</v>
      </c>
      <c r="E744" t="s">
        <v>2981</v>
      </c>
      <c r="F744" t="s">
        <v>118</v>
      </c>
      <c r="G744" t="str">
        <f>HYPERLINK("https://vk.com/wall-33184676_526660?reply=528198&amp;thread=528057")</f>
        <v>https://vk.com/wall-33184676_526660?reply=528198&amp;thread=528057</v>
      </c>
      <c r="H744" t="s">
        <v>181</v>
      </c>
      <c r="I744" t="s">
        <v>2979</v>
      </c>
      <c r="J744" t="str">
        <f>HYPERLINK("http://vk.com/id597326265")</f>
        <v>http://vk.com/id597326265</v>
      </c>
      <c r="K744">
        <v>13</v>
      </c>
      <c r="L744" t="s">
        <v>121</v>
      </c>
      <c r="M744">
        <v>42</v>
      </c>
      <c r="N744" t="s">
        <v>122</v>
      </c>
      <c r="O744" t="s">
        <v>2975</v>
      </c>
      <c r="P744" t="str">
        <f>HYPERLINK("http://vk.com/club33184676")</f>
        <v>http://vk.com/club33184676</v>
      </c>
      <c r="Q744">
        <v>18951</v>
      </c>
      <c r="R744" t="s">
        <v>124</v>
      </c>
      <c r="S744" t="s">
        <v>125</v>
      </c>
      <c r="T744" t="s">
        <v>264</v>
      </c>
      <c r="U744" t="s">
        <v>265</v>
      </c>
      <c r="AM744" t="s">
        <v>129</v>
      </c>
      <c r="AN744" t="s">
        <v>130</v>
      </c>
      <c r="AP744" t="s">
        <v>41</v>
      </c>
      <c r="AZ744" t="s">
        <v>51</v>
      </c>
      <c r="BB744" t="s">
        <v>53</v>
      </c>
    </row>
    <row r="745" spans="1:65" x14ac:dyDescent="0.2">
      <c r="A745" t="s">
        <v>2865</v>
      </c>
      <c r="B745" t="s">
        <v>2982</v>
      </c>
      <c r="C745" t="s">
        <v>2983</v>
      </c>
      <c r="D745" t="s">
        <v>2984</v>
      </c>
      <c r="E745" t="s">
        <v>2985</v>
      </c>
      <c r="F745" t="s">
        <v>118</v>
      </c>
      <c r="G745" t="str">
        <f>HYPERLINK("https://vk.com/wall-64986792_2188228?reply=2189309")</f>
        <v>https://vk.com/wall-64986792_2188228?reply=2189309</v>
      </c>
      <c r="H745" t="s">
        <v>119</v>
      </c>
      <c r="I745" t="s">
        <v>2979</v>
      </c>
      <c r="J745" t="str">
        <f>HYPERLINK("http://vk.com/id597326265")</f>
        <v>http://vk.com/id597326265</v>
      </c>
      <c r="K745">
        <v>13</v>
      </c>
      <c r="L745" t="s">
        <v>121</v>
      </c>
      <c r="M745">
        <v>42</v>
      </c>
      <c r="N745" t="s">
        <v>122</v>
      </c>
      <c r="O745" t="s">
        <v>2986</v>
      </c>
      <c r="P745" t="str">
        <f>HYPERLINK("http://vk.com/club64986792")</f>
        <v>http://vk.com/club64986792</v>
      </c>
      <c r="Q745">
        <v>52847</v>
      </c>
      <c r="R745" t="s">
        <v>124</v>
      </c>
      <c r="S745" t="s">
        <v>125</v>
      </c>
      <c r="T745" t="s">
        <v>264</v>
      </c>
      <c r="U745" t="s">
        <v>265</v>
      </c>
      <c r="AM745" t="s">
        <v>129</v>
      </c>
      <c r="AN745" t="s">
        <v>130</v>
      </c>
      <c r="AP745" t="s">
        <v>41</v>
      </c>
      <c r="AZ745" t="s">
        <v>51</v>
      </c>
      <c r="BA745" t="s">
        <v>52</v>
      </c>
    </row>
    <row r="746" spans="1:65" x14ac:dyDescent="0.2">
      <c r="A746" t="s">
        <v>2865</v>
      </c>
      <c r="B746" t="s">
        <v>2987</v>
      </c>
      <c r="C746" t="s">
        <v>2988</v>
      </c>
      <c r="D746" t="s">
        <v>2984</v>
      </c>
      <c r="E746" t="s">
        <v>2989</v>
      </c>
      <c r="F746" t="s">
        <v>118</v>
      </c>
      <c r="G746" t="str">
        <f>HYPERLINK("https://vk.com/wall-64986792_2188228?reply=2189307&amp;thread=2188231")</f>
        <v>https://vk.com/wall-64986792_2188228?reply=2189307&amp;thread=2188231</v>
      </c>
      <c r="H746" t="s">
        <v>119</v>
      </c>
      <c r="I746" t="s">
        <v>2979</v>
      </c>
      <c r="J746" t="str">
        <f>HYPERLINK("http://vk.com/id597326265")</f>
        <v>http://vk.com/id597326265</v>
      </c>
      <c r="K746">
        <v>13</v>
      </c>
      <c r="L746" t="s">
        <v>121</v>
      </c>
      <c r="M746">
        <v>42</v>
      </c>
      <c r="N746" t="s">
        <v>122</v>
      </c>
      <c r="O746" t="s">
        <v>2986</v>
      </c>
      <c r="P746" t="str">
        <f>HYPERLINK("http://vk.com/club64986792")</f>
        <v>http://vk.com/club64986792</v>
      </c>
      <c r="Q746">
        <v>52847</v>
      </c>
      <c r="R746" t="s">
        <v>124</v>
      </c>
      <c r="S746" t="s">
        <v>125</v>
      </c>
      <c r="T746" t="s">
        <v>264</v>
      </c>
      <c r="U746" t="s">
        <v>265</v>
      </c>
      <c r="AM746" t="s">
        <v>129</v>
      </c>
      <c r="AN746" t="s">
        <v>130</v>
      </c>
      <c r="AP746" t="s">
        <v>41</v>
      </c>
      <c r="AT746" t="s">
        <v>45</v>
      </c>
      <c r="AW746" t="s">
        <v>48</v>
      </c>
      <c r="AZ746" t="s">
        <v>51</v>
      </c>
      <c r="BA746" t="s">
        <v>52</v>
      </c>
      <c r="BL746" t="s">
        <v>63</v>
      </c>
    </row>
    <row r="747" spans="1:65" x14ac:dyDescent="0.2">
      <c r="A747" t="s">
        <v>2865</v>
      </c>
      <c r="B747" t="s">
        <v>316</v>
      </c>
      <c r="C747" t="s">
        <v>2990</v>
      </c>
      <c r="D747" t="s">
        <v>1568</v>
      </c>
      <c r="E747" t="s">
        <v>2991</v>
      </c>
      <c r="F747" t="s">
        <v>118</v>
      </c>
      <c r="G747" t="str">
        <f>HYPERLINK("https://irecommend.ru/content/bolshoi-otzyv-posle-10-let-ispolzovaniya-k-chemu-nado-byt-gotovym-pri-podklyuchenii-k-trikol#comment-24190615")</f>
        <v>https://irecommend.ru/content/bolshoi-otzyv-posle-10-let-ispolzovaniya-k-chemu-nado-byt-gotovym-pri-podklyuchenii-k-trikol#comment-24190615</v>
      </c>
      <c r="H747" t="s">
        <v>119</v>
      </c>
      <c r="I747" t="s">
        <v>1570</v>
      </c>
      <c r="J747" t="str">
        <f>HYPERLINK("https://irecommend.ru/users/tricolor-support")</f>
        <v>https://irecommend.ru/users/tricolor-support</v>
      </c>
      <c r="N747" t="s">
        <v>1571</v>
      </c>
      <c r="O747" t="s">
        <v>1568</v>
      </c>
      <c r="P747" t="str">
        <f>HYPERLINK("https://irecommend.ru/content/sputnikovoe-televidenie-trikolortv")</f>
        <v>https://irecommend.ru/content/sputnikovoe-televidenie-trikolortv</v>
      </c>
      <c r="R747" t="s">
        <v>184</v>
      </c>
      <c r="S747" t="s">
        <v>125</v>
      </c>
      <c r="AM747" t="s">
        <v>129</v>
      </c>
      <c r="AN747" t="s">
        <v>130</v>
      </c>
      <c r="BI747" t="s">
        <v>60</v>
      </c>
    </row>
    <row r="748" spans="1:65" x14ac:dyDescent="0.2">
      <c r="A748" t="s">
        <v>2865</v>
      </c>
      <c r="B748" t="s">
        <v>322</v>
      </c>
      <c r="C748" t="s">
        <v>2990</v>
      </c>
      <c r="D748" t="s">
        <v>1568</v>
      </c>
      <c r="E748" t="s">
        <v>2992</v>
      </c>
      <c r="F748" t="s">
        <v>118</v>
      </c>
      <c r="G748" t="str">
        <f>HYPERLINK("https://irecommend.ru/content/bolshoi-otzyv-posle-10-let-ispolzovaniya-k-chemu-nado-byt-gotovym-pri-podklyuchenii-k-trikol#comment-24190602")</f>
        <v>https://irecommend.ru/content/bolshoi-otzyv-posle-10-let-ispolzovaniya-k-chemu-nado-byt-gotovym-pri-podklyuchenii-k-trikol#comment-24190602</v>
      </c>
      <c r="H748" t="s">
        <v>119</v>
      </c>
      <c r="I748" t="s">
        <v>1570</v>
      </c>
      <c r="J748" t="str">
        <f>HYPERLINK("https://irecommend.ru/users/tricolor-support")</f>
        <v>https://irecommend.ru/users/tricolor-support</v>
      </c>
      <c r="N748" t="s">
        <v>1571</v>
      </c>
      <c r="O748" t="s">
        <v>1568</v>
      </c>
      <c r="P748" t="str">
        <f>HYPERLINK("https://irecommend.ru/content/sputnikovoe-televidenie-trikolortv")</f>
        <v>https://irecommend.ru/content/sputnikovoe-televidenie-trikolortv</v>
      </c>
      <c r="R748" t="s">
        <v>184</v>
      </c>
      <c r="S748" t="s">
        <v>125</v>
      </c>
      <c r="AM748" t="s">
        <v>129</v>
      </c>
      <c r="AN748" t="s">
        <v>130</v>
      </c>
      <c r="BI748" t="s">
        <v>60</v>
      </c>
    </row>
    <row r="749" spans="1:65" x14ac:dyDescent="0.2">
      <c r="A749" t="s">
        <v>2865</v>
      </c>
      <c r="B749" t="s">
        <v>2993</v>
      </c>
      <c r="C749" t="s">
        <v>2990</v>
      </c>
      <c r="D749" t="s">
        <v>1568</v>
      </c>
      <c r="E749" t="s">
        <v>2994</v>
      </c>
      <c r="F749" t="s">
        <v>118</v>
      </c>
      <c r="G749" t="str">
        <f>HYPERLINK("https://irecommend.ru/content/bolshoi-otzyv-posle-10-let-ispolzovaniya-k-chemu-nado-byt-gotovym-pri-podklyuchenii-k-trikol#comment-24190597")</f>
        <v>https://irecommend.ru/content/bolshoi-otzyv-posle-10-let-ispolzovaniya-k-chemu-nado-byt-gotovym-pri-podklyuchenii-k-trikol#comment-24190597</v>
      </c>
      <c r="H749" t="s">
        <v>119</v>
      </c>
      <c r="I749" t="s">
        <v>1570</v>
      </c>
      <c r="J749" t="str">
        <f>HYPERLINK("https://irecommend.ru/users/tricolor-support")</f>
        <v>https://irecommend.ru/users/tricolor-support</v>
      </c>
      <c r="N749" t="s">
        <v>1571</v>
      </c>
      <c r="O749" t="s">
        <v>1568</v>
      </c>
      <c r="P749" t="str">
        <f>HYPERLINK("https://irecommend.ru/content/sputnikovoe-televidenie-trikolortv")</f>
        <v>https://irecommend.ru/content/sputnikovoe-televidenie-trikolortv</v>
      </c>
      <c r="R749" t="s">
        <v>184</v>
      </c>
      <c r="S749" t="s">
        <v>125</v>
      </c>
      <c r="AM749" t="s">
        <v>129</v>
      </c>
      <c r="AN749" t="s">
        <v>130</v>
      </c>
      <c r="BI749" t="s">
        <v>60</v>
      </c>
    </row>
    <row r="750" spans="1:65" x14ac:dyDescent="0.2">
      <c r="A750" t="s">
        <v>2865</v>
      </c>
      <c r="B750" t="s">
        <v>330</v>
      </c>
      <c r="C750" t="s">
        <v>2990</v>
      </c>
      <c r="D750" t="s">
        <v>1568</v>
      </c>
      <c r="E750" t="s">
        <v>2995</v>
      </c>
      <c r="F750" t="s">
        <v>118</v>
      </c>
      <c r="G750" t="str">
        <f>HYPERLINK("https://irecommend.ru/content/bolshoi-otzyv-posle-10-let-ispolzovaniya-k-chemu-nado-byt-gotovym-pri-podklyuchenii-k-trikol#comment-24190594")</f>
        <v>https://irecommend.ru/content/bolshoi-otzyv-posle-10-let-ispolzovaniya-k-chemu-nado-byt-gotovym-pri-podklyuchenii-k-trikol#comment-24190594</v>
      </c>
      <c r="H750" t="s">
        <v>119</v>
      </c>
      <c r="I750" t="s">
        <v>1570</v>
      </c>
      <c r="J750" t="str">
        <f>HYPERLINK("https://irecommend.ru/users/tricolor-support")</f>
        <v>https://irecommend.ru/users/tricolor-support</v>
      </c>
      <c r="N750" t="s">
        <v>1571</v>
      </c>
      <c r="O750" t="s">
        <v>1568</v>
      </c>
      <c r="P750" t="str">
        <f>HYPERLINK("https://irecommend.ru/content/sputnikovoe-televidenie-trikolortv")</f>
        <v>https://irecommend.ru/content/sputnikovoe-televidenie-trikolortv</v>
      </c>
      <c r="R750" t="s">
        <v>184</v>
      </c>
      <c r="S750" t="s">
        <v>125</v>
      </c>
      <c r="AM750" t="s">
        <v>129</v>
      </c>
      <c r="AN750" t="s">
        <v>130</v>
      </c>
      <c r="BI750" t="s">
        <v>60</v>
      </c>
    </row>
    <row r="751" spans="1:65" x14ac:dyDescent="0.2">
      <c r="A751" t="s">
        <v>2865</v>
      </c>
      <c r="B751" t="s">
        <v>2996</v>
      </c>
      <c r="C751" t="s">
        <v>2997</v>
      </c>
      <c r="D751" t="s">
        <v>2998</v>
      </c>
      <c r="E751" t="s">
        <v>2999</v>
      </c>
      <c r="F751" t="s">
        <v>118</v>
      </c>
      <c r="G751" t="str">
        <f>HYPERLINK("https://vk.com/topic-19165918_36288387?post=27080")</f>
        <v>https://vk.com/topic-19165918_36288387?post=27080</v>
      </c>
      <c r="H751" t="s">
        <v>119</v>
      </c>
      <c r="I751" t="s">
        <v>3000</v>
      </c>
      <c r="J751" t="str">
        <f>HYPERLINK("http://vk.com/id326986702")</f>
        <v>http://vk.com/id326986702</v>
      </c>
      <c r="K751">
        <v>86</v>
      </c>
      <c r="L751" t="s">
        <v>151</v>
      </c>
      <c r="M751">
        <v>40</v>
      </c>
      <c r="N751" t="s">
        <v>122</v>
      </c>
      <c r="O751" t="s">
        <v>3001</v>
      </c>
      <c r="P751" t="str">
        <f>HYPERLINK("http://vk.com/club19165918")</f>
        <v>http://vk.com/club19165918</v>
      </c>
      <c r="Q751">
        <v>54433</v>
      </c>
      <c r="R751" t="s">
        <v>124</v>
      </c>
      <c r="S751" t="s">
        <v>125</v>
      </c>
      <c r="T751" t="s">
        <v>627</v>
      </c>
      <c r="U751" t="s">
        <v>634</v>
      </c>
      <c r="AM751" t="s">
        <v>129</v>
      </c>
      <c r="AN751" t="s">
        <v>130</v>
      </c>
      <c r="AP751" t="s">
        <v>41</v>
      </c>
      <c r="AT751" t="s">
        <v>45</v>
      </c>
      <c r="AZ751" t="s">
        <v>51</v>
      </c>
      <c r="BA751" t="s">
        <v>52</v>
      </c>
    </row>
    <row r="752" spans="1:65" x14ac:dyDescent="0.2">
      <c r="A752" t="s">
        <v>2865</v>
      </c>
      <c r="B752" t="s">
        <v>3002</v>
      </c>
      <c r="C752" t="s">
        <v>3003</v>
      </c>
      <c r="D752" t="s">
        <v>3004</v>
      </c>
      <c r="E752" t="s">
        <v>3005</v>
      </c>
      <c r="F752" t="s">
        <v>118</v>
      </c>
      <c r="G752" t="str">
        <f>HYPERLINK("https://vk.com/wall-84399397_335594?reply=335731")</f>
        <v>https://vk.com/wall-84399397_335594?reply=335731</v>
      </c>
      <c r="H752" t="s">
        <v>181</v>
      </c>
      <c r="I752" t="s">
        <v>3006</v>
      </c>
      <c r="J752" t="str">
        <f>HYPERLINK("http://vk.com/id365491427")</f>
        <v>http://vk.com/id365491427</v>
      </c>
      <c r="K752">
        <v>14</v>
      </c>
      <c r="L752" t="s">
        <v>121</v>
      </c>
      <c r="M752">
        <v>41</v>
      </c>
      <c r="N752" t="s">
        <v>122</v>
      </c>
      <c r="O752" t="s">
        <v>3007</v>
      </c>
      <c r="P752" t="str">
        <f>HYPERLINK("http://vk.com/club84399397")</f>
        <v>http://vk.com/club84399397</v>
      </c>
      <c r="Q752">
        <v>31280</v>
      </c>
      <c r="R752" t="s">
        <v>124</v>
      </c>
      <c r="S752" t="s">
        <v>125</v>
      </c>
      <c r="T752" t="s">
        <v>212</v>
      </c>
      <c r="U752" t="s">
        <v>242</v>
      </c>
      <c r="AM752" t="s">
        <v>129</v>
      </c>
      <c r="AN752" t="s">
        <v>130</v>
      </c>
      <c r="AP752" t="s">
        <v>41</v>
      </c>
      <c r="AU752" t="s">
        <v>46</v>
      </c>
      <c r="AZ752" t="s">
        <v>51</v>
      </c>
      <c r="BA752" t="s">
        <v>52</v>
      </c>
    </row>
    <row r="753" spans="1:65" x14ac:dyDescent="0.2">
      <c r="A753" t="s">
        <v>2865</v>
      </c>
      <c r="B753" t="s">
        <v>366</v>
      </c>
      <c r="C753" t="s">
        <v>3008</v>
      </c>
      <c r="D753" t="s">
        <v>3009</v>
      </c>
      <c r="E753" t="s">
        <v>3010</v>
      </c>
      <c r="F753" t="s">
        <v>180</v>
      </c>
      <c r="G753" t="str">
        <f>HYPERLINK("https://ok.ru/group/51085510115462/topic/153490827158918")</f>
        <v>https://ok.ru/group/51085510115462/topic/153490827158918</v>
      </c>
      <c r="H753" t="s">
        <v>119</v>
      </c>
      <c r="I753" t="s">
        <v>175</v>
      </c>
      <c r="J753" t="str">
        <f>HYPERLINK("https://ok.ru/group/51085510115462")</f>
        <v>https://ok.ru/group/51085510115462</v>
      </c>
      <c r="K753">
        <v>94768</v>
      </c>
      <c r="L753" t="s">
        <v>340</v>
      </c>
      <c r="N753" t="s">
        <v>347</v>
      </c>
      <c r="O753" t="s">
        <v>175</v>
      </c>
      <c r="P753" t="str">
        <f>HYPERLINK("https://ok.ru/group/51085510115462")</f>
        <v>https://ok.ru/group/51085510115462</v>
      </c>
      <c r="Q753">
        <v>94768</v>
      </c>
      <c r="R753" t="s">
        <v>124</v>
      </c>
      <c r="W753">
        <v>17</v>
      </c>
      <c r="X753">
        <v>17</v>
      </c>
      <c r="Y753">
        <v>0</v>
      </c>
      <c r="Z753">
        <v>0</v>
      </c>
      <c r="AA753">
        <v>0</v>
      </c>
      <c r="AB753">
        <v>0</v>
      </c>
      <c r="AE753">
        <v>1</v>
      </c>
      <c r="AF753">
        <v>0</v>
      </c>
      <c r="AJ753" t="s">
        <v>875</v>
      </c>
      <c r="AK753" t="s">
        <v>3011</v>
      </c>
      <c r="AL753" t="str">
        <f>HYPERLINK("https://i.mycdn.me/image?id=919001667974&amp;t=20&amp;plc=API&amp;aid=1131601408&amp;tkn=*rdlRzzaAChDATZTkztqQH5JOhUs")</f>
        <v>https://i.mycdn.me/image?id=919001667974&amp;t=20&amp;plc=API&amp;aid=1131601408&amp;tkn=*rdlRzzaAChDATZTkztqQH5JOhUs</v>
      </c>
      <c r="AM753" t="s">
        <v>129</v>
      </c>
      <c r="AN753" t="s">
        <v>130</v>
      </c>
      <c r="BI753" t="s">
        <v>60</v>
      </c>
    </row>
    <row r="754" spans="1:65" x14ac:dyDescent="0.2">
      <c r="A754" t="s">
        <v>2865</v>
      </c>
      <c r="B754" t="s">
        <v>3012</v>
      </c>
      <c r="C754" t="s">
        <v>3013</v>
      </c>
      <c r="D754" t="s">
        <v>129</v>
      </c>
      <c r="E754" t="s">
        <v>3014</v>
      </c>
      <c r="F754" t="s">
        <v>180</v>
      </c>
      <c r="G754" t="str">
        <f>HYPERLINK("https://www.facebook.com/tricolortv/posts/4119249451462627")</f>
        <v>https://www.facebook.com/tricolortv/posts/4119249451462627</v>
      </c>
      <c r="H754" t="s">
        <v>119</v>
      </c>
      <c r="I754" t="s">
        <v>175</v>
      </c>
      <c r="J754" t="str">
        <f>HYPERLINK("https://www.facebook.com/206198386101106")</f>
        <v>https://www.facebook.com/206198386101106</v>
      </c>
      <c r="K754">
        <v>16432</v>
      </c>
      <c r="L754" t="s">
        <v>340</v>
      </c>
      <c r="N754" t="s">
        <v>305</v>
      </c>
      <c r="O754" t="s">
        <v>175</v>
      </c>
      <c r="P754" t="str">
        <f>HYPERLINK("https://www.facebook.com/206198386101106")</f>
        <v>https://www.facebook.com/206198386101106</v>
      </c>
      <c r="Q754">
        <v>16432</v>
      </c>
      <c r="R754" t="s">
        <v>124</v>
      </c>
      <c r="W754">
        <v>5</v>
      </c>
      <c r="X754">
        <v>4</v>
      </c>
      <c r="Y754">
        <v>0</v>
      </c>
      <c r="Z754">
        <v>0</v>
      </c>
      <c r="AA754">
        <v>0</v>
      </c>
      <c r="AB754">
        <v>0</v>
      </c>
      <c r="AC754">
        <v>1</v>
      </c>
      <c r="AE754">
        <v>0</v>
      </c>
      <c r="AF754">
        <v>2</v>
      </c>
      <c r="AJ754" t="s">
        <v>875</v>
      </c>
      <c r="AK754" t="s">
        <v>3011</v>
      </c>
      <c r="AL754" t="s">
        <v>3015</v>
      </c>
      <c r="AM754" t="s">
        <v>129</v>
      </c>
      <c r="AN754" t="s">
        <v>130</v>
      </c>
      <c r="BI754" t="s">
        <v>60</v>
      </c>
    </row>
    <row r="755" spans="1:65" x14ac:dyDescent="0.2">
      <c r="A755" t="s">
        <v>2865</v>
      </c>
      <c r="B755" t="s">
        <v>369</v>
      </c>
      <c r="C755" t="s">
        <v>3016</v>
      </c>
      <c r="D755" t="s">
        <v>3017</v>
      </c>
      <c r="E755" t="s">
        <v>3018</v>
      </c>
      <c r="F755" t="s">
        <v>118</v>
      </c>
      <c r="G755" t="str">
        <f>HYPERLINK("https://vk.com/wall-61101621_254779?reply=254822")</f>
        <v>https://vk.com/wall-61101621_254779?reply=254822</v>
      </c>
      <c r="H755" t="s">
        <v>119</v>
      </c>
      <c r="I755" t="s">
        <v>3019</v>
      </c>
      <c r="J755" t="str">
        <f>HYPERLINK("http://vk.com/id116318243")</f>
        <v>http://vk.com/id116318243</v>
      </c>
      <c r="K755">
        <v>15375</v>
      </c>
      <c r="L755" t="s">
        <v>121</v>
      </c>
      <c r="N755" t="s">
        <v>122</v>
      </c>
      <c r="O755" t="s">
        <v>160</v>
      </c>
      <c r="P755" t="str">
        <f>HYPERLINK("http://vk.com/club61101621")</f>
        <v>http://vk.com/club61101621</v>
      </c>
      <c r="Q755">
        <v>21119</v>
      </c>
      <c r="R755" t="s">
        <v>124</v>
      </c>
      <c r="S755" t="s">
        <v>1884</v>
      </c>
      <c r="W755">
        <v>0</v>
      </c>
      <c r="X755">
        <v>0</v>
      </c>
      <c r="AM755" t="s">
        <v>129</v>
      </c>
      <c r="AN755" t="s">
        <v>130</v>
      </c>
      <c r="AP755" t="s">
        <v>41</v>
      </c>
      <c r="AU755" t="s">
        <v>46</v>
      </c>
      <c r="AZ755" t="s">
        <v>51</v>
      </c>
      <c r="BA755" t="s">
        <v>52</v>
      </c>
    </row>
    <row r="756" spans="1:65" x14ac:dyDescent="0.2">
      <c r="A756" t="s">
        <v>2865</v>
      </c>
      <c r="B756" t="s">
        <v>920</v>
      </c>
      <c r="C756" t="s">
        <v>3020</v>
      </c>
      <c r="D756" t="s">
        <v>3021</v>
      </c>
      <c r="E756" t="s">
        <v>3022</v>
      </c>
      <c r="F756" t="s">
        <v>118</v>
      </c>
      <c r="G756" t="str">
        <f>HYPERLINK("https://www.wildberries.ru/catalog/10284738/detail.aspx?targetUrl=ES#Comments")</f>
        <v>https://www.wildberries.ru/catalog/10284738/detail.aspx?targetUrl=ES#Comments</v>
      </c>
      <c r="H756" t="s">
        <v>119</v>
      </c>
      <c r="I756" t="s">
        <v>3023</v>
      </c>
      <c r="J756" t="str">
        <f>HYPERLINK("https://www.wildberries.ru/brands/trikolor")</f>
        <v>https://www.wildberries.ru/brands/trikolor</v>
      </c>
      <c r="L756" t="s">
        <v>340</v>
      </c>
      <c r="N756" t="s">
        <v>534</v>
      </c>
      <c r="O756" t="s">
        <v>3021</v>
      </c>
      <c r="P756" t="str">
        <f>HYPERLINK("https://www.wildberries.ru/catalog/7813912/detail.aspx")</f>
        <v>https://www.wildberries.ru/catalog/7813912/detail.aspx</v>
      </c>
      <c r="R756" t="s">
        <v>184</v>
      </c>
      <c r="S756" t="s">
        <v>125</v>
      </c>
      <c r="AM756" t="s">
        <v>129</v>
      </c>
      <c r="AN756" t="s">
        <v>130</v>
      </c>
      <c r="BI756" t="s">
        <v>60</v>
      </c>
    </row>
    <row r="757" spans="1:65" x14ac:dyDescent="0.2">
      <c r="A757" t="s">
        <v>2865</v>
      </c>
      <c r="B757" t="s">
        <v>920</v>
      </c>
      <c r="C757" t="s">
        <v>3024</v>
      </c>
      <c r="D757" t="s">
        <v>3021</v>
      </c>
      <c r="E757" t="s">
        <v>3025</v>
      </c>
      <c r="F757" t="s">
        <v>180</v>
      </c>
      <c r="G757" t="str">
        <f>HYPERLINK("https://www.wildberries.ru/catalog/10284738/detail.aspx?targetUrl=ES#Comments")</f>
        <v>https://www.wildberries.ru/catalog/10284738/detail.aspx?targetUrl=ES#Comments</v>
      </c>
      <c r="H757" t="s">
        <v>181</v>
      </c>
      <c r="I757" t="s">
        <v>3026</v>
      </c>
      <c r="J757" t="str">
        <f>HYPERLINK("https://www.wildberries.ru/profile/w7TDssOkw7PCu8KzwrXCt8KwwrfCtsKywrc=")</f>
        <v>https://www.wildberries.ru/profile/w7TDssOkw7PCu8KzwrXCt8KwwrfCtsKywrc=</v>
      </c>
      <c r="L757" t="s">
        <v>151</v>
      </c>
      <c r="N757" t="s">
        <v>534</v>
      </c>
      <c r="O757" t="s">
        <v>3021</v>
      </c>
      <c r="P757" t="str">
        <f>HYPERLINK("https://www.wildberries.ru/catalog/7813912/detail.aspx")</f>
        <v>https://www.wildberries.ru/catalog/7813912/detail.aspx</v>
      </c>
      <c r="R757" t="s">
        <v>184</v>
      </c>
      <c r="S757" t="s">
        <v>125</v>
      </c>
      <c r="W757">
        <v>0</v>
      </c>
      <c r="X757">
        <v>0</v>
      </c>
      <c r="AH757">
        <v>5</v>
      </c>
      <c r="AM757" t="s">
        <v>129</v>
      </c>
      <c r="AN757" t="s">
        <v>130</v>
      </c>
      <c r="AP757" t="s">
        <v>41</v>
      </c>
      <c r="AW757" t="s">
        <v>48</v>
      </c>
      <c r="AZ757" t="s">
        <v>51</v>
      </c>
      <c r="BA757" t="s">
        <v>52</v>
      </c>
      <c r="BL757" t="s">
        <v>63</v>
      </c>
    </row>
    <row r="758" spans="1:65" x14ac:dyDescent="0.2">
      <c r="A758" t="s">
        <v>2865</v>
      </c>
      <c r="B758" t="s">
        <v>1482</v>
      </c>
      <c r="C758" t="s">
        <v>3027</v>
      </c>
      <c r="D758" t="s">
        <v>2202</v>
      </c>
      <c r="E758" t="s">
        <v>3028</v>
      </c>
      <c r="F758" t="s">
        <v>180</v>
      </c>
      <c r="G758" t="str">
        <f>HYPERLINK("https://www.wildberries.ru/catalog/16083135/detail.aspx?targetUrl=ES#Comments")</f>
        <v>https://www.wildberries.ru/catalog/16083135/detail.aspx?targetUrl=ES#Comments</v>
      </c>
      <c r="H758" t="s">
        <v>119</v>
      </c>
      <c r="I758" t="s">
        <v>1650</v>
      </c>
      <c r="J758" t="str">
        <f>HYPERLINK("https://www.wildberries.ru/profile/w7TDssOkw7PCu8KywrjCucK5wrbCuMK3wrk=")</f>
        <v>https://www.wildberries.ru/profile/w7TDssOkw7PCu8KywrjCucK5wrbCuMK3wrk=</v>
      </c>
      <c r="L758" t="s">
        <v>151</v>
      </c>
      <c r="N758" t="s">
        <v>534</v>
      </c>
      <c r="O758" t="s">
        <v>2202</v>
      </c>
      <c r="P758" t="str">
        <f>HYPERLINK("https://www.wildberries.ru/catalog/11979974/detail.aspx")</f>
        <v>https://www.wildberries.ru/catalog/11979974/detail.aspx</v>
      </c>
      <c r="R758" t="s">
        <v>184</v>
      </c>
      <c r="S758" t="s">
        <v>125</v>
      </c>
      <c r="W758">
        <v>0</v>
      </c>
      <c r="X758">
        <v>0</v>
      </c>
      <c r="AH758">
        <v>1</v>
      </c>
      <c r="AM758" t="s">
        <v>129</v>
      </c>
      <c r="AN758" t="s">
        <v>130</v>
      </c>
      <c r="AP758" t="s">
        <v>41</v>
      </c>
      <c r="AZ758" t="s">
        <v>51</v>
      </c>
      <c r="BA758" t="s">
        <v>52</v>
      </c>
      <c r="BK758" t="s">
        <v>62</v>
      </c>
      <c r="BL758" t="s">
        <v>63</v>
      </c>
    </row>
    <row r="759" spans="1:65" x14ac:dyDescent="0.2">
      <c r="A759" t="s">
        <v>2865</v>
      </c>
      <c r="B759" t="s">
        <v>3029</v>
      </c>
      <c r="C759" t="s">
        <v>3016</v>
      </c>
      <c r="D759" t="s">
        <v>2772</v>
      </c>
      <c r="E759" t="s">
        <v>3030</v>
      </c>
      <c r="F759" t="s">
        <v>118</v>
      </c>
      <c r="G759" t="str">
        <f>HYPERLINK("https://vk.com/wall-61101621_254782?reply=254820")</f>
        <v>https://vk.com/wall-61101621_254782?reply=254820</v>
      </c>
      <c r="H759" t="s">
        <v>119</v>
      </c>
      <c r="I759" t="s">
        <v>2251</v>
      </c>
      <c r="J759" t="str">
        <f>HYPERLINK("http://vk.com/id170066130")</f>
        <v>http://vk.com/id170066130</v>
      </c>
      <c r="K759">
        <v>166</v>
      </c>
      <c r="N759" t="s">
        <v>122</v>
      </c>
      <c r="O759" t="s">
        <v>160</v>
      </c>
      <c r="P759" t="str">
        <f t="shared" ref="P759:P765" si="7">HYPERLINK("http://vk.com/club61101621")</f>
        <v>http://vk.com/club61101621</v>
      </c>
      <c r="Q759">
        <v>21119</v>
      </c>
      <c r="R759" t="s">
        <v>124</v>
      </c>
      <c r="S759" t="s">
        <v>125</v>
      </c>
      <c r="W759">
        <v>0</v>
      </c>
      <c r="X759">
        <v>0</v>
      </c>
      <c r="AM759" t="s">
        <v>129</v>
      </c>
      <c r="AN759" t="s">
        <v>130</v>
      </c>
      <c r="AP759" t="s">
        <v>41</v>
      </c>
      <c r="AU759" t="s">
        <v>46</v>
      </c>
      <c r="AZ759" t="s">
        <v>51</v>
      </c>
      <c r="BA759" t="s">
        <v>52</v>
      </c>
    </row>
    <row r="760" spans="1:65" x14ac:dyDescent="0.2">
      <c r="A760" t="s">
        <v>2865</v>
      </c>
      <c r="B760" t="s">
        <v>3031</v>
      </c>
      <c r="C760" t="s">
        <v>3016</v>
      </c>
      <c r="D760" t="s">
        <v>2772</v>
      </c>
      <c r="E760" t="s">
        <v>3032</v>
      </c>
      <c r="F760" t="s">
        <v>118</v>
      </c>
      <c r="G760" t="str">
        <f>HYPERLINK("https://vk.com/wall-61101621_254782?w=wall-61101621_254782_r254819")</f>
        <v>https://vk.com/wall-61101621_254782?w=wall-61101621_254782_r254819</v>
      </c>
      <c r="H760" t="s">
        <v>119</v>
      </c>
      <c r="I760" t="s">
        <v>359</v>
      </c>
      <c r="J760" t="str">
        <f>HYPERLINK("http://vk.com/club204351896")</f>
        <v>http://vk.com/club204351896</v>
      </c>
      <c r="K760">
        <v>272</v>
      </c>
      <c r="L760" t="s">
        <v>340</v>
      </c>
      <c r="N760" t="s">
        <v>122</v>
      </c>
      <c r="O760" t="s">
        <v>160</v>
      </c>
      <c r="P760" t="str">
        <f t="shared" si="7"/>
        <v>http://vk.com/club61101621</v>
      </c>
      <c r="Q760">
        <v>21119</v>
      </c>
      <c r="R760" t="s">
        <v>124</v>
      </c>
      <c r="S760" t="s">
        <v>125</v>
      </c>
      <c r="W760">
        <v>0</v>
      </c>
      <c r="X760">
        <v>0</v>
      </c>
      <c r="AM760" t="s">
        <v>129</v>
      </c>
      <c r="AN760" t="s">
        <v>130</v>
      </c>
      <c r="AP760" t="s">
        <v>41</v>
      </c>
      <c r="AU760" t="s">
        <v>46</v>
      </c>
      <c r="AZ760" t="s">
        <v>51</v>
      </c>
      <c r="BA760" t="s">
        <v>52</v>
      </c>
    </row>
    <row r="761" spans="1:65" x14ac:dyDescent="0.2">
      <c r="A761" t="s">
        <v>2865</v>
      </c>
      <c r="B761" t="s">
        <v>3031</v>
      </c>
      <c r="C761" t="s">
        <v>3033</v>
      </c>
      <c r="D761" t="s">
        <v>2772</v>
      </c>
      <c r="E761" t="s">
        <v>3034</v>
      </c>
      <c r="F761" t="s">
        <v>118</v>
      </c>
      <c r="G761" t="str">
        <f>HYPERLINK("https://vk.com/wall-61101621_254782?w=wall-61101621_254782_r254818")</f>
        <v>https://vk.com/wall-61101621_254782?w=wall-61101621_254782_r254818</v>
      </c>
      <c r="H761" t="s">
        <v>119</v>
      </c>
      <c r="I761" t="s">
        <v>359</v>
      </c>
      <c r="J761" t="str">
        <f>HYPERLINK("http://vk.com/club204351896")</f>
        <v>http://vk.com/club204351896</v>
      </c>
      <c r="K761">
        <v>272</v>
      </c>
      <c r="L761" t="s">
        <v>340</v>
      </c>
      <c r="N761" t="s">
        <v>122</v>
      </c>
      <c r="O761" t="s">
        <v>160</v>
      </c>
      <c r="P761" t="str">
        <f t="shared" si="7"/>
        <v>http://vk.com/club61101621</v>
      </c>
      <c r="Q761">
        <v>21119</v>
      </c>
      <c r="R761" t="s">
        <v>124</v>
      </c>
      <c r="S761" t="s">
        <v>125</v>
      </c>
      <c r="W761">
        <v>0</v>
      </c>
      <c r="X761">
        <v>0</v>
      </c>
      <c r="AM761" t="s">
        <v>129</v>
      </c>
      <c r="AN761" t="s">
        <v>130</v>
      </c>
      <c r="AP761" t="s">
        <v>41</v>
      </c>
      <c r="AZ761" t="s">
        <v>51</v>
      </c>
      <c r="BA761" t="s">
        <v>52</v>
      </c>
      <c r="BL761" t="s">
        <v>63</v>
      </c>
    </row>
    <row r="762" spans="1:65" x14ac:dyDescent="0.2">
      <c r="A762" t="s">
        <v>2865</v>
      </c>
      <c r="B762" t="s">
        <v>3035</v>
      </c>
      <c r="C762" t="s">
        <v>3033</v>
      </c>
      <c r="D762" t="s">
        <v>2953</v>
      </c>
      <c r="E762" t="s">
        <v>3036</v>
      </c>
      <c r="F762" t="s">
        <v>118</v>
      </c>
      <c r="G762" t="str">
        <f>HYPERLINK("https://vk.com/wall-61101621_254612?w=wall-61101621_254612_r254817")</f>
        <v>https://vk.com/wall-61101621_254612?w=wall-61101621_254612_r254817</v>
      </c>
      <c r="H762" t="s">
        <v>119</v>
      </c>
      <c r="I762" t="s">
        <v>3037</v>
      </c>
      <c r="J762" t="str">
        <f>HYPERLINK("http://vk.com/id147080630")</f>
        <v>http://vk.com/id147080630</v>
      </c>
      <c r="K762">
        <v>94</v>
      </c>
      <c r="L762" t="s">
        <v>121</v>
      </c>
      <c r="N762" t="s">
        <v>122</v>
      </c>
      <c r="O762" t="s">
        <v>160</v>
      </c>
      <c r="P762" t="str">
        <f t="shared" si="7"/>
        <v>http://vk.com/club61101621</v>
      </c>
      <c r="Q762">
        <v>21119</v>
      </c>
      <c r="R762" t="s">
        <v>124</v>
      </c>
      <c r="S762" t="s">
        <v>125</v>
      </c>
      <c r="W762">
        <v>0</v>
      </c>
      <c r="X762">
        <v>0</v>
      </c>
      <c r="AM762" t="s">
        <v>129</v>
      </c>
      <c r="AN762" t="s">
        <v>130</v>
      </c>
      <c r="AP762" t="s">
        <v>41</v>
      </c>
      <c r="AW762" t="s">
        <v>48</v>
      </c>
      <c r="AZ762" t="s">
        <v>51</v>
      </c>
      <c r="BB762" t="s">
        <v>53</v>
      </c>
    </row>
    <row r="763" spans="1:65" x14ac:dyDescent="0.2">
      <c r="A763" t="s">
        <v>2865</v>
      </c>
      <c r="B763" t="s">
        <v>3038</v>
      </c>
      <c r="C763" t="s">
        <v>3039</v>
      </c>
      <c r="D763" t="s">
        <v>2953</v>
      </c>
      <c r="E763" t="s">
        <v>3040</v>
      </c>
      <c r="F763" t="s">
        <v>118</v>
      </c>
      <c r="G763" t="str">
        <f>HYPERLINK("https://vk.com/wall-61101621_254612?reply=254816&amp;thread=254642")</f>
        <v>https://vk.com/wall-61101621_254612?reply=254816&amp;thread=254642</v>
      </c>
      <c r="H763" t="s">
        <v>119</v>
      </c>
      <c r="I763" t="s">
        <v>2436</v>
      </c>
      <c r="J763" t="str">
        <f>HYPERLINK("http://vk.com/id8629942")</f>
        <v>http://vk.com/id8629942</v>
      </c>
      <c r="K763">
        <v>627</v>
      </c>
      <c r="L763" t="s">
        <v>121</v>
      </c>
      <c r="N763" t="s">
        <v>122</v>
      </c>
      <c r="O763" t="s">
        <v>160</v>
      </c>
      <c r="P763" t="str">
        <f t="shared" si="7"/>
        <v>http://vk.com/club61101621</v>
      </c>
      <c r="Q763">
        <v>21119</v>
      </c>
      <c r="R763" t="s">
        <v>124</v>
      </c>
      <c r="S763" t="s">
        <v>125</v>
      </c>
      <c r="AM763" t="s">
        <v>129</v>
      </c>
      <c r="AN763" t="s">
        <v>130</v>
      </c>
      <c r="AP763" t="s">
        <v>41</v>
      </c>
      <c r="AU763" t="s">
        <v>46</v>
      </c>
      <c r="AY763" t="s">
        <v>50</v>
      </c>
      <c r="AZ763" t="s">
        <v>51</v>
      </c>
      <c r="BA763" t="s">
        <v>52</v>
      </c>
    </row>
    <row r="764" spans="1:65" x14ac:dyDescent="0.2">
      <c r="A764" t="s">
        <v>2865</v>
      </c>
      <c r="B764" t="s">
        <v>3041</v>
      </c>
      <c r="C764" t="s">
        <v>3042</v>
      </c>
      <c r="D764" t="s">
        <v>3043</v>
      </c>
      <c r="E764" t="s">
        <v>3044</v>
      </c>
      <c r="F764" t="s">
        <v>118</v>
      </c>
      <c r="G764" t="str">
        <f>HYPERLINK("https://vk.com/wall-61101621_254539?reply=254815")</f>
        <v>https://vk.com/wall-61101621_254539?reply=254815</v>
      </c>
      <c r="H764" t="s">
        <v>119</v>
      </c>
      <c r="I764" t="s">
        <v>2436</v>
      </c>
      <c r="J764" t="str">
        <f>HYPERLINK("http://vk.com/id8629942")</f>
        <v>http://vk.com/id8629942</v>
      </c>
      <c r="K764">
        <v>627</v>
      </c>
      <c r="L764" t="s">
        <v>121</v>
      </c>
      <c r="N764" t="s">
        <v>122</v>
      </c>
      <c r="O764" t="s">
        <v>160</v>
      </c>
      <c r="P764" t="str">
        <f t="shared" si="7"/>
        <v>http://vk.com/club61101621</v>
      </c>
      <c r="Q764">
        <v>21119</v>
      </c>
      <c r="R764" t="s">
        <v>124</v>
      </c>
      <c r="S764" t="s">
        <v>125</v>
      </c>
      <c r="AM764" t="s">
        <v>129</v>
      </c>
      <c r="AN764" t="s">
        <v>130</v>
      </c>
      <c r="AP764" t="s">
        <v>41</v>
      </c>
      <c r="AW764" t="s">
        <v>48</v>
      </c>
      <c r="AZ764" t="s">
        <v>51</v>
      </c>
      <c r="BB764" t="s">
        <v>53</v>
      </c>
    </row>
    <row r="765" spans="1:65" x14ac:dyDescent="0.2">
      <c r="A765" t="s">
        <v>2865</v>
      </c>
      <c r="B765" t="s">
        <v>1993</v>
      </c>
      <c r="C765" t="s">
        <v>3045</v>
      </c>
      <c r="D765" t="s">
        <v>3046</v>
      </c>
      <c r="E765" t="s">
        <v>3047</v>
      </c>
      <c r="F765" t="s">
        <v>118</v>
      </c>
      <c r="G765" t="str">
        <f>HYPERLINK("https://vk.com/wall-61101621_254540?w=wall-61101621_254540_r254813")</f>
        <v>https://vk.com/wall-61101621_254540?w=wall-61101621_254540_r254813</v>
      </c>
      <c r="H765" t="s">
        <v>181</v>
      </c>
      <c r="I765" t="s">
        <v>2436</v>
      </c>
      <c r="J765" t="str">
        <f>HYPERLINK("http://vk.com/id8629942")</f>
        <v>http://vk.com/id8629942</v>
      </c>
      <c r="K765">
        <v>627</v>
      </c>
      <c r="L765" t="s">
        <v>121</v>
      </c>
      <c r="N765" t="s">
        <v>122</v>
      </c>
      <c r="O765" t="s">
        <v>160</v>
      </c>
      <c r="P765" t="str">
        <f t="shared" si="7"/>
        <v>http://vk.com/club61101621</v>
      </c>
      <c r="Q765">
        <v>21119</v>
      </c>
      <c r="R765" t="s">
        <v>124</v>
      </c>
      <c r="S765" t="s">
        <v>125</v>
      </c>
      <c r="W765">
        <v>0</v>
      </c>
      <c r="X765">
        <v>0</v>
      </c>
      <c r="AM765" t="s">
        <v>129</v>
      </c>
      <c r="AN765" t="s">
        <v>130</v>
      </c>
      <c r="AP765" t="s">
        <v>41</v>
      </c>
      <c r="AW765" t="s">
        <v>48</v>
      </c>
      <c r="AZ765" t="s">
        <v>51</v>
      </c>
      <c r="BA765" t="s">
        <v>52</v>
      </c>
    </row>
    <row r="766" spans="1:65" x14ac:dyDescent="0.2">
      <c r="A766" t="s">
        <v>2865</v>
      </c>
      <c r="B766" t="s">
        <v>2517</v>
      </c>
      <c r="C766" t="s">
        <v>3048</v>
      </c>
      <c r="D766" t="s">
        <v>3049</v>
      </c>
      <c r="E766" t="s">
        <v>3050</v>
      </c>
      <c r="F766" t="s">
        <v>118</v>
      </c>
      <c r="G766" t="str">
        <f>HYPERLINK("https://vk.com/wall-76171056_19727?reply=19753&amp;thread=19729")</f>
        <v>https://vk.com/wall-76171056_19727?reply=19753&amp;thread=19729</v>
      </c>
      <c r="H766" t="s">
        <v>228</v>
      </c>
      <c r="I766" t="s">
        <v>3051</v>
      </c>
      <c r="J766" t="str">
        <f>HYPERLINK("http://vk.com/id90987981")</f>
        <v>http://vk.com/id90987981</v>
      </c>
      <c r="K766">
        <v>233</v>
      </c>
      <c r="L766" t="s">
        <v>151</v>
      </c>
      <c r="N766" t="s">
        <v>122</v>
      </c>
      <c r="O766" t="s">
        <v>3052</v>
      </c>
      <c r="P766" t="str">
        <f>HYPERLINK("http://vk.com/club76171056")</f>
        <v>http://vk.com/club76171056</v>
      </c>
      <c r="Q766">
        <v>8634</v>
      </c>
      <c r="R766" t="s">
        <v>124</v>
      </c>
      <c r="S766" t="s">
        <v>125</v>
      </c>
      <c r="T766" t="s">
        <v>1103</v>
      </c>
      <c r="U766" t="s">
        <v>1104</v>
      </c>
      <c r="AM766" t="s">
        <v>129</v>
      </c>
      <c r="AN766" t="s">
        <v>130</v>
      </c>
      <c r="AP766" t="s">
        <v>41</v>
      </c>
      <c r="AU766" t="s">
        <v>46</v>
      </c>
      <c r="AY766" t="s">
        <v>50</v>
      </c>
      <c r="AZ766" t="s">
        <v>51</v>
      </c>
      <c r="BB766" t="s">
        <v>53</v>
      </c>
    </row>
    <row r="767" spans="1:65" x14ac:dyDescent="0.2">
      <c r="A767" t="s">
        <v>2865</v>
      </c>
      <c r="B767" t="s">
        <v>3053</v>
      </c>
      <c r="C767" t="s">
        <v>3054</v>
      </c>
      <c r="D767" t="s">
        <v>2215</v>
      </c>
      <c r="E767" t="s">
        <v>3055</v>
      </c>
      <c r="F767" t="s">
        <v>118</v>
      </c>
      <c r="G767" t="str">
        <f>HYPERLINK("https://vk.com/wall-27863223_292151?reply=292194&amp;thread=292186")</f>
        <v>https://vk.com/wall-27863223_292151?reply=292194&amp;thread=292186</v>
      </c>
      <c r="H767" t="s">
        <v>119</v>
      </c>
      <c r="I767" t="s">
        <v>3056</v>
      </c>
      <c r="J767" t="str">
        <f>HYPERLINK("http://vk.com/id46592997")</f>
        <v>http://vk.com/id46592997</v>
      </c>
      <c r="K767">
        <v>104</v>
      </c>
      <c r="L767" t="s">
        <v>121</v>
      </c>
      <c r="M767">
        <v>43</v>
      </c>
      <c r="N767" t="s">
        <v>122</v>
      </c>
      <c r="O767" t="s">
        <v>175</v>
      </c>
      <c r="P767" t="str">
        <f>HYPERLINK("http://vk.com/club27863223")</f>
        <v>http://vk.com/club27863223</v>
      </c>
      <c r="Q767">
        <v>134698</v>
      </c>
      <c r="R767" t="s">
        <v>124</v>
      </c>
      <c r="S767" t="s">
        <v>125</v>
      </c>
      <c r="T767" t="s">
        <v>759</v>
      </c>
      <c r="U767" t="s">
        <v>2080</v>
      </c>
      <c r="AM767" t="s">
        <v>129</v>
      </c>
      <c r="AN767" t="s">
        <v>130</v>
      </c>
      <c r="AP767" t="s">
        <v>41</v>
      </c>
      <c r="AT767" t="s">
        <v>45</v>
      </c>
      <c r="AZ767" t="s">
        <v>51</v>
      </c>
      <c r="BA767" t="s">
        <v>52</v>
      </c>
      <c r="BM767" t="s">
        <v>64</v>
      </c>
    </row>
    <row r="768" spans="1:65" x14ac:dyDescent="0.2">
      <c r="A768" t="s">
        <v>2865</v>
      </c>
      <c r="B768" t="s">
        <v>3053</v>
      </c>
      <c r="C768" t="s">
        <v>3045</v>
      </c>
      <c r="D768" t="s">
        <v>2953</v>
      </c>
      <c r="E768" t="s">
        <v>3057</v>
      </c>
      <c r="F768" t="s">
        <v>118</v>
      </c>
      <c r="G768" t="str">
        <f>HYPERLINK("https://vk.com/wall-61101621_254612?w=wall-61101621_254612_r254811")</f>
        <v>https://vk.com/wall-61101621_254612?w=wall-61101621_254612_r254811</v>
      </c>
      <c r="H768" t="s">
        <v>119</v>
      </c>
      <c r="I768" t="s">
        <v>3037</v>
      </c>
      <c r="J768" t="str">
        <f>HYPERLINK("http://vk.com/id147080630")</f>
        <v>http://vk.com/id147080630</v>
      </c>
      <c r="K768">
        <v>94</v>
      </c>
      <c r="L768" t="s">
        <v>121</v>
      </c>
      <c r="N768" t="s">
        <v>122</v>
      </c>
      <c r="O768" t="s">
        <v>160</v>
      </c>
      <c r="P768" t="str">
        <f t="shared" ref="P768:P775" si="8">HYPERLINK("http://vk.com/club61101621")</f>
        <v>http://vk.com/club61101621</v>
      </c>
      <c r="Q768">
        <v>21119</v>
      </c>
      <c r="R768" t="s">
        <v>124</v>
      </c>
      <c r="S768" t="s">
        <v>125</v>
      </c>
      <c r="W768">
        <v>0</v>
      </c>
      <c r="X768">
        <v>0</v>
      </c>
      <c r="AM768" t="s">
        <v>129</v>
      </c>
      <c r="AN768" t="s">
        <v>130</v>
      </c>
      <c r="AP768" t="s">
        <v>41</v>
      </c>
      <c r="AU768" t="s">
        <v>46</v>
      </c>
      <c r="AZ768" t="s">
        <v>51</v>
      </c>
      <c r="BA768" t="s">
        <v>52</v>
      </c>
    </row>
    <row r="769" spans="1:69" x14ac:dyDescent="0.2">
      <c r="A769" t="s">
        <v>2865</v>
      </c>
      <c r="B769" t="s">
        <v>3053</v>
      </c>
      <c r="C769" t="s">
        <v>3054</v>
      </c>
      <c r="D769" t="s">
        <v>2953</v>
      </c>
      <c r="E769" t="s">
        <v>3058</v>
      </c>
      <c r="F769" t="s">
        <v>118</v>
      </c>
      <c r="G769" t="str">
        <f>HYPERLINK("https://vk.com/wall-61101621_254612?reply=254810&amp;thread=254642")</f>
        <v>https://vk.com/wall-61101621_254612?reply=254810&amp;thread=254642</v>
      </c>
      <c r="H769" t="s">
        <v>119</v>
      </c>
      <c r="I769" t="s">
        <v>2436</v>
      </c>
      <c r="J769" t="str">
        <f>HYPERLINK("http://vk.com/id8629942")</f>
        <v>http://vk.com/id8629942</v>
      </c>
      <c r="K769">
        <v>627</v>
      </c>
      <c r="L769" t="s">
        <v>121</v>
      </c>
      <c r="N769" t="s">
        <v>122</v>
      </c>
      <c r="O769" t="s">
        <v>160</v>
      </c>
      <c r="P769" t="str">
        <f t="shared" si="8"/>
        <v>http://vk.com/club61101621</v>
      </c>
      <c r="Q769">
        <v>21119</v>
      </c>
      <c r="R769" t="s">
        <v>124</v>
      </c>
      <c r="S769" t="s">
        <v>125</v>
      </c>
      <c r="AM769" t="s">
        <v>129</v>
      </c>
      <c r="AN769" t="s">
        <v>130</v>
      </c>
      <c r="AP769" t="s">
        <v>41</v>
      </c>
      <c r="AU769" t="s">
        <v>46</v>
      </c>
      <c r="AZ769" t="s">
        <v>51</v>
      </c>
      <c r="BA769" t="s">
        <v>52</v>
      </c>
    </row>
    <row r="770" spans="1:69" x14ac:dyDescent="0.2">
      <c r="A770" t="s">
        <v>2865</v>
      </c>
      <c r="B770" t="s">
        <v>3059</v>
      </c>
      <c r="C770" t="s">
        <v>3045</v>
      </c>
      <c r="D770" t="s">
        <v>2953</v>
      </c>
      <c r="E770" t="s">
        <v>3060</v>
      </c>
      <c r="F770" t="s">
        <v>118</v>
      </c>
      <c r="G770" t="str">
        <f>HYPERLINK("https://vk.com/wall-61101621_254612?w=wall-61101621_254612_r254809")</f>
        <v>https://vk.com/wall-61101621_254612?w=wall-61101621_254612_r254809</v>
      </c>
      <c r="H770" t="s">
        <v>119</v>
      </c>
      <c r="I770" t="s">
        <v>2436</v>
      </c>
      <c r="J770" t="str">
        <f>HYPERLINK("http://vk.com/id8629942")</f>
        <v>http://vk.com/id8629942</v>
      </c>
      <c r="K770">
        <v>627</v>
      </c>
      <c r="L770" t="s">
        <v>121</v>
      </c>
      <c r="N770" t="s">
        <v>122</v>
      </c>
      <c r="O770" t="s">
        <v>160</v>
      </c>
      <c r="P770" t="str">
        <f t="shared" si="8"/>
        <v>http://vk.com/club61101621</v>
      </c>
      <c r="Q770">
        <v>21119</v>
      </c>
      <c r="R770" t="s">
        <v>124</v>
      </c>
      <c r="S770" t="s">
        <v>125</v>
      </c>
      <c r="W770">
        <v>0</v>
      </c>
      <c r="X770">
        <v>0</v>
      </c>
      <c r="AM770" t="s">
        <v>129</v>
      </c>
      <c r="AN770" t="s">
        <v>130</v>
      </c>
      <c r="AP770" t="s">
        <v>41</v>
      </c>
      <c r="AU770" t="s">
        <v>46</v>
      </c>
      <c r="AZ770" t="s">
        <v>51</v>
      </c>
      <c r="BA770" t="s">
        <v>52</v>
      </c>
    </row>
    <row r="771" spans="1:69" x14ac:dyDescent="0.2">
      <c r="A771" t="s">
        <v>2865</v>
      </c>
      <c r="B771" t="s">
        <v>3061</v>
      </c>
      <c r="C771" t="s">
        <v>3045</v>
      </c>
      <c r="D771" t="s">
        <v>2953</v>
      </c>
      <c r="E771" t="s">
        <v>3062</v>
      </c>
      <c r="F771" t="s">
        <v>118</v>
      </c>
      <c r="G771" t="str">
        <f>HYPERLINK("https://vk.com/wall-61101621_254612?w=wall-61101621_254612_r254808")</f>
        <v>https://vk.com/wall-61101621_254612?w=wall-61101621_254612_r254808</v>
      </c>
      <c r="H771" t="s">
        <v>181</v>
      </c>
      <c r="I771" t="s">
        <v>2436</v>
      </c>
      <c r="J771" t="str">
        <f>HYPERLINK("http://vk.com/id8629942")</f>
        <v>http://vk.com/id8629942</v>
      </c>
      <c r="K771">
        <v>627</v>
      </c>
      <c r="L771" t="s">
        <v>121</v>
      </c>
      <c r="N771" t="s">
        <v>122</v>
      </c>
      <c r="O771" t="s">
        <v>160</v>
      </c>
      <c r="P771" t="str">
        <f t="shared" si="8"/>
        <v>http://vk.com/club61101621</v>
      </c>
      <c r="Q771">
        <v>21119</v>
      </c>
      <c r="R771" t="s">
        <v>124</v>
      </c>
      <c r="S771" t="s">
        <v>125</v>
      </c>
      <c r="W771">
        <v>0</v>
      </c>
      <c r="X771">
        <v>0</v>
      </c>
      <c r="AM771" t="s">
        <v>129</v>
      </c>
      <c r="AN771" t="s">
        <v>130</v>
      </c>
      <c r="AP771" t="s">
        <v>41</v>
      </c>
      <c r="AT771" t="s">
        <v>45</v>
      </c>
      <c r="AY771" t="s">
        <v>50</v>
      </c>
      <c r="AZ771" t="s">
        <v>51</v>
      </c>
      <c r="BA771" t="s">
        <v>52</v>
      </c>
    </row>
    <row r="772" spans="1:69" x14ac:dyDescent="0.2">
      <c r="A772" t="s">
        <v>2865</v>
      </c>
      <c r="B772" t="s">
        <v>3063</v>
      </c>
      <c r="C772" t="s">
        <v>3045</v>
      </c>
      <c r="D772" t="s">
        <v>2953</v>
      </c>
      <c r="E772" t="s">
        <v>3064</v>
      </c>
      <c r="F772" t="s">
        <v>118</v>
      </c>
      <c r="G772" t="str">
        <f>HYPERLINK("https://vk.com/wall-61101621_254612?w=wall-61101621_254612_r254807")</f>
        <v>https://vk.com/wall-61101621_254612?w=wall-61101621_254612_r254807</v>
      </c>
      <c r="H772" t="s">
        <v>119</v>
      </c>
      <c r="I772" t="s">
        <v>2436</v>
      </c>
      <c r="J772" t="str">
        <f>HYPERLINK("http://vk.com/id8629942")</f>
        <v>http://vk.com/id8629942</v>
      </c>
      <c r="K772">
        <v>627</v>
      </c>
      <c r="L772" t="s">
        <v>121</v>
      </c>
      <c r="N772" t="s">
        <v>122</v>
      </c>
      <c r="O772" t="s">
        <v>160</v>
      </c>
      <c r="P772" t="str">
        <f t="shared" si="8"/>
        <v>http://vk.com/club61101621</v>
      </c>
      <c r="Q772">
        <v>21119</v>
      </c>
      <c r="R772" t="s">
        <v>124</v>
      </c>
      <c r="S772" t="s">
        <v>125</v>
      </c>
      <c r="W772">
        <v>0</v>
      </c>
      <c r="X772">
        <v>0</v>
      </c>
      <c r="AM772" t="s">
        <v>129</v>
      </c>
      <c r="AN772" t="s">
        <v>130</v>
      </c>
      <c r="AP772" t="s">
        <v>41</v>
      </c>
      <c r="AU772" t="s">
        <v>46</v>
      </c>
      <c r="AZ772" t="s">
        <v>51</v>
      </c>
      <c r="BA772" t="s">
        <v>52</v>
      </c>
    </row>
    <row r="773" spans="1:69" x14ac:dyDescent="0.2">
      <c r="A773" t="s">
        <v>2865</v>
      </c>
      <c r="B773" t="s">
        <v>953</v>
      </c>
      <c r="C773" t="s">
        <v>3065</v>
      </c>
      <c r="D773" t="s">
        <v>2772</v>
      </c>
      <c r="E773" t="s">
        <v>3066</v>
      </c>
      <c r="F773" t="s">
        <v>118</v>
      </c>
      <c r="G773" t="str">
        <f>HYPERLINK("https://vk.com/wall-61101621_254782?reply=254806&amp;thread=254788")</f>
        <v>https://vk.com/wall-61101621_254782?reply=254806&amp;thread=254788</v>
      </c>
      <c r="H773" t="s">
        <v>119</v>
      </c>
      <c r="I773" t="s">
        <v>3067</v>
      </c>
      <c r="J773" t="str">
        <f>HYPERLINK("http://vk.com/id7451579")</f>
        <v>http://vk.com/id7451579</v>
      </c>
      <c r="K773">
        <v>88</v>
      </c>
      <c r="L773" t="s">
        <v>151</v>
      </c>
      <c r="N773" t="s">
        <v>122</v>
      </c>
      <c r="O773" t="s">
        <v>160</v>
      </c>
      <c r="P773" t="str">
        <f t="shared" si="8"/>
        <v>http://vk.com/club61101621</v>
      </c>
      <c r="Q773">
        <v>21119</v>
      </c>
      <c r="R773" t="s">
        <v>124</v>
      </c>
      <c r="S773" t="s">
        <v>125</v>
      </c>
      <c r="T773" t="s">
        <v>169</v>
      </c>
      <c r="U773" t="s">
        <v>169</v>
      </c>
      <c r="AM773" t="s">
        <v>129</v>
      </c>
      <c r="AN773" t="s">
        <v>130</v>
      </c>
      <c r="AP773" t="s">
        <v>41</v>
      </c>
      <c r="AU773" t="s">
        <v>46</v>
      </c>
      <c r="AZ773" t="s">
        <v>51</v>
      </c>
      <c r="BA773" t="s">
        <v>52</v>
      </c>
    </row>
    <row r="774" spans="1:69" x14ac:dyDescent="0.2">
      <c r="A774" t="s">
        <v>2865</v>
      </c>
      <c r="B774" t="s">
        <v>958</v>
      </c>
      <c r="C774" t="s">
        <v>3068</v>
      </c>
      <c r="D774" t="s">
        <v>3017</v>
      </c>
      <c r="E774" t="s">
        <v>3069</v>
      </c>
      <c r="F774" t="s">
        <v>118</v>
      </c>
      <c r="G774" t="str">
        <f>HYPERLINK("https://vk.com/wall-61101621_254779?reply=254805")</f>
        <v>https://vk.com/wall-61101621_254779?reply=254805</v>
      </c>
      <c r="H774" t="s">
        <v>119</v>
      </c>
      <c r="I774" t="s">
        <v>3070</v>
      </c>
      <c r="J774" t="str">
        <f>HYPERLINK("http://vk.com/id50172316")</f>
        <v>http://vk.com/id50172316</v>
      </c>
      <c r="K774">
        <v>90</v>
      </c>
      <c r="M774">
        <v>37</v>
      </c>
      <c r="N774" t="s">
        <v>122</v>
      </c>
      <c r="O774" t="s">
        <v>160</v>
      </c>
      <c r="P774" t="str">
        <f t="shared" si="8"/>
        <v>http://vk.com/club61101621</v>
      </c>
      <c r="Q774">
        <v>21119</v>
      </c>
      <c r="R774" t="s">
        <v>124</v>
      </c>
      <c r="S774" t="s">
        <v>125</v>
      </c>
      <c r="T774" t="s">
        <v>989</v>
      </c>
      <c r="U774" t="s">
        <v>3071</v>
      </c>
      <c r="W774">
        <v>0</v>
      </c>
      <c r="X774">
        <v>0</v>
      </c>
      <c r="AM774" t="s">
        <v>129</v>
      </c>
      <c r="AN774" t="s">
        <v>130</v>
      </c>
      <c r="AP774" t="s">
        <v>41</v>
      </c>
      <c r="AU774" t="s">
        <v>46</v>
      </c>
      <c r="AZ774" t="s">
        <v>51</v>
      </c>
      <c r="BA774" t="s">
        <v>52</v>
      </c>
    </row>
    <row r="775" spans="1:69" x14ac:dyDescent="0.2">
      <c r="A775" t="s">
        <v>2865</v>
      </c>
      <c r="B775" t="s">
        <v>3072</v>
      </c>
      <c r="C775" t="s">
        <v>3073</v>
      </c>
      <c r="D775" t="s">
        <v>3017</v>
      </c>
      <c r="E775" t="s">
        <v>3074</v>
      </c>
      <c r="F775" t="s">
        <v>118</v>
      </c>
      <c r="G775" t="str">
        <f>HYPERLINK("https://vk.com/wall-61101621_254779?reply=254799")</f>
        <v>https://vk.com/wall-61101621_254779?reply=254799</v>
      </c>
      <c r="H775" t="s">
        <v>119</v>
      </c>
      <c r="I775" t="s">
        <v>3070</v>
      </c>
      <c r="J775" t="str">
        <f>HYPERLINK("http://vk.com/id50172316")</f>
        <v>http://vk.com/id50172316</v>
      </c>
      <c r="K775">
        <v>90</v>
      </c>
      <c r="M775">
        <v>37</v>
      </c>
      <c r="N775" t="s">
        <v>122</v>
      </c>
      <c r="O775" t="s">
        <v>160</v>
      </c>
      <c r="P775" t="str">
        <f t="shared" si="8"/>
        <v>http://vk.com/club61101621</v>
      </c>
      <c r="Q775">
        <v>21119</v>
      </c>
      <c r="R775" t="s">
        <v>124</v>
      </c>
      <c r="S775" t="s">
        <v>125</v>
      </c>
      <c r="T775" t="s">
        <v>989</v>
      </c>
      <c r="U775" t="s">
        <v>3071</v>
      </c>
      <c r="W775">
        <v>0</v>
      </c>
      <c r="X775">
        <v>0</v>
      </c>
      <c r="AJ775" t="s">
        <v>129</v>
      </c>
      <c r="AK775" t="s">
        <v>3075</v>
      </c>
      <c r="AL775" t="str">
        <f>HYPERLINK("https://sun9-20.userapi.com/impg/jmSCksF7WOgNSrk_VoDR857TcNtQaYIxa8wSOg/q-Wfs31xLLM.jpg?size=1920x1080&amp;quality=96&amp;sign=759a568c0ca6dfa6193b9cab59d68e89&amp;c_uniq_tag=AGZ6apvV2PgXBFg_KcsnoDfrApPP443S1d7HmZ9_NSM&amp;type=album")</f>
        <v>https://sun9-20.userapi.com/impg/jmSCksF7WOgNSrk_VoDR857TcNtQaYIxa8wSOg/q-Wfs31xLLM.jpg?size=1920x1080&amp;quality=96&amp;sign=759a568c0ca6dfa6193b9cab59d68e89&amp;c_uniq_tag=AGZ6apvV2PgXBFg_KcsnoDfrApPP443S1d7HmZ9_NSM&amp;type=album</v>
      </c>
      <c r="AM775" t="s">
        <v>129</v>
      </c>
      <c r="AN775" t="s">
        <v>130</v>
      </c>
      <c r="AP775" t="s">
        <v>41</v>
      </c>
      <c r="AU775" t="s">
        <v>46</v>
      </c>
      <c r="AZ775" t="s">
        <v>51</v>
      </c>
      <c r="BA775" t="s">
        <v>52</v>
      </c>
    </row>
    <row r="776" spans="1:69" x14ac:dyDescent="0.2">
      <c r="A776" t="s">
        <v>2865</v>
      </c>
      <c r="B776" t="s">
        <v>3076</v>
      </c>
      <c r="C776" t="s">
        <v>3077</v>
      </c>
      <c r="D776" t="s">
        <v>204</v>
      </c>
      <c r="E776" t="s">
        <v>3078</v>
      </c>
      <c r="F776" t="s">
        <v>180</v>
      </c>
      <c r="G776" t="str">
        <f>HYPERLINK("https://play.google.com/store/apps/details?id=ru.iflex.android.a3colortv&amp;reviewId=gp:AOqpTOE1YoS3QJUO-LLH4Mpsj5qnXUJP5xzYa5nGpp3cCNuV3Zy0rEE5YMIOVDtHlXYj6dysvz2hNVbVBtgRww")</f>
        <v>https://play.google.com/store/apps/details?id=ru.iflex.android.a3colortv&amp;reviewId=gp:AOqpTOE1YoS3QJUO-LLH4Mpsj5qnXUJP5xzYa5nGpp3cCNuV3Zy0rEE5YMIOVDtHlXYj6dysvz2hNVbVBtgRww</v>
      </c>
      <c r="H776" t="s">
        <v>228</v>
      </c>
      <c r="I776" t="s">
        <v>3079</v>
      </c>
      <c r="J776" t="str">
        <f>HYPERLINK("https://plus.google.com/113753337290605701114")</f>
        <v>https://plus.google.com/113753337290605701114</v>
      </c>
      <c r="L776" t="s">
        <v>121</v>
      </c>
      <c r="N776" t="s">
        <v>207</v>
      </c>
      <c r="O776" t="s">
        <v>204</v>
      </c>
      <c r="P776" t="str">
        <f>HYPERLINK("https://play.google.com/store/apps/details?id=ru.iflex.android.a3colortv&amp;hl=ru")</f>
        <v>https://play.google.com/store/apps/details?id=ru.iflex.android.a3colortv&amp;hl=ru</v>
      </c>
      <c r="R776" t="s">
        <v>184</v>
      </c>
      <c r="S776" t="s">
        <v>125</v>
      </c>
      <c r="W776">
        <v>0</v>
      </c>
      <c r="X776">
        <v>0</v>
      </c>
      <c r="AH776">
        <v>1</v>
      </c>
      <c r="AM776" t="s">
        <v>129</v>
      </c>
      <c r="AN776" t="s">
        <v>130</v>
      </c>
      <c r="AP776" t="s">
        <v>41</v>
      </c>
      <c r="AZ776" t="s">
        <v>51</v>
      </c>
      <c r="BA776" t="s">
        <v>52</v>
      </c>
      <c r="BQ776" t="s">
        <v>68</v>
      </c>
    </row>
    <row r="777" spans="1:69" x14ac:dyDescent="0.2">
      <c r="A777" t="s">
        <v>2865</v>
      </c>
      <c r="B777" t="s">
        <v>2547</v>
      </c>
      <c r="C777" t="s">
        <v>3080</v>
      </c>
      <c r="D777" t="s">
        <v>1393</v>
      </c>
      <c r="E777" t="s">
        <v>3081</v>
      </c>
      <c r="F777" t="s">
        <v>180</v>
      </c>
      <c r="G777" t="str">
        <f>HYPERLINK("https://www.wildberries.ru/catalog/25679481/detail.aspx?targetUrl=ES#Comments")</f>
        <v>https://www.wildberries.ru/catalog/25679481/detail.aspx?targetUrl=ES#Comments</v>
      </c>
      <c r="H777" t="s">
        <v>181</v>
      </c>
      <c r="I777" t="s">
        <v>3082</v>
      </c>
      <c r="J777" t="str">
        <f>HYPERLINK("https://www.wildberries.ru/profile/w7TDssOkw7PCu8KywrfCscK5wrXCucK5wrg=")</f>
        <v>https://www.wildberries.ru/profile/w7TDssOkw7PCu8KywrfCscK5wrXCucK5wrg=</v>
      </c>
      <c r="L777" t="s">
        <v>151</v>
      </c>
      <c r="N777" t="s">
        <v>534</v>
      </c>
      <c r="O777" t="s">
        <v>1393</v>
      </c>
      <c r="P777" t="str">
        <f>HYPERLINK("https://www.wildberries.ru/catalog/18941848/detail.aspx")</f>
        <v>https://www.wildberries.ru/catalog/18941848/detail.aspx</v>
      </c>
      <c r="R777" t="s">
        <v>184</v>
      </c>
      <c r="S777" t="s">
        <v>125</v>
      </c>
      <c r="W777">
        <v>0</v>
      </c>
      <c r="X777">
        <v>0</v>
      </c>
      <c r="AH777">
        <v>5</v>
      </c>
      <c r="AM777" t="s">
        <v>129</v>
      </c>
      <c r="AN777" t="s">
        <v>130</v>
      </c>
      <c r="AP777" t="s">
        <v>41</v>
      </c>
      <c r="AZ777" t="s">
        <v>51</v>
      </c>
      <c r="BA777" t="s">
        <v>52</v>
      </c>
      <c r="BK777" t="s">
        <v>62</v>
      </c>
      <c r="BL777" t="s">
        <v>63</v>
      </c>
    </row>
    <row r="778" spans="1:69" x14ac:dyDescent="0.2">
      <c r="A778" t="s">
        <v>2865</v>
      </c>
      <c r="B778" t="s">
        <v>1514</v>
      </c>
      <c r="C778" t="s">
        <v>3083</v>
      </c>
      <c r="D778" t="s">
        <v>3017</v>
      </c>
      <c r="E778" t="s">
        <v>3084</v>
      </c>
      <c r="F778" t="s">
        <v>118</v>
      </c>
      <c r="G778" t="str">
        <f>HYPERLINK("https://vk.com/wall-61101621_254779?reply=254798")</f>
        <v>https://vk.com/wall-61101621_254779?reply=254798</v>
      </c>
      <c r="H778" t="s">
        <v>119</v>
      </c>
      <c r="I778" t="s">
        <v>3070</v>
      </c>
      <c r="J778" t="str">
        <f>HYPERLINK("http://vk.com/id50172316")</f>
        <v>http://vk.com/id50172316</v>
      </c>
      <c r="K778">
        <v>90</v>
      </c>
      <c r="M778">
        <v>37</v>
      </c>
      <c r="N778" t="s">
        <v>122</v>
      </c>
      <c r="O778" t="s">
        <v>160</v>
      </c>
      <c r="P778" t="str">
        <f>HYPERLINK("http://vk.com/club61101621")</f>
        <v>http://vk.com/club61101621</v>
      </c>
      <c r="Q778">
        <v>21119</v>
      </c>
      <c r="R778" t="s">
        <v>124</v>
      </c>
      <c r="S778" t="s">
        <v>125</v>
      </c>
      <c r="T778" t="s">
        <v>989</v>
      </c>
      <c r="U778" t="s">
        <v>3071</v>
      </c>
      <c r="W778">
        <v>0</v>
      </c>
      <c r="X778">
        <v>0</v>
      </c>
      <c r="AM778" t="s">
        <v>129</v>
      </c>
      <c r="AN778" t="s">
        <v>130</v>
      </c>
      <c r="AP778" t="s">
        <v>41</v>
      </c>
      <c r="AU778" t="s">
        <v>46</v>
      </c>
      <c r="AZ778" t="s">
        <v>51</v>
      </c>
      <c r="BA778" t="s">
        <v>52</v>
      </c>
    </row>
    <row r="779" spans="1:69" x14ac:dyDescent="0.2">
      <c r="A779" t="s">
        <v>2865</v>
      </c>
      <c r="B779" t="s">
        <v>430</v>
      </c>
      <c r="C779" t="s">
        <v>3085</v>
      </c>
      <c r="D779" t="s">
        <v>1727</v>
      </c>
      <c r="E779" t="s">
        <v>3086</v>
      </c>
      <c r="F779" t="s">
        <v>180</v>
      </c>
      <c r="G779" t="str">
        <f>HYPERLINK("https://www.ozon.ru/context/detail/id/248909251/#62208068")</f>
        <v>https://www.ozon.ru/context/detail/id/248909251/#62208068</v>
      </c>
      <c r="H779" t="s">
        <v>119</v>
      </c>
      <c r="I779" t="s">
        <v>3087</v>
      </c>
      <c r="J779" t="str">
        <f>HYPERLINK("https://www.ozon.ru/context/client_opinion/ClientGuid/af9db597-28b4-4b18-b0ab-1877e4ca3bc6/")</f>
        <v>https://www.ozon.ru/context/client_opinion/ClientGuid/af9db597-28b4-4b18-b0ab-1877e4ca3bc6/</v>
      </c>
      <c r="L779" t="s">
        <v>121</v>
      </c>
      <c r="N779" t="s">
        <v>183</v>
      </c>
      <c r="O779" t="s">
        <v>1729</v>
      </c>
      <c r="P779" t="str">
        <f>HYPERLINK("https://www.ozon.ru/context/detail/id/248909251/")</f>
        <v>https://www.ozon.ru/context/detail/id/248909251/</v>
      </c>
      <c r="R779" t="s">
        <v>184</v>
      </c>
      <c r="S779" t="s">
        <v>125</v>
      </c>
      <c r="W779">
        <v>0</v>
      </c>
      <c r="X779">
        <v>0</v>
      </c>
      <c r="AH779">
        <v>2</v>
      </c>
      <c r="AM779" t="s">
        <v>129</v>
      </c>
      <c r="AN779" t="s">
        <v>130</v>
      </c>
      <c r="AP779" t="s">
        <v>41</v>
      </c>
      <c r="AT779" t="s">
        <v>45</v>
      </c>
      <c r="AZ779" t="s">
        <v>51</v>
      </c>
      <c r="BA779" t="s">
        <v>52</v>
      </c>
      <c r="BL779" t="s">
        <v>63</v>
      </c>
    </row>
    <row r="780" spans="1:69" x14ac:dyDescent="0.2">
      <c r="A780" t="s">
        <v>2865</v>
      </c>
      <c r="B780" t="s">
        <v>3088</v>
      </c>
      <c r="C780" t="s">
        <v>3089</v>
      </c>
      <c r="D780" t="s">
        <v>2215</v>
      </c>
      <c r="E780" t="s">
        <v>3090</v>
      </c>
      <c r="F780" t="s">
        <v>118</v>
      </c>
      <c r="G780" t="str">
        <f>HYPERLINK("https://vk.com/wall-27863223_292151?reply=292188")</f>
        <v>https://vk.com/wall-27863223_292151?reply=292188</v>
      </c>
      <c r="H780" t="s">
        <v>119</v>
      </c>
      <c r="I780" t="s">
        <v>3056</v>
      </c>
      <c r="J780" t="str">
        <f>HYPERLINK("http://vk.com/id46592997")</f>
        <v>http://vk.com/id46592997</v>
      </c>
      <c r="K780">
        <v>104</v>
      </c>
      <c r="L780" t="s">
        <v>121</v>
      </c>
      <c r="M780">
        <v>43</v>
      </c>
      <c r="N780" t="s">
        <v>122</v>
      </c>
      <c r="O780" t="s">
        <v>175</v>
      </c>
      <c r="P780" t="str">
        <f>HYPERLINK("http://vk.com/club27863223")</f>
        <v>http://vk.com/club27863223</v>
      </c>
      <c r="Q780">
        <v>134698</v>
      </c>
      <c r="R780" t="s">
        <v>124</v>
      </c>
      <c r="S780" t="s">
        <v>125</v>
      </c>
      <c r="T780" t="s">
        <v>759</v>
      </c>
      <c r="U780" t="s">
        <v>2080</v>
      </c>
      <c r="W780">
        <v>0</v>
      </c>
      <c r="X780">
        <v>0</v>
      </c>
      <c r="AM780" t="s">
        <v>129</v>
      </c>
      <c r="AN780" t="s">
        <v>130</v>
      </c>
      <c r="AP780" t="s">
        <v>41</v>
      </c>
      <c r="AZ780" t="s">
        <v>51</v>
      </c>
      <c r="BA780" t="s">
        <v>52</v>
      </c>
      <c r="BL780" t="s">
        <v>63</v>
      </c>
      <c r="BM780" t="s">
        <v>64</v>
      </c>
    </row>
    <row r="781" spans="1:69" x14ac:dyDescent="0.2">
      <c r="A781" t="s">
        <v>2865</v>
      </c>
      <c r="B781" t="s">
        <v>2568</v>
      </c>
      <c r="C781" t="s">
        <v>3089</v>
      </c>
      <c r="D781" t="s">
        <v>2215</v>
      </c>
      <c r="E781" t="s">
        <v>3091</v>
      </c>
      <c r="F781" t="s">
        <v>118</v>
      </c>
      <c r="G781" t="str">
        <f>HYPERLINK("https://vk.com/wall-27863223_292151?reply=292186")</f>
        <v>https://vk.com/wall-27863223_292151?reply=292186</v>
      </c>
      <c r="H781" t="s">
        <v>119</v>
      </c>
      <c r="I781" t="s">
        <v>3056</v>
      </c>
      <c r="J781" t="str">
        <f>HYPERLINK("http://vk.com/id46592997")</f>
        <v>http://vk.com/id46592997</v>
      </c>
      <c r="K781">
        <v>104</v>
      </c>
      <c r="L781" t="s">
        <v>121</v>
      </c>
      <c r="M781">
        <v>43</v>
      </c>
      <c r="N781" t="s">
        <v>122</v>
      </c>
      <c r="O781" t="s">
        <v>175</v>
      </c>
      <c r="P781" t="str">
        <f>HYPERLINK("http://vk.com/club27863223")</f>
        <v>http://vk.com/club27863223</v>
      </c>
      <c r="Q781">
        <v>134698</v>
      </c>
      <c r="R781" t="s">
        <v>124</v>
      </c>
      <c r="S781" t="s">
        <v>125</v>
      </c>
      <c r="T781" t="s">
        <v>759</v>
      </c>
      <c r="U781" t="s">
        <v>2080</v>
      </c>
      <c r="W781">
        <v>0</v>
      </c>
      <c r="X781">
        <v>0</v>
      </c>
      <c r="AM781" t="s">
        <v>129</v>
      </c>
      <c r="AN781" t="s">
        <v>130</v>
      </c>
      <c r="AP781" t="s">
        <v>41</v>
      </c>
      <c r="AU781" t="s">
        <v>46</v>
      </c>
      <c r="AZ781" t="s">
        <v>51</v>
      </c>
      <c r="BA781" t="s">
        <v>52</v>
      </c>
    </row>
    <row r="782" spans="1:69" x14ac:dyDescent="0.2">
      <c r="A782" t="s">
        <v>2865</v>
      </c>
      <c r="B782" t="s">
        <v>3092</v>
      </c>
      <c r="C782" t="s">
        <v>3093</v>
      </c>
      <c r="D782" t="s">
        <v>3094</v>
      </c>
      <c r="E782" t="s">
        <v>3095</v>
      </c>
      <c r="F782" t="s">
        <v>118</v>
      </c>
      <c r="G782" t="str">
        <f>HYPERLINK("https://vk.com/wall-61101621_254687?reply=254795&amp;thread=254732")</f>
        <v>https://vk.com/wall-61101621_254687?reply=254795&amp;thread=254732</v>
      </c>
      <c r="H782" t="s">
        <v>119</v>
      </c>
      <c r="I782" t="s">
        <v>2436</v>
      </c>
      <c r="J782" t="str">
        <f>HYPERLINK("http://vk.com/id8629942")</f>
        <v>http://vk.com/id8629942</v>
      </c>
      <c r="K782">
        <v>627</v>
      </c>
      <c r="L782" t="s">
        <v>121</v>
      </c>
      <c r="N782" t="s">
        <v>122</v>
      </c>
      <c r="O782" t="s">
        <v>160</v>
      </c>
      <c r="P782" t="str">
        <f t="shared" ref="P782:P789" si="9">HYPERLINK("http://vk.com/club61101621")</f>
        <v>http://vk.com/club61101621</v>
      </c>
      <c r="Q782">
        <v>21119</v>
      </c>
      <c r="R782" t="s">
        <v>124</v>
      </c>
      <c r="S782" t="s">
        <v>125</v>
      </c>
      <c r="AM782" t="s">
        <v>129</v>
      </c>
      <c r="AN782" t="s">
        <v>130</v>
      </c>
      <c r="AP782" t="s">
        <v>41</v>
      </c>
      <c r="AU782" t="s">
        <v>46</v>
      </c>
      <c r="AZ782" t="s">
        <v>51</v>
      </c>
      <c r="BA782" t="s">
        <v>52</v>
      </c>
    </row>
    <row r="783" spans="1:69" x14ac:dyDescent="0.2">
      <c r="A783" t="s">
        <v>2865</v>
      </c>
      <c r="B783" t="s">
        <v>2035</v>
      </c>
      <c r="C783" t="s">
        <v>3096</v>
      </c>
      <c r="D783" t="s">
        <v>3094</v>
      </c>
      <c r="E783" t="s">
        <v>3097</v>
      </c>
      <c r="F783" t="s">
        <v>118</v>
      </c>
      <c r="G783" t="str">
        <f>HYPERLINK("https://vk.com/wall-61101621_254687?reply=254794&amp;thread=254695")</f>
        <v>https://vk.com/wall-61101621_254687?reply=254794&amp;thread=254695</v>
      </c>
      <c r="H783" t="s">
        <v>119</v>
      </c>
      <c r="I783" t="s">
        <v>2436</v>
      </c>
      <c r="J783" t="str">
        <f>HYPERLINK("http://vk.com/id8629942")</f>
        <v>http://vk.com/id8629942</v>
      </c>
      <c r="K783">
        <v>627</v>
      </c>
      <c r="L783" t="s">
        <v>121</v>
      </c>
      <c r="N783" t="s">
        <v>122</v>
      </c>
      <c r="O783" t="s">
        <v>160</v>
      </c>
      <c r="P783" t="str">
        <f t="shared" si="9"/>
        <v>http://vk.com/club61101621</v>
      </c>
      <c r="Q783">
        <v>21119</v>
      </c>
      <c r="R783" t="s">
        <v>124</v>
      </c>
      <c r="S783" t="s">
        <v>125</v>
      </c>
      <c r="AM783" t="s">
        <v>129</v>
      </c>
      <c r="AN783" t="s">
        <v>130</v>
      </c>
      <c r="AP783" t="s">
        <v>41</v>
      </c>
      <c r="AU783" t="s">
        <v>46</v>
      </c>
      <c r="AY783" t="s">
        <v>50</v>
      </c>
      <c r="AZ783" t="s">
        <v>51</v>
      </c>
      <c r="BA783" t="s">
        <v>52</v>
      </c>
      <c r="BL783" t="s">
        <v>63</v>
      </c>
    </row>
    <row r="784" spans="1:69" x14ac:dyDescent="0.2">
      <c r="A784" t="s">
        <v>2865</v>
      </c>
      <c r="B784" t="s">
        <v>1527</v>
      </c>
      <c r="C784" t="s">
        <v>3093</v>
      </c>
      <c r="D784" t="s">
        <v>3017</v>
      </c>
      <c r="E784" t="s">
        <v>3098</v>
      </c>
      <c r="F784" t="s">
        <v>118</v>
      </c>
      <c r="G784" t="str">
        <f>HYPERLINK("https://vk.com/wall-61101621_254779?reply=254792")</f>
        <v>https://vk.com/wall-61101621_254779?reply=254792</v>
      </c>
      <c r="H784" t="s">
        <v>119</v>
      </c>
      <c r="I784" t="s">
        <v>1722</v>
      </c>
      <c r="J784" t="str">
        <f>HYPERLINK("http://vk.com/id240644107")</f>
        <v>http://vk.com/id240644107</v>
      </c>
      <c r="K784">
        <v>33</v>
      </c>
      <c r="L784" t="s">
        <v>121</v>
      </c>
      <c r="N784" t="s">
        <v>122</v>
      </c>
      <c r="O784" t="s">
        <v>160</v>
      </c>
      <c r="P784" t="str">
        <f t="shared" si="9"/>
        <v>http://vk.com/club61101621</v>
      </c>
      <c r="Q784">
        <v>21119</v>
      </c>
      <c r="R784" t="s">
        <v>124</v>
      </c>
      <c r="S784" t="s">
        <v>125</v>
      </c>
      <c r="T784" t="s">
        <v>169</v>
      </c>
      <c r="U784" t="s">
        <v>169</v>
      </c>
      <c r="W784">
        <v>2</v>
      </c>
      <c r="X784">
        <v>2</v>
      </c>
      <c r="AM784" t="s">
        <v>129</v>
      </c>
      <c r="AN784" t="s">
        <v>130</v>
      </c>
      <c r="AP784" t="s">
        <v>41</v>
      </c>
      <c r="AU784" t="s">
        <v>46</v>
      </c>
      <c r="AZ784" t="s">
        <v>51</v>
      </c>
      <c r="BA784" t="s">
        <v>52</v>
      </c>
    </row>
    <row r="785" spans="1:67" x14ac:dyDescent="0.2">
      <c r="A785" t="s">
        <v>2865</v>
      </c>
      <c r="B785" t="s">
        <v>446</v>
      </c>
      <c r="C785" t="s">
        <v>3099</v>
      </c>
      <c r="D785" t="s">
        <v>3017</v>
      </c>
      <c r="E785" t="s">
        <v>3100</v>
      </c>
      <c r="F785" t="s">
        <v>118</v>
      </c>
      <c r="G785" t="str">
        <f>HYPERLINK("https://vk.com/wall-61101621_254779?reply=254791")</f>
        <v>https://vk.com/wall-61101621_254779?reply=254791</v>
      </c>
      <c r="H785" t="s">
        <v>181</v>
      </c>
      <c r="I785" t="s">
        <v>2436</v>
      </c>
      <c r="J785" t="str">
        <f>HYPERLINK("http://vk.com/id8629942")</f>
        <v>http://vk.com/id8629942</v>
      </c>
      <c r="K785">
        <v>627</v>
      </c>
      <c r="L785" t="s">
        <v>121</v>
      </c>
      <c r="N785" t="s">
        <v>122</v>
      </c>
      <c r="O785" t="s">
        <v>160</v>
      </c>
      <c r="P785" t="str">
        <f t="shared" si="9"/>
        <v>http://vk.com/club61101621</v>
      </c>
      <c r="Q785">
        <v>21119</v>
      </c>
      <c r="R785" t="s">
        <v>124</v>
      </c>
      <c r="S785" t="s">
        <v>125</v>
      </c>
      <c r="AM785" t="s">
        <v>129</v>
      </c>
      <c r="AN785" t="s">
        <v>130</v>
      </c>
      <c r="AP785" t="s">
        <v>41</v>
      </c>
      <c r="AT785" t="s">
        <v>45</v>
      </c>
      <c r="AZ785" t="s">
        <v>51</v>
      </c>
      <c r="BA785" t="s">
        <v>52</v>
      </c>
    </row>
    <row r="786" spans="1:67" x14ac:dyDescent="0.2">
      <c r="A786" t="s">
        <v>2865</v>
      </c>
      <c r="B786" t="s">
        <v>3101</v>
      </c>
      <c r="C786" t="s">
        <v>3093</v>
      </c>
      <c r="D786" t="s">
        <v>3017</v>
      </c>
      <c r="E786" t="s">
        <v>3102</v>
      </c>
      <c r="F786" t="s">
        <v>118</v>
      </c>
      <c r="G786" t="str">
        <f>HYPERLINK("https://vk.com/wall-61101621_254779?reply=254790")</f>
        <v>https://vk.com/wall-61101621_254779?reply=254790</v>
      </c>
      <c r="H786" t="s">
        <v>119</v>
      </c>
      <c r="I786" t="s">
        <v>2527</v>
      </c>
      <c r="J786" t="str">
        <f>HYPERLINK("http://vk.com/id382015409")</f>
        <v>http://vk.com/id382015409</v>
      </c>
      <c r="K786">
        <v>862</v>
      </c>
      <c r="N786" t="s">
        <v>122</v>
      </c>
      <c r="O786" t="s">
        <v>160</v>
      </c>
      <c r="P786" t="str">
        <f t="shared" si="9"/>
        <v>http://vk.com/club61101621</v>
      </c>
      <c r="Q786">
        <v>21119</v>
      </c>
      <c r="R786" t="s">
        <v>124</v>
      </c>
      <c r="S786" t="s">
        <v>125</v>
      </c>
      <c r="W786">
        <v>0</v>
      </c>
      <c r="X786">
        <v>0</v>
      </c>
      <c r="AM786" t="s">
        <v>129</v>
      </c>
      <c r="AN786" t="s">
        <v>130</v>
      </c>
      <c r="AP786" t="s">
        <v>41</v>
      </c>
      <c r="AU786" t="s">
        <v>46</v>
      </c>
      <c r="AZ786" t="s">
        <v>51</v>
      </c>
      <c r="BA786" t="s">
        <v>52</v>
      </c>
    </row>
    <row r="787" spans="1:67" x14ac:dyDescent="0.2">
      <c r="A787" t="s">
        <v>2865</v>
      </c>
      <c r="B787" t="s">
        <v>3101</v>
      </c>
      <c r="C787" t="s">
        <v>3093</v>
      </c>
      <c r="D787" t="s">
        <v>1373</v>
      </c>
      <c r="E787" t="s">
        <v>3103</v>
      </c>
      <c r="F787" t="s">
        <v>118</v>
      </c>
      <c r="G787" t="str">
        <f>HYPERLINK("https://vk.com/wall-61101621_254780?w=wall-61101621_254780_r254789")</f>
        <v>https://vk.com/wall-61101621_254780?w=wall-61101621_254780_r254789</v>
      </c>
      <c r="H787" t="s">
        <v>119</v>
      </c>
      <c r="I787" t="s">
        <v>2436</v>
      </c>
      <c r="J787" t="str">
        <f>HYPERLINK("http://vk.com/id8629942")</f>
        <v>http://vk.com/id8629942</v>
      </c>
      <c r="K787">
        <v>627</v>
      </c>
      <c r="L787" t="s">
        <v>121</v>
      </c>
      <c r="N787" t="s">
        <v>122</v>
      </c>
      <c r="O787" t="s">
        <v>160</v>
      </c>
      <c r="P787" t="str">
        <f t="shared" si="9"/>
        <v>http://vk.com/club61101621</v>
      </c>
      <c r="Q787">
        <v>21119</v>
      </c>
      <c r="R787" t="s">
        <v>124</v>
      </c>
      <c r="S787" t="s">
        <v>125</v>
      </c>
      <c r="W787">
        <v>0</v>
      </c>
      <c r="X787">
        <v>0</v>
      </c>
      <c r="AM787" t="s">
        <v>129</v>
      </c>
      <c r="AN787" t="s">
        <v>130</v>
      </c>
      <c r="AP787" t="s">
        <v>41</v>
      </c>
      <c r="AZ787" t="s">
        <v>51</v>
      </c>
      <c r="BA787" t="s">
        <v>52</v>
      </c>
      <c r="BO787" t="s">
        <v>66</v>
      </c>
    </row>
    <row r="788" spans="1:67" x14ac:dyDescent="0.2">
      <c r="A788" t="s">
        <v>2865</v>
      </c>
      <c r="B788" t="s">
        <v>3104</v>
      </c>
      <c r="C788" t="s">
        <v>3093</v>
      </c>
      <c r="D788" t="s">
        <v>3017</v>
      </c>
      <c r="E788" t="s">
        <v>3105</v>
      </c>
      <c r="F788" t="s">
        <v>118</v>
      </c>
      <c r="G788" t="str">
        <f>HYPERLINK("https://vk.com/wall-61101621_254779?reply=254787")</f>
        <v>https://vk.com/wall-61101621_254779?reply=254787</v>
      </c>
      <c r="H788" t="s">
        <v>119</v>
      </c>
      <c r="I788" t="s">
        <v>3106</v>
      </c>
      <c r="J788" t="str">
        <f>HYPERLINK("http://vk.com/id3438593")</f>
        <v>http://vk.com/id3438593</v>
      </c>
      <c r="K788">
        <v>49</v>
      </c>
      <c r="L788" t="s">
        <v>121</v>
      </c>
      <c r="N788" t="s">
        <v>122</v>
      </c>
      <c r="O788" t="s">
        <v>160</v>
      </c>
      <c r="P788" t="str">
        <f t="shared" si="9"/>
        <v>http://vk.com/club61101621</v>
      </c>
      <c r="Q788">
        <v>21119</v>
      </c>
      <c r="R788" t="s">
        <v>124</v>
      </c>
      <c r="S788" t="s">
        <v>125</v>
      </c>
      <c r="T788" t="s">
        <v>169</v>
      </c>
      <c r="U788" t="s">
        <v>169</v>
      </c>
      <c r="W788">
        <v>0</v>
      </c>
      <c r="X788">
        <v>0</v>
      </c>
      <c r="AM788" t="s">
        <v>129</v>
      </c>
      <c r="AN788" t="s">
        <v>130</v>
      </c>
      <c r="AP788" t="s">
        <v>41</v>
      </c>
      <c r="AU788" t="s">
        <v>46</v>
      </c>
      <c r="AZ788" t="s">
        <v>51</v>
      </c>
      <c r="BA788" t="s">
        <v>52</v>
      </c>
    </row>
    <row r="789" spans="1:67" x14ac:dyDescent="0.2">
      <c r="A789" t="s">
        <v>2865</v>
      </c>
      <c r="B789" t="s">
        <v>3104</v>
      </c>
      <c r="C789" t="s">
        <v>3093</v>
      </c>
      <c r="D789" t="s">
        <v>2772</v>
      </c>
      <c r="E789" t="s">
        <v>3107</v>
      </c>
      <c r="F789" t="s">
        <v>118</v>
      </c>
      <c r="G789" t="str">
        <f>HYPERLINK("https://vk.com/wall-61101621_254782?reply=254786")</f>
        <v>https://vk.com/wall-61101621_254782?reply=254786</v>
      </c>
      <c r="H789" t="s">
        <v>119</v>
      </c>
      <c r="I789" t="s">
        <v>2436</v>
      </c>
      <c r="J789" t="str">
        <f>HYPERLINK("http://vk.com/id8629942")</f>
        <v>http://vk.com/id8629942</v>
      </c>
      <c r="K789">
        <v>627</v>
      </c>
      <c r="L789" t="s">
        <v>121</v>
      </c>
      <c r="N789" t="s">
        <v>122</v>
      </c>
      <c r="O789" t="s">
        <v>160</v>
      </c>
      <c r="P789" t="str">
        <f t="shared" si="9"/>
        <v>http://vk.com/club61101621</v>
      </c>
      <c r="Q789">
        <v>21119</v>
      </c>
      <c r="R789" t="s">
        <v>124</v>
      </c>
      <c r="S789" t="s">
        <v>125</v>
      </c>
      <c r="W789">
        <v>1</v>
      </c>
      <c r="X789">
        <v>1</v>
      </c>
      <c r="AM789" t="s">
        <v>129</v>
      </c>
      <c r="AN789" t="s">
        <v>130</v>
      </c>
      <c r="AP789" t="s">
        <v>41</v>
      </c>
      <c r="AU789" t="s">
        <v>46</v>
      </c>
      <c r="AZ789" t="s">
        <v>51</v>
      </c>
      <c r="BA789" t="s">
        <v>52</v>
      </c>
    </row>
    <row r="790" spans="1:67" x14ac:dyDescent="0.2">
      <c r="A790" t="s">
        <v>2865</v>
      </c>
      <c r="B790" t="s">
        <v>1536</v>
      </c>
      <c r="C790" t="s">
        <v>3108</v>
      </c>
      <c r="D790" t="s">
        <v>3109</v>
      </c>
      <c r="E790" t="s">
        <v>3110</v>
      </c>
      <c r="F790" t="s">
        <v>180</v>
      </c>
      <c r="G790" t="str">
        <f>HYPERLINK("https://market.yandex.ru/product/965124214/reviews?id=135253683")</f>
        <v>https://market.yandex.ru/product/965124214/reviews?id=135253683</v>
      </c>
      <c r="H790" t="s">
        <v>119</v>
      </c>
      <c r="I790" t="s">
        <v>3111</v>
      </c>
      <c r="J790" t="str">
        <f>HYPERLINK("https://market.yandex.ru/user/eaca87etywx5nt05hxdq2z3k08/reviews")</f>
        <v>https://market.yandex.ru/user/eaca87etywx5nt05hxdq2z3k08/reviews</v>
      </c>
      <c r="L790" t="s">
        <v>151</v>
      </c>
      <c r="N790" t="s">
        <v>611</v>
      </c>
      <c r="O790" t="s">
        <v>3109</v>
      </c>
      <c r="P790" t="str">
        <f>HYPERLINK("https://market.yandex.ru/product/965124214")</f>
        <v>https://market.yandex.ru/product/965124214</v>
      </c>
      <c r="R790" t="s">
        <v>184</v>
      </c>
      <c r="S790" t="s">
        <v>125</v>
      </c>
      <c r="T790" t="s">
        <v>137</v>
      </c>
      <c r="U790" t="s">
        <v>137</v>
      </c>
      <c r="W790">
        <v>0</v>
      </c>
      <c r="X790">
        <v>0</v>
      </c>
      <c r="AH790">
        <v>4</v>
      </c>
      <c r="AM790" t="s">
        <v>129</v>
      </c>
      <c r="AN790" t="s">
        <v>130</v>
      </c>
      <c r="AP790" t="s">
        <v>41</v>
      </c>
      <c r="AT790" t="s">
        <v>45</v>
      </c>
      <c r="AW790" t="s">
        <v>48</v>
      </c>
      <c r="AZ790" t="s">
        <v>51</v>
      </c>
      <c r="BA790" t="s">
        <v>52</v>
      </c>
      <c r="BK790" t="s">
        <v>62</v>
      </c>
      <c r="BL790" t="s">
        <v>63</v>
      </c>
    </row>
    <row r="791" spans="1:67" x14ac:dyDescent="0.2">
      <c r="A791" t="s">
        <v>2865</v>
      </c>
      <c r="B791" t="s">
        <v>3112</v>
      </c>
      <c r="C791" t="s">
        <v>3113</v>
      </c>
      <c r="D791" t="s">
        <v>3017</v>
      </c>
      <c r="E791" t="s">
        <v>3114</v>
      </c>
      <c r="F791" t="s">
        <v>118</v>
      </c>
      <c r="G791" t="str">
        <f>HYPERLINK("https://vk.com/wall-61101621_254779?reply=254783")</f>
        <v>https://vk.com/wall-61101621_254779?reply=254783</v>
      </c>
      <c r="H791" t="s">
        <v>119</v>
      </c>
      <c r="I791" t="s">
        <v>160</v>
      </c>
      <c r="J791" t="str">
        <f>HYPERLINK("http://vk.com/club61101621")</f>
        <v>http://vk.com/club61101621</v>
      </c>
      <c r="K791">
        <v>21119</v>
      </c>
      <c r="L791" t="s">
        <v>340</v>
      </c>
      <c r="N791" t="s">
        <v>122</v>
      </c>
      <c r="O791" t="s">
        <v>160</v>
      </c>
      <c r="P791" t="str">
        <f>HYPERLINK("http://vk.com/club61101621")</f>
        <v>http://vk.com/club61101621</v>
      </c>
      <c r="Q791">
        <v>21119</v>
      </c>
      <c r="R791" t="s">
        <v>124</v>
      </c>
      <c r="S791" t="s">
        <v>125</v>
      </c>
      <c r="T791" t="s">
        <v>169</v>
      </c>
      <c r="U791" t="s">
        <v>169</v>
      </c>
      <c r="W791">
        <v>0</v>
      </c>
      <c r="X791">
        <v>0</v>
      </c>
      <c r="AM791" t="s">
        <v>129</v>
      </c>
      <c r="AN791" t="s">
        <v>130</v>
      </c>
      <c r="AP791" t="s">
        <v>41</v>
      </c>
      <c r="AU791" t="s">
        <v>46</v>
      </c>
      <c r="AZ791" t="s">
        <v>51</v>
      </c>
      <c r="BA791" t="s">
        <v>52</v>
      </c>
    </row>
    <row r="792" spans="1:67" x14ac:dyDescent="0.2">
      <c r="A792" t="s">
        <v>2865</v>
      </c>
      <c r="B792" t="s">
        <v>3115</v>
      </c>
      <c r="C792" t="s">
        <v>3113</v>
      </c>
      <c r="D792" t="s">
        <v>129</v>
      </c>
      <c r="E792" t="s">
        <v>2277</v>
      </c>
      <c r="F792" t="s">
        <v>180</v>
      </c>
      <c r="G792" t="str">
        <f>HYPERLINK("https://vk.com/wall-61101621_254781")</f>
        <v>https://vk.com/wall-61101621_254781</v>
      </c>
      <c r="H792" t="s">
        <v>119</v>
      </c>
      <c r="I792" t="s">
        <v>3116</v>
      </c>
      <c r="J792" t="str">
        <f>HYPERLINK("http://vk.com/id421374692")</f>
        <v>http://vk.com/id421374692</v>
      </c>
      <c r="K792">
        <v>1638</v>
      </c>
      <c r="L792" t="s">
        <v>121</v>
      </c>
      <c r="N792" t="s">
        <v>122</v>
      </c>
      <c r="O792" t="s">
        <v>160</v>
      </c>
      <c r="P792" t="str">
        <f>HYPERLINK("http://vk.com/club61101621")</f>
        <v>http://vk.com/club61101621</v>
      </c>
      <c r="Q792">
        <v>21119</v>
      </c>
      <c r="R792" t="s">
        <v>124</v>
      </c>
      <c r="S792" t="s">
        <v>125</v>
      </c>
      <c r="T792" t="s">
        <v>428</v>
      </c>
      <c r="U792" t="s">
        <v>3117</v>
      </c>
      <c r="W792">
        <v>7</v>
      </c>
      <c r="X792">
        <v>7</v>
      </c>
      <c r="AE792">
        <v>4</v>
      </c>
      <c r="AF792">
        <v>0</v>
      </c>
      <c r="AG792">
        <v>1732</v>
      </c>
      <c r="AM792" t="s">
        <v>129</v>
      </c>
      <c r="AN792" t="s">
        <v>130</v>
      </c>
      <c r="AP792" t="s">
        <v>41</v>
      </c>
      <c r="AU792" t="s">
        <v>46</v>
      </c>
      <c r="AZ792" t="s">
        <v>51</v>
      </c>
      <c r="BA792" t="s">
        <v>52</v>
      </c>
    </row>
    <row r="793" spans="1:67" x14ac:dyDescent="0.2">
      <c r="A793" t="s">
        <v>2865</v>
      </c>
      <c r="B793" t="s">
        <v>3115</v>
      </c>
      <c r="C793" t="s">
        <v>3113</v>
      </c>
      <c r="D793" t="s">
        <v>129</v>
      </c>
      <c r="E793" t="s">
        <v>3118</v>
      </c>
      <c r="F793" t="s">
        <v>180</v>
      </c>
      <c r="G793" t="str">
        <f>HYPERLINK("https://vk.com/wall-61101621_254780")</f>
        <v>https://vk.com/wall-61101621_254780</v>
      </c>
      <c r="H793" t="s">
        <v>119</v>
      </c>
      <c r="I793" t="s">
        <v>3119</v>
      </c>
      <c r="J793" t="str">
        <f>HYPERLINK("http://vk.com/id201190478")</f>
        <v>http://vk.com/id201190478</v>
      </c>
      <c r="K793">
        <v>43</v>
      </c>
      <c r="L793" t="s">
        <v>121</v>
      </c>
      <c r="M793">
        <v>59</v>
      </c>
      <c r="N793" t="s">
        <v>122</v>
      </c>
      <c r="O793" t="s">
        <v>160</v>
      </c>
      <c r="P793" t="str">
        <f>HYPERLINK("http://vk.com/club61101621")</f>
        <v>http://vk.com/club61101621</v>
      </c>
      <c r="Q793">
        <v>21119</v>
      </c>
      <c r="R793" t="s">
        <v>124</v>
      </c>
      <c r="S793" t="s">
        <v>125</v>
      </c>
      <c r="T793" t="s">
        <v>3120</v>
      </c>
      <c r="U793" t="s">
        <v>3121</v>
      </c>
      <c r="W793">
        <v>8</v>
      </c>
      <c r="X793">
        <v>8</v>
      </c>
      <c r="AE793">
        <v>11</v>
      </c>
      <c r="AF793">
        <v>0</v>
      </c>
      <c r="AG793">
        <v>1628</v>
      </c>
      <c r="AM793" t="s">
        <v>129</v>
      </c>
      <c r="AN793" t="s">
        <v>130</v>
      </c>
      <c r="AP793" t="s">
        <v>41</v>
      </c>
      <c r="AU793" t="s">
        <v>46</v>
      </c>
      <c r="AY793" t="s">
        <v>50</v>
      </c>
      <c r="AZ793" t="s">
        <v>51</v>
      </c>
      <c r="BA793" t="s">
        <v>52</v>
      </c>
      <c r="BO793" t="s">
        <v>66</v>
      </c>
    </row>
    <row r="794" spans="1:67" x14ac:dyDescent="0.2">
      <c r="A794" t="s">
        <v>2865</v>
      </c>
      <c r="B794" t="s">
        <v>3115</v>
      </c>
      <c r="C794" t="s">
        <v>3113</v>
      </c>
      <c r="D794" t="s">
        <v>129</v>
      </c>
      <c r="E794" t="s">
        <v>3017</v>
      </c>
      <c r="F794" t="s">
        <v>180</v>
      </c>
      <c r="G794" t="str">
        <f>HYPERLINK("https://vk.com/wall-61101621_254779")</f>
        <v>https://vk.com/wall-61101621_254779</v>
      </c>
      <c r="H794" t="s">
        <v>119</v>
      </c>
      <c r="I794" t="s">
        <v>3122</v>
      </c>
      <c r="J794" t="str">
        <f>HYPERLINK("http://vk.com/id470367045")</f>
        <v>http://vk.com/id470367045</v>
      </c>
      <c r="K794">
        <v>117</v>
      </c>
      <c r="L794" t="s">
        <v>121</v>
      </c>
      <c r="M794">
        <v>30</v>
      </c>
      <c r="N794" t="s">
        <v>122</v>
      </c>
      <c r="O794" t="s">
        <v>160</v>
      </c>
      <c r="P794" t="str">
        <f>HYPERLINK("http://vk.com/club61101621")</f>
        <v>http://vk.com/club61101621</v>
      </c>
      <c r="Q794">
        <v>21119</v>
      </c>
      <c r="R794" t="s">
        <v>124</v>
      </c>
      <c r="S794" t="s">
        <v>125</v>
      </c>
      <c r="T794" t="s">
        <v>1365</v>
      </c>
      <c r="U794" t="s">
        <v>1366</v>
      </c>
      <c r="W794">
        <v>8</v>
      </c>
      <c r="X794">
        <v>8</v>
      </c>
      <c r="AE794">
        <v>17</v>
      </c>
      <c r="AF794">
        <v>0</v>
      </c>
      <c r="AG794">
        <v>1850</v>
      </c>
      <c r="AM794" t="s">
        <v>129</v>
      </c>
      <c r="AN794" t="s">
        <v>130</v>
      </c>
      <c r="AP794" t="s">
        <v>41</v>
      </c>
      <c r="AU794" t="s">
        <v>46</v>
      </c>
      <c r="AZ794" t="s">
        <v>51</v>
      </c>
      <c r="BA794" t="s">
        <v>52</v>
      </c>
    </row>
    <row r="795" spans="1:67" x14ac:dyDescent="0.2">
      <c r="A795" t="s">
        <v>2865</v>
      </c>
      <c r="B795" t="s">
        <v>1566</v>
      </c>
      <c r="C795" t="s">
        <v>3123</v>
      </c>
      <c r="D795" t="s">
        <v>2215</v>
      </c>
      <c r="E795" t="s">
        <v>3124</v>
      </c>
      <c r="F795" t="s">
        <v>118</v>
      </c>
      <c r="G795" t="str">
        <f>HYPERLINK("https://vk.com/wall-27863223_292151?reply=292184&amp;thread=292178")</f>
        <v>https://vk.com/wall-27863223_292151?reply=292184&amp;thread=292178</v>
      </c>
      <c r="H795" t="s">
        <v>119</v>
      </c>
      <c r="I795" t="s">
        <v>3125</v>
      </c>
      <c r="J795" t="str">
        <f>HYPERLINK("http://vk.com/id163176940")</f>
        <v>http://vk.com/id163176940</v>
      </c>
      <c r="K795">
        <v>20</v>
      </c>
      <c r="L795" t="s">
        <v>121</v>
      </c>
      <c r="N795" t="s">
        <v>122</v>
      </c>
      <c r="O795" t="s">
        <v>175</v>
      </c>
      <c r="P795" t="str">
        <f>HYPERLINK("http://vk.com/club27863223")</f>
        <v>http://vk.com/club27863223</v>
      </c>
      <c r="Q795">
        <v>134698</v>
      </c>
      <c r="R795" t="s">
        <v>124</v>
      </c>
      <c r="S795" t="s">
        <v>125</v>
      </c>
      <c r="T795" t="s">
        <v>1103</v>
      </c>
      <c r="U795" t="s">
        <v>1104</v>
      </c>
      <c r="AM795" t="s">
        <v>129</v>
      </c>
      <c r="AN795" t="s">
        <v>130</v>
      </c>
      <c r="AP795" t="s">
        <v>41</v>
      </c>
      <c r="AU795" t="s">
        <v>46</v>
      </c>
      <c r="AZ795" t="s">
        <v>51</v>
      </c>
      <c r="BA795" t="s">
        <v>52</v>
      </c>
    </row>
    <row r="796" spans="1:67" x14ac:dyDescent="0.2">
      <c r="A796" t="s">
        <v>2865</v>
      </c>
      <c r="B796" t="s">
        <v>3126</v>
      </c>
      <c r="C796" t="s">
        <v>3127</v>
      </c>
      <c r="D796" t="s">
        <v>2215</v>
      </c>
      <c r="E796" t="s">
        <v>3128</v>
      </c>
      <c r="F796" t="s">
        <v>118</v>
      </c>
      <c r="G796" t="str">
        <f>HYPERLINK("https://vk.com/wall-27863223_292151?reply=292180&amp;thread=292178")</f>
        <v>https://vk.com/wall-27863223_292151?reply=292180&amp;thread=292178</v>
      </c>
      <c r="H796" t="s">
        <v>119</v>
      </c>
      <c r="I796" t="s">
        <v>3125</v>
      </c>
      <c r="J796" t="str">
        <f>HYPERLINK("http://vk.com/id163176940")</f>
        <v>http://vk.com/id163176940</v>
      </c>
      <c r="K796">
        <v>20</v>
      </c>
      <c r="L796" t="s">
        <v>121</v>
      </c>
      <c r="N796" t="s">
        <v>122</v>
      </c>
      <c r="O796" t="s">
        <v>175</v>
      </c>
      <c r="P796" t="str">
        <f>HYPERLINK("http://vk.com/club27863223")</f>
        <v>http://vk.com/club27863223</v>
      </c>
      <c r="Q796">
        <v>134698</v>
      </c>
      <c r="R796" t="s">
        <v>124</v>
      </c>
      <c r="S796" t="s">
        <v>125</v>
      </c>
      <c r="T796" t="s">
        <v>1103</v>
      </c>
      <c r="U796" t="s">
        <v>1104</v>
      </c>
      <c r="AM796" t="s">
        <v>129</v>
      </c>
      <c r="AN796" t="s">
        <v>130</v>
      </c>
      <c r="AP796" t="s">
        <v>41</v>
      </c>
      <c r="AU796" t="s">
        <v>46</v>
      </c>
      <c r="AZ796" t="s">
        <v>51</v>
      </c>
      <c r="BA796" t="s">
        <v>52</v>
      </c>
    </row>
    <row r="797" spans="1:67" x14ac:dyDescent="0.2">
      <c r="A797" t="s">
        <v>2865</v>
      </c>
      <c r="B797" t="s">
        <v>2600</v>
      </c>
      <c r="C797" t="s">
        <v>3129</v>
      </c>
      <c r="D797" t="s">
        <v>2215</v>
      </c>
      <c r="E797" t="s">
        <v>3130</v>
      </c>
      <c r="F797" t="s">
        <v>118</v>
      </c>
      <c r="G797" t="str">
        <f>HYPERLINK("https://vk.com/wall-27863223_292151?reply=292178")</f>
        <v>https://vk.com/wall-27863223_292151?reply=292178</v>
      </c>
      <c r="H797" t="s">
        <v>119</v>
      </c>
      <c r="I797" t="s">
        <v>3125</v>
      </c>
      <c r="J797" t="str">
        <f>HYPERLINK("http://vk.com/id163176940")</f>
        <v>http://vk.com/id163176940</v>
      </c>
      <c r="K797">
        <v>20</v>
      </c>
      <c r="L797" t="s">
        <v>121</v>
      </c>
      <c r="N797" t="s">
        <v>122</v>
      </c>
      <c r="O797" t="s">
        <v>175</v>
      </c>
      <c r="P797" t="str">
        <f>HYPERLINK("http://vk.com/club27863223")</f>
        <v>http://vk.com/club27863223</v>
      </c>
      <c r="Q797">
        <v>134698</v>
      </c>
      <c r="R797" t="s">
        <v>124</v>
      </c>
      <c r="S797" t="s">
        <v>125</v>
      </c>
      <c r="T797" t="s">
        <v>1103</v>
      </c>
      <c r="U797" t="s">
        <v>1104</v>
      </c>
      <c r="W797">
        <v>0</v>
      </c>
      <c r="X797">
        <v>0</v>
      </c>
      <c r="AM797" t="s">
        <v>129</v>
      </c>
      <c r="AN797" t="s">
        <v>130</v>
      </c>
      <c r="AP797" t="s">
        <v>41</v>
      </c>
      <c r="AU797" t="s">
        <v>46</v>
      </c>
      <c r="AZ797" t="s">
        <v>51</v>
      </c>
      <c r="BA797" t="s">
        <v>52</v>
      </c>
    </row>
    <row r="798" spans="1:67" x14ac:dyDescent="0.2">
      <c r="A798" t="s">
        <v>2865</v>
      </c>
      <c r="B798" t="s">
        <v>3131</v>
      </c>
      <c r="C798" t="s">
        <v>2956</v>
      </c>
      <c r="D798" t="s">
        <v>1648</v>
      </c>
      <c r="E798" t="s">
        <v>3132</v>
      </c>
      <c r="F798" t="s">
        <v>180</v>
      </c>
      <c r="G798" t="str">
        <f>HYPERLINK("https://www.wildberries.ru/catalog/26550113/detail.aspx?targetUrl=ES#Comments")</f>
        <v>https://www.wildberries.ru/catalog/26550113/detail.aspx?targetUrl=ES#Comments</v>
      </c>
      <c r="H798" t="s">
        <v>119</v>
      </c>
      <c r="I798" t="s">
        <v>3082</v>
      </c>
      <c r="J798" t="str">
        <f>HYPERLINK("https://www.wildberries.ru/profile/w7TDssOkw7PCu8KwwrTCsMK3wrjCucKzwrc=")</f>
        <v>https://www.wildberries.ru/profile/w7TDssOkw7PCu8KwwrTCsMK3wrjCucKzwrc=</v>
      </c>
      <c r="L798" t="s">
        <v>151</v>
      </c>
      <c r="N798" t="s">
        <v>534</v>
      </c>
      <c r="O798" t="s">
        <v>1648</v>
      </c>
      <c r="P798" t="str">
        <f>HYPERLINK("https://www.wildberries.ru/catalog/19471768/detail.aspx")</f>
        <v>https://www.wildberries.ru/catalog/19471768/detail.aspx</v>
      </c>
      <c r="R798" t="s">
        <v>184</v>
      </c>
      <c r="S798" t="s">
        <v>125</v>
      </c>
      <c r="W798">
        <v>0</v>
      </c>
      <c r="X798">
        <v>0</v>
      </c>
      <c r="AH798">
        <v>1</v>
      </c>
      <c r="AJ798" t="s">
        <v>3133</v>
      </c>
      <c r="AK798" t="s">
        <v>129</v>
      </c>
      <c r="AL798" t="str">
        <f>HYPERLINK("http://feedbackphotos.wbstatic.net/feedbacks/1947/19471768/e436d7ba-ad50-4a7d-a399-39f374324c34_fs.jpg")</f>
        <v>http://feedbackphotos.wbstatic.net/feedbacks/1947/19471768/e436d7ba-ad50-4a7d-a399-39f374324c34_fs.jpg</v>
      </c>
      <c r="AM798" t="s">
        <v>129</v>
      </c>
      <c r="AN798" t="s">
        <v>130</v>
      </c>
      <c r="AP798" t="s">
        <v>41</v>
      </c>
      <c r="AT798" t="s">
        <v>45</v>
      </c>
      <c r="AW798" t="s">
        <v>48</v>
      </c>
      <c r="AZ798" t="s">
        <v>51</v>
      </c>
      <c r="BA798" t="s">
        <v>52</v>
      </c>
      <c r="BL798" t="s">
        <v>63</v>
      </c>
    </row>
    <row r="799" spans="1:67" x14ac:dyDescent="0.2">
      <c r="A799" t="s">
        <v>2865</v>
      </c>
      <c r="B799" t="s">
        <v>1017</v>
      </c>
      <c r="C799" t="s">
        <v>3134</v>
      </c>
      <c r="D799" t="s">
        <v>2089</v>
      </c>
      <c r="E799" t="s">
        <v>3135</v>
      </c>
      <c r="F799" t="s">
        <v>118</v>
      </c>
      <c r="G799" t="str">
        <f>HYPERLINK("https://vk.com/wall-61101621_254764?w=wall-61101621_254764_r254778")</f>
        <v>https://vk.com/wall-61101621_254764?w=wall-61101621_254764_r254778</v>
      </c>
      <c r="H799" t="s">
        <v>119</v>
      </c>
      <c r="I799" t="s">
        <v>3136</v>
      </c>
      <c r="J799" t="str">
        <f>HYPERLINK("http://vk.com/id3235600")</f>
        <v>http://vk.com/id3235600</v>
      </c>
      <c r="K799">
        <v>89</v>
      </c>
      <c r="L799" t="s">
        <v>121</v>
      </c>
      <c r="N799" t="s">
        <v>122</v>
      </c>
      <c r="O799" t="s">
        <v>160</v>
      </c>
      <c r="P799" t="str">
        <f>HYPERLINK("http://vk.com/club61101621")</f>
        <v>http://vk.com/club61101621</v>
      </c>
      <c r="Q799">
        <v>21119</v>
      </c>
      <c r="R799" t="s">
        <v>124</v>
      </c>
      <c r="S799" t="s">
        <v>125</v>
      </c>
      <c r="T799" t="s">
        <v>2225</v>
      </c>
      <c r="U799" t="s">
        <v>2861</v>
      </c>
      <c r="W799">
        <v>0</v>
      </c>
      <c r="X799">
        <v>0</v>
      </c>
      <c r="AM799" t="s">
        <v>129</v>
      </c>
      <c r="AN799" t="s">
        <v>130</v>
      </c>
      <c r="AP799" t="s">
        <v>41</v>
      </c>
      <c r="AY799" t="s">
        <v>50</v>
      </c>
      <c r="AZ799" t="s">
        <v>51</v>
      </c>
      <c r="BA799" t="s">
        <v>52</v>
      </c>
      <c r="BL799" t="s">
        <v>63</v>
      </c>
    </row>
    <row r="800" spans="1:67" x14ac:dyDescent="0.2">
      <c r="A800" t="s">
        <v>2865</v>
      </c>
      <c r="B800" t="s">
        <v>3137</v>
      </c>
      <c r="C800" t="s">
        <v>3138</v>
      </c>
      <c r="D800" t="s">
        <v>3139</v>
      </c>
      <c r="E800" t="s">
        <v>3140</v>
      </c>
      <c r="F800" t="s">
        <v>180</v>
      </c>
      <c r="G800" t="str">
        <f>HYPERLINK("https://www.ozon.ru/context/detail/id/213475448/#62179329")</f>
        <v>https://www.ozon.ru/context/detail/id/213475448/#62179329</v>
      </c>
      <c r="H800" t="s">
        <v>181</v>
      </c>
      <c r="I800" t="s">
        <v>1628</v>
      </c>
      <c r="J800" t="str">
        <f>HYPERLINK("https://www.ozon.ru/context/client_opinion/ClientGuid/0bbd39d7-8137-42c0-b236-00a72dad55a3/")</f>
        <v>https://www.ozon.ru/context/client_opinion/ClientGuid/0bbd39d7-8137-42c0-b236-00a72dad55a3/</v>
      </c>
      <c r="L800" t="s">
        <v>121</v>
      </c>
      <c r="N800" t="s">
        <v>183</v>
      </c>
      <c r="O800" t="s">
        <v>3139</v>
      </c>
      <c r="P800" t="str">
        <f>HYPERLINK("https://www.ozon.ru/context/detail/id/213475448/")</f>
        <v>https://www.ozon.ru/context/detail/id/213475448/</v>
      </c>
      <c r="R800" t="s">
        <v>184</v>
      </c>
      <c r="S800" t="s">
        <v>125</v>
      </c>
      <c r="W800">
        <v>0</v>
      </c>
      <c r="X800">
        <v>0</v>
      </c>
      <c r="AH800">
        <v>5</v>
      </c>
      <c r="AM800" t="s">
        <v>129</v>
      </c>
      <c r="AN800" t="s">
        <v>130</v>
      </c>
      <c r="AP800" t="s">
        <v>41</v>
      </c>
      <c r="AW800" t="s">
        <v>48</v>
      </c>
      <c r="AY800" t="s">
        <v>50</v>
      </c>
      <c r="AZ800" t="s">
        <v>51</v>
      </c>
      <c r="BA800" t="s">
        <v>52</v>
      </c>
      <c r="BL800" t="s">
        <v>63</v>
      </c>
    </row>
    <row r="801" spans="1:77" x14ac:dyDescent="0.2">
      <c r="A801" t="s">
        <v>2865</v>
      </c>
      <c r="B801" t="s">
        <v>3141</v>
      </c>
      <c r="C801" t="s">
        <v>3134</v>
      </c>
      <c r="D801" t="s">
        <v>2089</v>
      </c>
      <c r="E801" t="s">
        <v>3142</v>
      </c>
      <c r="F801" t="s">
        <v>118</v>
      </c>
      <c r="G801" t="str">
        <f>HYPERLINK("https://vk.com/wall-61101621_254764?w=wall-61101621_254764_r254777")</f>
        <v>https://vk.com/wall-61101621_254764?w=wall-61101621_254764_r254777</v>
      </c>
      <c r="H801" t="s">
        <v>119</v>
      </c>
      <c r="I801" t="s">
        <v>3143</v>
      </c>
      <c r="J801" t="str">
        <f>HYPERLINK("http://vk.com/id281422801")</f>
        <v>http://vk.com/id281422801</v>
      </c>
      <c r="K801">
        <v>44</v>
      </c>
      <c r="L801" t="s">
        <v>121</v>
      </c>
      <c r="N801" t="s">
        <v>122</v>
      </c>
      <c r="O801" t="s">
        <v>160</v>
      </c>
      <c r="P801" t="str">
        <f>HYPERLINK("http://vk.com/club61101621")</f>
        <v>http://vk.com/club61101621</v>
      </c>
      <c r="Q801">
        <v>21119</v>
      </c>
      <c r="R801" t="s">
        <v>124</v>
      </c>
      <c r="S801" t="s">
        <v>125</v>
      </c>
      <c r="T801" t="s">
        <v>828</v>
      </c>
      <c r="U801" t="s">
        <v>829</v>
      </c>
      <c r="W801">
        <v>0</v>
      </c>
      <c r="X801">
        <v>0</v>
      </c>
      <c r="AM801" t="s">
        <v>129</v>
      </c>
      <c r="AN801" t="s">
        <v>130</v>
      </c>
      <c r="AP801" t="s">
        <v>41</v>
      </c>
      <c r="AU801" t="s">
        <v>46</v>
      </c>
      <c r="AZ801" t="s">
        <v>51</v>
      </c>
      <c r="BA801" t="s">
        <v>52</v>
      </c>
    </row>
    <row r="802" spans="1:77" x14ac:dyDescent="0.2">
      <c r="A802" t="s">
        <v>2865</v>
      </c>
      <c r="B802" t="s">
        <v>3144</v>
      </c>
      <c r="C802" t="s">
        <v>3145</v>
      </c>
      <c r="D802" t="s">
        <v>3146</v>
      </c>
      <c r="E802" t="s">
        <v>1649</v>
      </c>
      <c r="F802" t="s">
        <v>180</v>
      </c>
      <c r="G802" t="str">
        <f>HYPERLINK("https://www.wildberries.ru/catalog/21221099/detail.aspx?targetUrl=ES#Comments")</f>
        <v>https://www.wildberries.ru/catalog/21221099/detail.aspx?targetUrl=ES#Comments</v>
      </c>
      <c r="H802" t="s">
        <v>181</v>
      </c>
      <c r="I802" t="s">
        <v>1781</v>
      </c>
      <c r="J802" t="str">
        <f>HYPERLINK("https://www.wildberries.ru/profile/w7TDssOkw7PCu8K1wrLCsMKzwrLCtMK5wrM=")</f>
        <v>https://www.wildberries.ru/profile/w7TDssOkw7PCu8K1wrLCsMKzwrLCtMK5wrM=</v>
      </c>
      <c r="L802" t="s">
        <v>151</v>
      </c>
      <c r="N802" t="s">
        <v>534</v>
      </c>
      <c r="O802" t="s">
        <v>3146</v>
      </c>
      <c r="P802" t="str">
        <f>HYPERLINK("https://www.wildberries.ru/catalog/15142343/detail.aspx")</f>
        <v>https://www.wildberries.ru/catalog/15142343/detail.aspx</v>
      </c>
      <c r="R802" t="s">
        <v>184</v>
      </c>
      <c r="S802" t="s">
        <v>125</v>
      </c>
      <c r="W802">
        <v>0</v>
      </c>
      <c r="X802">
        <v>0</v>
      </c>
      <c r="AH802">
        <v>5</v>
      </c>
      <c r="AM802" t="s">
        <v>129</v>
      </c>
      <c r="AN802" t="s">
        <v>130</v>
      </c>
      <c r="AP802" t="s">
        <v>41</v>
      </c>
      <c r="AZ802" t="s">
        <v>51</v>
      </c>
      <c r="BA802" t="s">
        <v>52</v>
      </c>
      <c r="BK802" t="s">
        <v>62</v>
      </c>
      <c r="BL802" t="s">
        <v>63</v>
      </c>
    </row>
    <row r="803" spans="1:77" x14ac:dyDescent="0.2">
      <c r="A803" t="s">
        <v>2865</v>
      </c>
      <c r="B803" t="s">
        <v>1034</v>
      </c>
      <c r="C803" t="s">
        <v>3147</v>
      </c>
      <c r="D803" t="s">
        <v>3148</v>
      </c>
      <c r="E803" t="s">
        <v>3149</v>
      </c>
      <c r="F803" t="s">
        <v>180</v>
      </c>
      <c r="G803" t="str">
        <f>HYPERLINK("https://www.ozon.ru/context/detail/id/266076175/#62174389")</f>
        <v>https://www.ozon.ru/context/detail/id/266076175/#62174389</v>
      </c>
      <c r="H803" t="s">
        <v>181</v>
      </c>
      <c r="I803" t="s">
        <v>3150</v>
      </c>
      <c r="J803" t="str">
        <f>HYPERLINK("https://www.ozon.ru/context/client_opinion/ClientGuid/220353c9-a408-42d3-89a4-f036bc107823/")</f>
        <v>https://www.ozon.ru/context/client_opinion/ClientGuid/220353c9-a408-42d3-89a4-f036bc107823/</v>
      </c>
      <c r="L803" t="s">
        <v>151</v>
      </c>
      <c r="N803" t="s">
        <v>183</v>
      </c>
      <c r="O803" t="s">
        <v>3148</v>
      </c>
      <c r="P803" t="str">
        <f>HYPERLINK("https://www.ozon.ru/context/detail/id/266076175/")</f>
        <v>https://www.ozon.ru/context/detail/id/266076175/</v>
      </c>
      <c r="R803" t="s">
        <v>184</v>
      </c>
      <c r="S803" t="s">
        <v>125</v>
      </c>
      <c r="W803">
        <v>0</v>
      </c>
      <c r="X803">
        <v>0</v>
      </c>
      <c r="AH803">
        <v>5</v>
      </c>
      <c r="AM803" t="s">
        <v>129</v>
      </c>
      <c r="AN803" t="s">
        <v>130</v>
      </c>
      <c r="AP803" t="s">
        <v>41</v>
      </c>
      <c r="AT803" t="s">
        <v>45</v>
      </c>
      <c r="AZ803" t="s">
        <v>51</v>
      </c>
      <c r="BA803" t="s">
        <v>52</v>
      </c>
      <c r="BL803" t="s">
        <v>63</v>
      </c>
    </row>
    <row r="804" spans="1:77" x14ac:dyDescent="0.2">
      <c r="A804" t="s">
        <v>2865</v>
      </c>
      <c r="B804" t="s">
        <v>3151</v>
      </c>
      <c r="C804" t="s">
        <v>3152</v>
      </c>
      <c r="D804" t="s">
        <v>204</v>
      </c>
      <c r="E804" t="s">
        <v>3153</v>
      </c>
      <c r="F804" t="s">
        <v>180</v>
      </c>
      <c r="G804" t="str">
        <f>HYPERLINK("https://play.google.com/store/apps/details?id=ru.iflex.android.a3colortv&amp;reviewId=gp:AOqpTOFt1aZ15LEDjGqfCp3VeyK-SoWnRogqe48ipKTpCLDfKTeUJ2ZnVw-Sl_BO6u4XSH6mfWy-gqXobq81LQ")</f>
        <v>https://play.google.com/store/apps/details?id=ru.iflex.android.a3colortv&amp;reviewId=gp:AOqpTOFt1aZ15LEDjGqfCp3VeyK-SoWnRogqe48ipKTpCLDfKTeUJ2ZnVw-Sl_BO6u4XSH6mfWy-gqXobq81LQ</v>
      </c>
      <c r="H804" t="s">
        <v>228</v>
      </c>
      <c r="I804" t="s">
        <v>3154</v>
      </c>
      <c r="J804" t="str">
        <f>HYPERLINK("https://plus.google.com/112647111446676967751")</f>
        <v>https://plus.google.com/112647111446676967751</v>
      </c>
      <c r="L804" t="s">
        <v>151</v>
      </c>
      <c r="N804" t="s">
        <v>207</v>
      </c>
      <c r="O804" t="s">
        <v>204</v>
      </c>
      <c r="P804" t="str">
        <f>HYPERLINK("https://play.google.com/store/apps/details?id=ru.iflex.android.a3colortv&amp;hl=ru")</f>
        <v>https://play.google.com/store/apps/details?id=ru.iflex.android.a3colortv&amp;hl=ru</v>
      </c>
      <c r="R804" t="s">
        <v>184</v>
      </c>
      <c r="S804" t="s">
        <v>125</v>
      </c>
      <c r="W804">
        <v>0</v>
      </c>
      <c r="X804">
        <v>0</v>
      </c>
      <c r="AH804">
        <v>1</v>
      </c>
      <c r="AM804" t="s">
        <v>129</v>
      </c>
      <c r="AN804" t="s">
        <v>130</v>
      </c>
      <c r="AP804" t="s">
        <v>41</v>
      </c>
      <c r="AX804" t="s">
        <v>49</v>
      </c>
      <c r="AY804" t="s">
        <v>50</v>
      </c>
      <c r="AZ804" t="s">
        <v>51</v>
      </c>
      <c r="BA804" t="s">
        <v>52</v>
      </c>
      <c r="BQ804" t="s">
        <v>68</v>
      </c>
    </row>
    <row r="805" spans="1:77" x14ac:dyDescent="0.2">
      <c r="A805" t="s">
        <v>2865</v>
      </c>
      <c r="B805" t="s">
        <v>2092</v>
      </c>
      <c r="C805" t="s">
        <v>3155</v>
      </c>
      <c r="D805" t="s">
        <v>175</v>
      </c>
      <c r="E805" t="s">
        <v>3156</v>
      </c>
      <c r="F805" t="s">
        <v>180</v>
      </c>
      <c r="G805" t="str">
        <f>HYPERLINK("https://yandex.ru/maps/org/1930784358#yHstgmzPSy6hdg_afZhmDvDY-ri7dt")</f>
        <v>https://yandex.ru/maps/org/1930784358#yHstgmzPSy6hdg_afZhmDvDY-ri7dt</v>
      </c>
      <c r="H805" t="s">
        <v>181</v>
      </c>
      <c r="I805" t="s">
        <v>3157</v>
      </c>
      <c r="J805" t="str">
        <f>HYPERLINK("https://yandex.ru/user/ych3krjhabd75jek6571r01tdw")</f>
        <v>https://yandex.ru/user/ych3krjhabd75jek6571r01tdw</v>
      </c>
      <c r="L805" t="s">
        <v>121</v>
      </c>
      <c r="N805" t="s">
        <v>236</v>
      </c>
      <c r="O805" t="s">
        <v>175</v>
      </c>
      <c r="P805" t="str">
        <f>HYPERLINK("https://yandex.ru/maps/org/1930784358")</f>
        <v>https://yandex.ru/maps/org/1930784358</v>
      </c>
      <c r="R805" t="s">
        <v>184</v>
      </c>
      <c r="S805" t="s">
        <v>125</v>
      </c>
      <c r="T805" t="s">
        <v>3158</v>
      </c>
      <c r="U805" t="s">
        <v>3159</v>
      </c>
      <c r="W805">
        <v>0</v>
      </c>
      <c r="X805">
        <v>0</v>
      </c>
      <c r="AH805">
        <v>5</v>
      </c>
      <c r="AM805" t="s">
        <v>129</v>
      </c>
      <c r="AN805" t="s">
        <v>130</v>
      </c>
      <c r="AP805" t="s">
        <v>41</v>
      </c>
      <c r="AX805" t="s">
        <v>49</v>
      </c>
      <c r="AZ805" t="s">
        <v>51</v>
      </c>
      <c r="BA805" t="s">
        <v>52</v>
      </c>
    </row>
    <row r="806" spans="1:77" x14ac:dyDescent="0.2">
      <c r="A806" t="s">
        <v>2865</v>
      </c>
      <c r="B806" t="s">
        <v>2629</v>
      </c>
      <c r="C806" t="s">
        <v>3160</v>
      </c>
      <c r="D806" t="s">
        <v>2215</v>
      </c>
      <c r="E806" t="s">
        <v>3161</v>
      </c>
      <c r="F806" t="s">
        <v>118</v>
      </c>
      <c r="G806" t="str">
        <f>HYPERLINK("https://vk.com/wall-27863223_292151?reply=292175")</f>
        <v>https://vk.com/wall-27863223_292151?reply=292175</v>
      </c>
      <c r="H806" t="s">
        <v>228</v>
      </c>
      <c r="I806" t="s">
        <v>3162</v>
      </c>
      <c r="J806" t="str">
        <f>HYPERLINK("http://vk.com/id529175466")</f>
        <v>http://vk.com/id529175466</v>
      </c>
      <c r="K806">
        <v>0</v>
      </c>
      <c r="L806" t="s">
        <v>151</v>
      </c>
      <c r="N806" t="s">
        <v>122</v>
      </c>
      <c r="O806" t="s">
        <v>175</v>
      </c>
      <c r="P806" t="str">
        <f>HYPERLINK("http://vk.com/club27863223")</f>
        <v>http://vk.com/club27863223</v>
      </c>
      <c r="Q806">
        <v>134698</v>
      </c>
      <c r="R806" t="s">
        <v>124</v>
      </c>
      <c r="W806">
        <v>0</v>
      </c>
      <c r="X806">
        <v>0</v>
      </c>
      <c r="AM806" t="s">
        <v>129</v>
      </c>
      <c r="AN806" t="s">
        <v>130</v>
      </c>
      <c r="AP806" t="s">
        <v>41</v>
      </c>
      <c r="AU806" t="s">
        <v>46</v>
      </c>
      <c r="AZ806" t="s">
        <v>51</v>
      </c>
      <c r="BA806" t="s">
        <v>52</v>
      </c>
    </row>
    <row r="807" spans="1:77" x14ac:dyDescent="0.2">
      <c r="A807" t="s">
        <v>2865</v>
      </c>
      <c r="B807" t="s">
        <v>3163</v>
      </c>
      <c r="C807" t="s">
        <v>3160</v>
      </c>
      <c r="D807" t="s">
        <v>2215</v>
      </c>
      <c r="E807" t="s">
        <v>3164</v>
      </c>
      <c r="F807" t="s">
        <v>118</v>
      </c>
      <c r="G807" t="str">
        <f>HYPERLINK("https://vk.com/wall-27863223_292151?reply=292174")</f>
        <v>https://vk.com/wall-27863223_292151?reply=292174</v>
      </c>
      <c r="H807" t="s">
        <v>228</v>
      </c>
      <c r="I807" t="s">
        <v>3162</v>
      </c>
      <c r="J807" t="str">
        <f>HYPERLINK("http://vk.com/id529175466")</f>
        <v>http://vk.com/id529175466</v>
      </c>
      <c r="K807">
        <v>0</v>
      </c>
      <c r="L807" t="s">
        <v>151</v>
      </c>
      <c r="N807" t="s">
        <v>122</v>
      </c>
      <c r="O807" t="s">
        <v>175</v>
      </c>
      <c r="P807" t="str">
        <f>HYPERLINK("http://vk.com/club27863223")</f>
        <v>http://vk.com/club27863223</v>
      </c>
      <c r="Q807">
        <v>134698</v>
      </c>
      <c r="R807" t="s">
        <v>124</v>
      </c>
      <c r="W807">
        <v>0</v>
      </c>
      <c r="X807">
        <v>0</v>
      </c>
      <c r="AM807" t="s">
        <v>129</v>
      </c>
      <c r="AN807" t="s">
        <v>130</v>
      </c>
      <c r="AP807" t="s">
        <v>41</v>
      </c>
      <c r="AU807" t="s">
        <v>46</v>
      </c>
      <c r="AZ807" t="s">
        <v>51</v>
      </c>
      <c r="BA807" t="s">
        <v>52</v>
      </c>
    </row>
    <row r="808" spans="1:77" x14ac:dyDescent="0.2">
      <c r="A808" t="s">
        <v>2865</v>
      </c>
      <c r="B808" t="s">
        <v>1083</v>
      </c>
      <c r="C808" t="s">
        <v>3165</v>
      </c>
      <c r="D808" t="s">
        <v>3166</v>
      </c>
      <c r="E808" t="s">
        <v>3167</v>
      </c>
      <c r="F808" t="s">
        <v>118</v>
      </c>
      <c r="G808" t="str">
        <f>HYPERLINK("https://vk.com/wall-27863223_291605?reply=292172")</f>
        <v>https://vk.com/wall-27863223_291605?reply=292172</v>
      </c>
      <c r="H808" t="s">
        <v>228</v>
      </c>
      <c r="I808" t="s">
        <v>2436</v>
      </c>
      <c r="J808" t="str">
        <f>HYPERLINK("http://vk.com/id8629942")</f>
        <v>http://vk.com/id8629942</v>
      </c>
      <c r="K808">
        <v>627</v>
      </c>
      <c r="L808" t="s">
        <v>121</v>
      </c>
      <c r="N808" t="s">
        <v>122</v>
      </c>
      <c r="O808" t="s">
        <v>175</v>
      </c>
      <c r="P808" t="str">
        <f>HYPERLINK("http://vk.com/club27863223")</f>
        <v>http://vk.com/club27863223</v>
      </c>
      <c r="Q808">
        <v>134698</v>
      </c>
      <c r="R808" t="s">
        <v>124</v>
      </c>
      <c r="S808" t="s">
        <v>125</v>
      </c>
      <c r="W808">
        <v>0</v>
      </c>
      <c r="X808">
        <v>0</v>
      </c>
      <c r="AM808" t="s">
        <v>129</v>
      </c>
      <c r="AN808" t="s">
        <v>130</v>
      </c>
      <c r="AP808" t="s">
        <v>41</v>
      </c>
      <c r="AX808" t="s">
        <v>49</v>
      </c>
      <c r="AZ808" t="s">
        <v>51</v>
      </c>
      <c r="BA808" t="s">
        <v>52</v>
      </c>
    </row>
    <row r="809" spans="1:77" x14ac:dyDescent="0.2">
      <c r="A809" t="s">
        <v>2865</v>
      </c>
      <c r="B809" t="s">
        <v>3168</v>
      </c>
      <c r="C809" t="s">
        <v>3169</v>
      </c>
      <c r="D809" t="s">
        <v>2215</v>
      </c>
      <c r="E809" t="s">
        <v>3170</v>
      </c>
      <c r="F809" t="s">
        <v>118</v>
      </c>
      <c r="G809" t="str">
        <f>HYPERLINK("https://vk.com/wall-27863223_292151?reply=292170&amp;thread=292161")</f>
        <v>https://vk.com/wall-27863223_292151?reply=292170&amp;thread=292161</v>
      </c>
      <c r="H809" t="s">
        <v>119</v>
      </c>
      <c r="I809" t="s">
        <v>2436</v>
      </c>
      <c r="J809" t="str">
        <f>HYPERLINK("http://vk.com/id8629942")</f>
        <v>http://vk.com/id8629942</v>
      </c>
      <c r="K809">
        <v>627</v>
      </c>
      <c r="L809" t="s">
        <v>121</v>
      </c>
      <c r="N809" t="s">
        <v>122</v>
      </c>
      <c r="O809" t="s">
        <v>175</v>
      </c>
      <c r="P809" t="str">
        <f>HYPERLINK("http://vk.com/club27863223")</f>
        <v>http://vk.com/club27863223</v>
      </c>
      <c r="Q809">
        <v>134698</v>
      </c>
      <c r="R809" t="s">
        <v>124</v>
      </c>
      <c r="S809" t="s">
        <v>125</v>
      </c>
      <c r="AM809" t="s">
        <v>129</v>
      </c>
      <c r="AN809" t="s">
        <v>130</v>
      </c>
      <c r="AP809" t="s">
        <v>41</v>
      </c>
      <c r="AU809" t="s">
        <v>46</v>
      </c>
      <c r="AZ809" t="s">
        <v>51</v>
      </c>
      <c r="BA809" t="s">
        <v>52</v>
      </c>
    </row>
    <row r="810" spans="1:77" x14ac:dyDescent="0.2">
      <c r="A810" t="s">
        <v>2865</v>
      </c>
      <c r="B810" t="s">
        <v>3171</v>
      </c>
      <c r="C810" t="s">
        <v>3172</v>
      </c>
      <c r="D810" t="s">
        <v>3173</v>
      </c>
      <c r="E810" t="s">
        <v>3174</v>
      </c>
      <c r="F810" t="s">
        <v>180</v>
      </c>
      <c r="G810" t="str">
        <f>HYPERLINK("https://www.ozon.ru/context/detail/id/249838891/#62151096")</f>
        <v>https://www.ozon.ru/context/detail/id/249838891/#62151096</v>
      </c>
      <c r="H810" t="s">
        <v>119</v>
      </c>
      <c r="I810" t="s">
        <v>3175</v>
      </c>
      <c r="J810" t="str">
        <f>HYPERLINK("https://www.ozon.ru/context/client_opinion/ClientGuid/9e50139a-3f74-4729-86f5-6f64899ae75f/")</f>
        <v>https://www.ozon.ru/context/client_opinion/ClientGuid/9e50139a-3f74-4729-86f5-6f64899ae75f/</v>
      </c>
      <c r="L810" t="s">
        <v>121</v>
      </c>
      <c r="N810" t="s">
        <v>183</v>
      </c>
      <c r="O810" t="s">
        <v>3173</v>
      </c>
      <c r="P810" t="str">
        <f>HYPERLINK("https://www.ozon.ru/context/detail/id/249838891/")</f>
        <v>https://www.ozon.ru/context/detail/id/249838891/</v>
      </c>
      <c r="R810" t="s">
        <v>184</v>
      </c>
      <c r="S810" t="s">
        <v>125</v>
      </c>
      <c r="W810">
        <v>0</v>
      </c>
      <c r="X810">
        <v>0</v>
      </c>
      <c r="AH810">
        <v>1</v>
      </c>
      <c r="AJ810" t="s">
        <v>3176</v>
      </c>
      <c r="AK810" t="s">
        <v>129</v>
      </c>
      <c r="AL810" t="str">
        <f>HYPERLINK("https://cdn1.ozone.ru/s3/rp-photo-3/42f0d13f-fa07-4957-9773-325c4723023a.jpeg")</f>
        <v>https://cdn1.ozone.ru/s3/rp-photo-3/42f0d13f-fa07-4957-9773-325c4723023a.jpeg</v>
      </c>
      <c r="AM810" t="s">
        <v>129</v>
      </c>
      <c r="AN810" t="s">
        <v>130</v>
      </c>
      <c r="AP810" t="s">
        <v>41</v>
      </c>
      <c r="AT810" t="s">
        <v>45</v>
      </c>
      <c r="AW810" t="s">
        <v>48</v>
      </c>
      <c r="AZ810" t="s">
        <v>51</v>
      </c>
      <c r="BA810" t="s">
        <v>52</v>
      </c>
      <c r="BL810" t="s">
        <v>63</v>
      </c>
    </row>
    <row r="811" spans="1:77" x14ac:dyDescent="0.2">
      <c r="A811" t="s">
        <v>2865</v>
      </c>
      <c r="B811" t="s">
        <v>1641</v>
      </c>
      <c r="C811" t="s">
        <v>3177</v>
      </c>
      <c r="D811" t="s">
        <v>3178</v>
      </c>
      <c r="E811" t="s">
        <v>3179</v>
      </c>
      <c r="F811" t="s">
        <v>180</v>
      </c>
      <c r="G811" t="str">
        <f>HYPERLINK("https://www.ozon.ru/context/detail/id/247354704/#62150991")</f>
        <v>https://www.ozon.ru/context/detail/id/247354704/#62150991</v>
      </c>
      <c r="H811" t="s">
        <v>181</v>
      </c>
      <c r="I811" t="s">
        <v>3180</v>
      </c>
      <c r="J811" t="str">
        <f>HYPERLINK("https://www.ozon.ru/context/client_opinion/ClientGuid/a4862bb2-ae86-4e53-a322-4280cde2b81d/")</f>
        <v>https://www.ozon.ru/context/client_opinion/ClientGuid/a4862bb2-ae86-4e53-a322-4280cde2b81d/</v>
      </c>
      <c r="L811" t="s">
        <v>151</v>
      </c>
      <c r="N811" t="s">
        <v>183</v>
      </c>
      <c r="O811" t="s">
        <v>3178</v>
      </c>
      <c r="P811" t="str">
        <f>HYPERLINK("https://www.ozon.ru/context/detail/id/247354704/")</f>
        <v>https://www.ozon.ru/context/detail/id/247354704/</v>
      </c>
      <c r="R811" t="s">
        <v>184</v>
      </c>
      <c r="S811" t="s">
        <v>125</v>
      </c>
      <c r="W811">
        <v>0</v>
      </c>
      <c r="X811">
        <v>0</v>
      </c>
      <c r="AH811">
        <v>5</v>
      </c>
      <c r="AM811" t="s">
        <v>129</v>
      </c>
      <c r="AN811" t="s">
        <v>130</v>
      </c>
      <c r="AP811" t="s">
        <v>41</v>
      </c>
      <c r="AT811" t="s">
        <v>45</v>
      </c>
      <c r="AZ811" t="s">
        <v>51</v>
      </c>
      <c r="BA811" t="s">
        <v>52</v>
      </c>
      <c r="BL811" t="s">
        <v>63</v>
      </c>
    </row>
    <row r="812" spans="1:77" x14ac:dyDescent="0.2">
      <c r="A812" t="s">
        <v>2865</v>
      </c>
      <c r="B812" t="s">
        <v>1651</v>
      </c>
      <c r="C812" t="s">
        <v>3181</v>
      </c>
      <c r="D812" t="s">
        <v>2871</v>
      </c>
      <c r="E812" t="s">
        <v>3182</v>
      </c>
      <c r="F812" t="s">
        <v>118</v>
      </c>
      <c r="G812" t="str">
        <f>HYPERLINK("https://vk.com/wall-186674927_12384?reply=12426")</f>
        <v>https://vk.com/wall-186674927_12384?reply=12426</v>
      </c>
      <c r="H812" t="s">
        <v>119</v>
      </c>
      <c r="I812" t="s">
        <v>254</v>
      </c>
      <c r="J812" t="str">
        <f>HYPERLINK("http://vk.com/id286061518")</f>
        <v>http://vk.com/id286061518</v>
      </c>
      <c r="K812">
        <v>5170</v>
      </c>
      <c r="L812" t="s">
        <v>121</v>
      </c>
      <c r="M812">
        <v>34</v>
      </c>
      <c r="N812" t="s">
        <v>122</v>
      </c>
      <c r="O812" t="s">
        <v>358</v>
      </c>
      <c r="P812" t="str">
        <f>HYPERLINK("http://vk.com/club186674927")</f>
        <v>http://vk.com/club186674927</v>
      </c>
      <c r="Q812">
        <v>706</v>
      </c>
      <c r="R812" t="s">
        <v>124</v>
      </c>
      <c r="S812" t="s">
        <v>125</v>
      </c>
      <c r="T812" t="s">
        <v>256</v>
      </c>
      <c r="U812" t="s">
        <v>257</v>
      </c>
      <c r="AM812" t="s">
        <v>129</v>
      </c>
      <c r="AN812" t="s">
        <v>130</v>
      </c>
      <c r="AP812" t="s">
        <v>41</v>
      </c>
      <c r="AZ812" t="s">
        <v>51</v>
      </c>
      <c r="BD812" t="s">
        <v>55</v>
      </c>
      <c r="BY812" t="s">
        <v>76</v>
      </c>
    </row>
    <row r="813" spans="1:77" x14ac:dyDescent="0.2">
      <c r="A813" t="s">
        <v>2865</v>
      </c>
      <c r="B813" t="s">
        <v>1651</v>
      </c>
      <c r="C813" t="s">
        <v>3183</v>
      </c>
      <c r="D813" t="s">
        <v>2089</v>
      </c>
      <c r="E813" t="s">
        <v>3184</v>
      </c>
      <c r="F813" t="s">
        <v>118</v>
      </c>
      <c r="G813" t="str">
        <f>HYPERLINK("https://vk.com/wall-61101621_254764?reply=254776")</f>
        <v>https://vk.com/wall-61101621_254764?reply=254776</v>
      </c>
      <c r="H813" t="s">
        <v>119</v>
      </c>
      <c r="I813" t="s">
        <v>3185</v>
      </c>
      <c r="J813" t="str">
        <f>HYPERLINK("http://vk.com/id506762548")</f>
        <v>http://vk.com/id506762548</v>
      </c>
      <c r="K813">
        <v>35</v>
      </c>
      <c r="L813" t="s">
        <v>121</v>
      </c>
      <c r="M813">
        <v>45</v>
      </c>
      <c r="N813" t="s">
        <v>122</v>
      </c>
      <c r="O813" t="s">
        <v>160</v>
      </c>
      <c r="P813" t="str">
        <f>HYPERLINK("http://vk.com/club61101621")</f>
        <v>http://vk.com/club61101621</v>
      </c>
      <c r="Q813">
        <v>21119</v>
      </c>
      <c r="R813" t="s">
        <v>124</v>
      </c>
      <c r="S813" t="s">
        <v>125</v>
      </c>
      <c r="T813" t="s">
        <v>137</v>
      </c>
      <c r="U813" t="s">
        <v>137</v>
      </c>
      <c r="W813">
        <v>0</v>
      </c>
      <c r="X813">
        <v>0</v>
      </c>
      <c r="AM813" t="s">
        <v>129</v>
      </c>
      <c r="AN813" t="s">
        <v>130</v>
      </c>
      <c r="AP813" t="s">
        <v>41</v>
      </c>
      <c r="AU813" t="s">
        <v>46</v>
      </c>
      <c r="AZ813" t="s">
        <v>51</v>
      </c>
      <c r="BA813" t="s">
        <v>52</v>
      </c>
    </row>
    <row r="814" spans="1:77" x14ac:dyDescent="0.2">
      <c r="A814" t="s">
        <v>2865</v>
      </c>
      <c r="B814" t="s">
        <v>2663</v>
      </c>
      <c r="C814" t="s">
        <v>3186</v>
      </c>
      <c r="D814" t="s">
        <v>1211</v>
      </c>
      <c r="E814" t="s">
        <v>3187</v>
      </c>
      <c r="F814" t="s">
        <v>180</v>
      </c>
      <c r="G814" t="str">
        <f>HYPERLINK("https://www.ozon.ru/context/detail/id/254490633/#62148724")</f>
        <v>https://www.ozon.ru/context/detail/id/254490633/#62148724</v>
      </c>
      <c r="H814" t="s">
        <v>181</v>
      </c>
      <c r="I814" t="s">
        <v>3188</v>
      </c>
      <c r="J814" t="str">
        <f>HYPERLINK("https://www.ozon.ru/context/client_opinion/ClientGuid/106f9661-216c-4341-aa09-626640637b7c/")</f>
        <v>https://www.ozon.ru/context/client_opinion/ClientGuid/106f9661-216c-4341-aa09-626640637b7c/</v>
      </c>
      <c r="L814" t="s">
        <v>121</v>
      </c>
      <c r="N814" t="s">
        <v>183</v>
      </c>
      <c r="O814" t="s">
        <v>1211</v>
      </c>
      <c r="P814" t="str">
        <f>HYPERLINK("https://www.ozon.ru/context/detail/id/254490633/")</f>
        <v>https://www.ozon.ru/context/detail/id/254490633/</v>
      </c>
      <c r="R814" t="s">
        <v>184</v>
      </c>
      <c r="S814" t="s">
        <v>125</v>
      </c>
      <c r="W814">
        <v>0</v>
      </c>
      <c r="X814">
        <v>0</v>
      </c>
      <c r="AH814">
        <v>5</v>
      </c>
      <c r="AM814" t="s">
        <v>129</v>
      </c>
      <c r="AN814" t="s">
        <v>130</v>
      </c>
      <c r="AP814" t="s">
        <v>41</v>
      </c>
      <c r="AT814" t="s">
        <v>45</v>
      </c>
      <c r="AZ814" t="s">
        <v>51</v>
      </c>
      <c r="BA814" t="s">
        <v>52</v>
      </c>
      <c r="BL814" t="s">
        <v>63</v>
      </c>
    </row>
    <row r="815" spans="1:77" x14ac:dyDescent="0.2">
      <c r="A815" t="s">
        <v>2865</v>
      </c>
      <c r="B815" t="s">
        <v>2673</v>
      </c>
      <c r="C815" t="s">
        <v>3189</v>
      </c>
      <c r="D815" t="s">
        <v>2215</v>
      </c>
      <c r="E815" t="s">
        <v>3190</v>
      </c>
      <c r="F815" t="s">
        <v>118</v>
      </c>
      <c r="G815" t="str">
        <f>HYPERLINK("https://vk.com/wall-27863223_292151?reply=292165")</f>
        <v>https://vk.com/wall-27863223_292151?reply=292165</v>
      </c>
      <c r="H815" t="s">
        <v>228</v>
      </c>
      <c r="I815" t="s">
        <v>2692</v>
      </c>
      <c r="J815" t="str">
        <f>HYPERLINK("http://vk.com/id142645076")</f>
        <v>http://vk.com/id142645076</v>
      </c>
      <c r="K815">
        <v>236</v>
      </c>
      <c r="L815" t="s">
        <v>151</v>
      </c>
      <c r="N815" t="s">
        <v>122</v>
      </c>
      <c r="O815" t="s">
        <v>175</v>
      </c>
      <c r="P815" t="str">
        <f>HYPERLINK("http://vk.com/club27863223")</f>
        <v>http://vk.com/club27863223</v>
      </c>
      <c r="Q815">
        <v>134698</v>
      </c>
      <c r="R815" t="s">
        <v>124</v>
      </c>
      <c r="S815" t="s">
        <v>125</v>
      </c>
      <c r="W815">
        <v>0</v>
      </c>
      <c r="X815">
        <v>0</v>
      </c>
      <c r="AM815" t="s">
        <v>129</v>
      </c>
      <c r="AN815" t="s">
        <v>130</v>
      </c>
      <c r="AP815" t="s">
        <v>41</v>
      </c>
      <c r="AU815" t="s">
        <v>46</v>
      </c>
      <c r="AZ815" t="s">
        <v>51</v>
      </c>
      <c r="BA815" t="s">
        <v>52</v>
      </c>
      <c r="BR815" t="s">
        <v>69</v>
      </c>
    </row>
    <row r="816" spans="1:77" x14ac:dyDescent="0.2">
      <c r="A816" t="s">
        <v>2865</v>
      </c>
      <c r="B816" t="s">
        <v>597</v>
      </c>
      <c r="C816" t="s">
        <v>3186</v>
      </c>
      <c r="D816" t="s">
        <v>476</v>
      </c>
      <c r="E816" t="s">
        <v>3191</v>
      </c>
      <c r="F816" t="s">
        <v>180</v>
      </c>
      <c r="G816" t="str">
        <f>HYPERLINK("https://www.ozon.ru/context/detail/id/261611432/#62129556")</f>
        <v>https://www.ozon.ru/context/detail/id/261611432/#62129556</v>
      </c>
      <c r="H816" t="s">
        <v>181</v>
      </c>
      <c r="I816" t="s">
        <v>3192</v>
      </c>
      <c r="J816" t="str">
        <f>HYPERLINK("https://www.ozon.ru/context/client_opinion/ClientGuid/39978b0f-a475-444c-9b8a-79459c272690/")</f>
        <v>https://www.ozon.ru/context/client_opinion/ClientGuid/39978b0f-a475-444c-9b8a-79459c272690/</v>
      </c>
      <c r="L816" t="s">
        <v>121</v>
      </c>
      <c r="N816" t="s">
        <v>183</v>
      </c>
      <c r="O816" t="s">
        <v>476</v>
      </c>
      <c r="P816" t="str">
        <f>HYPERLINK("https://www.ozon.ru/context/detail/id/261611432/")</f>
        <v>https://www.ozon.ru/context/detail/id/261611432/</v>
      </c>
      <c r="R816" t="s">
        <v>184</v>
      </c>
      <c r="S816" t="s">
        <v>125</v>
      </c>
      <c r="W816">
        <v>0</v>
      </c>
      <c r="X816">
        <v>0</v>
      </c>
      <c r="AH816">
        <v>5</v>
      </c>
      <c r="AM816" t="s">
        <v>129</v>
      </c>
      <c r="AN816" t="s">
        <v>130</v>
      </c>
      <c r="AP816" t="s">
        <v>41</v>
      </c>
      <c r="AT816" t="s">
        <v>45</v>
      </c>
      <c r="AZ816" t="s">
        <v>51</v>
      </c>
      <c r="BA816" t="s">
        <v>52</v>
      </c>
      <c r="BL816" t="s">
        <v>63</v>
      </c>
    </row>
    <row r="817" spans="1:77" x14ac:dyDescent="0.2">
      <c r="A817" t="s">
        <v>2865</v>
      </c>
      <c r="B817" t="s">
        <v>2720</v>
      </c>
      <c r="C817" t="s">
        <v>3193</v>
      </c>
      <c r="D817" t="s">
        <v>2215</v>
      </c>
      <c r="E817" t="s">
        <v>3194</v>
      </c>
      <c r="F817" t="s">
        <v>118</v>
      </c>
      <c r="G817" t="str">
        <f>HYPERLINK("https://vk.com/wall-27863223_292151?reply=292163&amp;thread=292161")</f>
        <v>https://vk.com/wall-27863223_292151?reply=292163&amp;thread=292161</v>
      </c>
      <c r="H817" t="s">
        <v>228</v>
      </c>
      <c r="I817" t="s">
        <v>3195</v>
      </c>
      <c r="J817" t="str">
        <f>HYPERLINK("http://vk.com/id271566196")</f>
        <v>http://vk.com/id271566196</v>
      </c>
      <c r="K817">
        <v>62</v>
      </c>
      <c r="L817" t="s">
        <v>121</v>
      </c>
      <c r="M817">
        <v>31</v>
      </c>
      <c r="N817" t="s">
        <v>122</v>
      </c>
      <c r="O817" t="s">
        <v>175</v>
      </c>
      <c r="P817" t="str">
        <f>HYPERLINK("http://vk.com/club27863223")</f>
        <v>http://vk.com/club27863223</v>
      </c>
      <c r="Q817">
        <v>134698</v>
      </c>
      <c r="R817" t="s">
        <v>124</v>
      </c>
      <c r="S817" t="s">
        <v>125</v>
      </c>
      <c r="T817" t="s">
        <v>189</v>
      </c>
      <c r="U817" t="s">
        <v>190</v>
      </c>
      <c r="AM817" t="s">
        <v>129</v>
      </c>
      <c r="AN817" t="s">
        <v>130</v>
      </c>
      <c r="AP817" t="s">
        <v>41</v>
      </c>
      <c r="AX817" t="s">
        <v>49</v>
      </c>
      <c r="AZ817" t="s">
        <v>51</v>
      </c>
      <c r="BD817" t="s">
        <v>55</v>
      </c>
    </row>
    <row r="818" spans="1:77" x14ac:dyDescent="0.2">
      <c r="A818" t="s">
        <v>2865</v>
      </c>
      <c r="B818" t="s">
        <v>3196</v>
      </c>
      <c r="C818" t="s">
        <v>418</v>
      </c>
      <c r="D818" t="s">
        <v>3197</v>
      </c>
      <c r="E818" t="s">
        <v>3198</v>
      </c>
      <c r="F818" t="s">
        <v>180</v>
      </c>
      <c r="G818" t="str">
        <f>HYPERLINK("https://www.ozon.ru/context/detail/id/232794177/#62127424")</f>
        <v>https://www.ozon.ru/context/detail/id/232794177/#62127424</v>
      </c>
      <c r="H818" t="s">
        <v>181</v>
      </c>
      <c r="I818" t="s">
        <v>3199</v>
      </c>
      <c r="J818" t="str">
        <f>HYPERLINK("https://www.ozon.ru/context/client_opinion/ClientGuid/509122e2-ff96-42f9-ad2d-667c163273b3/")</f>
        <v>https://www.ozon.ru/context/client_opinion/ClientGuid/509122e2-ff96-42f9-ad2d-667c163273b3/</v>
      </c>
      <c r="L818" t="s">
        <v>151</v>
      </c>
      <c r="N818" t="s">
        <v>183</v>
      </c>
      <c r="O818" t="s">
        <v>3197</v>
      </c>
      <c r="P818" t="str">
        <f>HYPERLINK("https://www.ozon.ru/context/detail/id/232794177/")</f>
        <v>https://www.ozon.ru/context/detail/id/232794177/</v>
      </c>
      <c r="R818" t="s">
        <v>184</v>
      </c>
      <c r="S818" t="s">
        <v>125</v>
      </c>
      <c r="W818">
        <v>0</v>
      </c>
      <c r="X818">
        <v>0</v>
      </c>
      <c r="AH818">
        <v>5</v>
      </c>
      <c r="AM818" t="s">
        <v>129</v>
      </c>
      <c r="AN818" t="s">
        <v>130</v>
      </c>
      <c r="AP818" t="s">
        <v>41</v>
      </c>
      <c r="AW818" t="s">
        <v>48</v>
      </c>
      <c r="AZ818" t="s">
        <v>51</v>
      </c>
      <c r="BA818" t="s">
        <v>52</v>
      </c>
    </row>
    <row r="819" spans="1:77" x14ac:dyDescent="0.2">
      <c r="A819" t="s">
        <v>2865</v>
      </c>
      <c r="B819" t="s">
        <v>1709</v>
      </c>
      <c r="C819" t="s">
        <v>3200</v>
      </c>
      <c r="D819" t="s">
        <v>204</v>
      </c>
      <c r="E819" t="s">
        <v>3201</v>
      </c>
      <c r="F819" t="s">
        <v>180</v>
      </c>
      <c r="G819" t="str">
        <f>HYPERLINK("https://play.google.com/store/apps/details?id=ru.iflex.android.a3colortv&amp;reviewId=gp:AOqpTOGFD89Wt_jVFNkUZbe-hZRd7Z-SDJF2XqRqRwkH9I-QPXKVzH33oO0xZOL-IAfmS3s4QjxPp4pmCsLMeg")</f>
        <v>https://play.google.com/store/apps/details?id=ru.iflex.android.a3colortv&amp;reviewId=gp:AOqpTOGFD89Wt_jVFNkUZbe-hZRd7Z-SDJF2XqRqRwkH9I-QPXKVzH33oO0xZOL-IAfmS3s4QjxPp4pmCsLMeg</v>
      </c>
      <c r="H819" t="s">
        <v>181</v>
      </c>
      <c r="I819" t="s">
        <v>3202</v>
      </c>
      <c r="J819" t="str">
        <f>HYPERLINK("https://plus.google.com/102531063706821274699")</f>
        <v>https://plus.google.com/102531063706821274699</v>
      </c>
      <c r="N819" t="s">
        <v>207</v>
      </c>
      <c r="O819" t="s">
        <v>204</v>
      </c>
      <c r="P819" t="str">
        <f>HYPERLINK("https://play.google.com/store/apps/details?id=ru.iflex.android.a3colortv&amp;hl=ru")</f>
        <v>https://play.google.com/store/apps/details?id=ru.iflex.android.a3colortv&amp;hl=ru</v>
      </c>
      <c r="R819" t="s">
        <v>184</v>
      </c>
      <c r="S819" t="s">
        <v>125</v>
      </c>
      <c r="W819">
        <v>0</v>
      </c>
      <c r="X819">
        <v>0</v>
      </c>
      <c r="AH819">
        <v>5</v>
      </c>
      <c r="AM819" t="s">
        <v>129</v>
      </c>
      <c r="AN819" t="s">
        <v>130</v>
      </c>
      <c r="AP819" t="s">
        <v>41</v>
      </c>
      <c r="AZ819" t="s">
        <v>51</v>
      </c>
      <c r="BA819" t="s">
        <v>52</v>
      </c>
      <c r="BQ819" t="s">
        <v>68</v>
      </c>
    </row>
    <row r="820" spans="1:77" x14ac:dyDescent="0.2">
      <c r="A820" t="s">
        <v>2865</v>
      </c>
      <c r="B820" t="s">
        <v>2151</v>
      </c>
      <c r="C820" t="s">
        <v>3203</v>
      </c>
      <c r="D820" t="s">
        <v>2984</v>
      </c>
      <c r="E820" t="s">
        <v>3204</v>
      </c>
      <c r="F820" t="s">
        <v>118</v>
      </c>
      <c r="G820" t="str">
        <f>HYPERLINK("https://vk.com/wall-64986792_2188228?reply=2189162&amp;thread=2189145")</f>
        <v>https://vk.com/wall-64986792_2188228?reply=2189162&amp;thread=2189145</v>
      </c>
      <c r="H820" t="s">
        <v>119</v>
      </c>
      <c r="I820" t="s">
        <v>3205</v>
      </c>
      <c r="J820" t="str">
        <f>HYPERLINK("http://vk.com/id36192399")</f>
        <v>http://vk.com/id36192399</v>
      </c>
      <c r="K820">
        <v>613</v>
      </c>
      <c r="L820" t="s">
        <v>121</v>
      </c>
      <c r="M820">
        <v>43</v>
      </c>
      <c r="N820" t="s">
        <v>122</v>
      </c>
      <c r="O820" t="s">
        <v>2986</v>
      </c>
      <c r="P820" t="str">
        <f>HYPERLINK("http://vk.com/club64986792")</f>
        <v>http://vk.com/club64986792</v>
      </c>
      <c r="Q820">
        <v>52847</v>
      </c>
      <c r="R820" t="s">
        <v>124</v>
      </c>
      <c r="S820" t="s">
        <v>125</v>
      </c>
      <c r="T820" t="s">
        <v>2166</v>
      </c>
      <c r="U820" t="s">
        <v>3206</v>
      </c>
      <c r="AM820" t="s">
        <v>129</v>
      </c>
      <c r="AN820" t="s">
        <v>130</v>
      </c>
      <c r="AP820" t="s">
        <v>41</v>
      </c>
      <c r="AY820" t="s">
        <v>50</v>
      </c>
      <c r="AZ820" t="s">
        <v>51</v>
      </c>
      <c r="BA820" t="s">
        <v>52</v>
      </c>
    </row>
    <row r="821" spans="1:77" x14ac:dyDescent="0.2">
      <c r="A821" t="s">
        <v>2865</v>
      </c>
      <c r="B821" t="s">
        <v>603</v>
      </c>
      <c r="C821" t="s">
        <v>3200</v>
      </c>
      <c r="D821" t="s">
        <v>204</v>
      </c>
      <c r="E821" t="s">
        <v>3207</v>
      </c>
      <c r="F821" t="s">
        <v>180</v>
      </c>
      <c r="G821" t="str">
        <f>HYPERLINK("https://play.google.com/store/apps/details?id=ru.iflex.android.a3colortv&amp;reviewId=gp:AOqpTOG71t-qI0EeupZY7TuwRH9UwyXcO_vhjJsdiAaFRdWpVMkQFib2NL5UVcVAXtX1zs4VhIGJ6Rd2JYzMjA")</f>
        <v>https://play.google.com/store/apps/details?id=ru.iflex.android.a3colortv&amp;reviewId=gp:AOqpTOG71t-qI0EeupZY7TuwRH9UwyXcO_vhjJsdiAaFRdWpVMkQFib2NL5UVcVAXtX1zs4VhIGJ6Rd2JYzMjA</v>
      </c>
      <c r="H821" t="s">
        <v>181</v>
      </c>
      <c r="I821" t="s">
        <v>3208</v>
      </c>
      <c r="J821" t="str">
        <f>HYPERLINK("https://plus.google.com/103254549937889737046")</f>
        <v>https://plus.google.com/103254549937889737046</v>
      </c>
      <c r="L821" t="s">
        <v>151</v>
      </c>
      <c r="N821" t="s">
        <v>207</v>
      </c>
      <c r="O821" t="s">
        <v>204</v>
      </c>
      <c r="P821" t="str">
        <f>HYPERLINK("https://play.google.com/store/apps/details?id=ru.iflex.android.a3colortv&amp;hl=ru")</f>
        <v>https://play.google.com/store/apps/details?id=ru.iflex.android.a3colortv&amp;hl=ru</v>
      </c>
      <c r="R821" t="s">
        <v>184</v>
      </c>
      <c r="S821" t="s">
        <v>125</v>
      </c>
      <c r="W821">
        <v>0</v>
      </c>
      <c r="X821">
        <v>0</v>
      </c>
      <c r="AH821">
        <v>5</v>
      </c>
      <c r="AM821" t="s">
        <v>129</v>
      </c>
      <c r="AN821" t="s">
        <v>130</v>
      </c>
      <c r="AP821" t="s">
        <v>41</v>
      </c>
      <c r="AZ821" t="s">
        <v>51</v>
      </c>
      <c r="BA821" t="s">
        <v>52</v>
      </c>
      <c r="BP821" t="s">
        <v>67</v>
      </c>
      <c r="BQ821" t="s">
        <v>68</v>
      </c>
    </row>
    <row r="822" spans="1:77" x14ac:dyDescent="0.2">
      <c r="A822" t="s">
        <v>2865</v>
      </c>
      <c r="B822" t="s">
        <v>1714</v>
      </c>
      <c r="C822" t="s">
        <v>3209</v>
      </c>
      <c r="D822" t="s">
        <v>3210</v>
      </c>
      <c r="E822" t="s">
        <v>3211</v>
      </c>
      <c r="F822" t="s">
        <v>180</v>
      </c>
      <c r="G822" t="str">
        <f>HYPERLINK("https://telesputnik.ru/forum/viewtopic.php?f=36&amp;t=75646&amp;start=2080#p2482523")</f>
        <v>https://telesputnik.ru/forum/viewtopic.php?f=36&amp;t=75646&amp;start=2080#p2482523</v>
      </c>
      <c r="H822" t="s">
        <v>119</v>
      </c>
      <c r="I822" t="s">
        <v>3212</v>
      </c>
      <c r="J822" t="str">
        <f>HYPERLINK("https://telesputnik.ru/forum/memberlist.php?mode=viewprofile&amp;u=149175")</f>
        <v>https://telesputnik.ru/forum/memberlist.php?mode=viewprofile&amp;u=149175</v>
      </c>
      <c r="N822" t="s">
        <v>335</v>
      </c>
      <c r="O822" t="s">
        <v>909</v>
      </c>
      <c r="P822" t="str">
        <f>HYPERLINK("https://telesputnik.ru/forum/viewforum.php?f=36")</f>
        <v>https://telesputnik.ru/forum/viewforum.php?f=36</v>
      </c>
      <c r="R822" t="s">
        <v>295</v>
      </c>
      <c r="S822" t="s">
        <v>125</v>
      </c>
      <c r="AM822" t="s">
        <v>129</v>
      </c>
      <c r="AN822" t="s">
        <v>130</v>
      </c>
      <c r="AP822" t="s">
        <v>41</v>
      </c>
      <c r="AU822" t="s">
        <v>46</v>
      </c>
      <c r="AZ822" t="s">
        <v>51</v>
      </c>
      <c r="BA822" t="s">
        <v>52</v>
      </c>
    </row>
    <row r="823" spans="1:77" x14ac:dyDescent="0.2">
      <c r="A823" t="s">
        <v>2865</v>
      </c>
      <c r="B823" t="s">
        <v>3213</v>
      </c>
      <c r="C823" t="s">
        <v>3214</v>
      </c>
      <c r="D823" t="s">
        <v>2984</v>
      </c>
      <c r="E823" t="s">
        <v>3215</v>
      </c>
      <c r="F823" t="s">
        <v>118</v>
      </c>
      <c r="G823" t="str">
        <f>HYPERLINK("https://vk.com/wall-64986792_2188228?reply=2189153&amp;thread=2189145")</f>
        <v>https://vk.com/wall-64986792_2188228?reply=2189153&amp;thread=2189145</v>
      </c>
      <c r="H823" t="s">
        <v>181</v>
      </c>
      <c r="I823" t="s">
        <v>3205</v>
      </c>
      <c r="J823" t="str">
        <f>HYPERLINK("http://vk.com/id36192399")</f>
        <v>http://vk.com/id36192399</v>
      </c>
      <c r="K823">
        <v>613</v>
      </c>
      <c r="L823" t="s">
        <v>121</v>
      </c>
      <c r="M823">
        <v>43</v>
      </c>
      <c r="N823" t="s">
        <v>122</v>
      </c>
      <c r="O823" t="s">
        <v>2986</v>
      </c>
      <c r="P823" t="str">
        <f>HYPERLINK("http://vk.com/club64986792")</f>
        <v>http://vk.com/club64986792</v>
      </c>
      <c r="Q823">
        <v>52847</v>
      </c>
      <c r="R823" t="s">
        <v>124</v>
      </c>
      <c r="S823" t="s">
        <v>125</v>
      </c>
      <c r="T823" t="s">
        <v>2166</v>
      </c>
      <c r="U823" t="s">
        <v>3206</v>
      </c>
      <c r="AM823" t="s">
        <v>129</v>
      </c>
      <c r="AN823" t="s">
        <v>130</v>
      </c>
      <c r="AP823" t="s">
        <v>41</v>
      </c>
      <c r="AY823" t="s">
        <v>50</v>
      </c>
      <c r="AZ823" t="s">
        <v>51</v>
      </c>
      <c r="BA823" t="s">
        <v>52</v>
      </c>
    </row>
    <row r="824" spans="1:77" x14ac:dyDescent="0.2">
      <c r="A824" t="s">
        <v>2865</v>
      </c>
      <c r="B824" t="s">
        <v>3216</v>
      </c>
      <c r="C824" t="s">
        <v>3217</v>
      </c>
      <c r="D824" t="s">
        <v>2215</v>
      </c>
      <c r="E824" t="s">
        <v>3218</v>
      </c>
      <c r="F824" t="s">
        <v>118</v>
      </c>
      <c r="G824" t="str">
        <f>HYPERLINK("https://vk.com/wall-27863223_292151?reply=292161")</f>
        <v>https://vk.com/wall-27863223_292151?reply=292161</v>
      </c>
      <c r="H824" t="s">
        <v>119</v>
      </c>
      <c r="I824" t="s">
        <v>3195</v>
      </c>
      <c r="J824" t="str">
        <f>HYPERLINK("http://vk.com/id271566196")</f>
        <v>http://vk.com/id271566196</v>
      </c>
      <c r="K824">
        <v>62</v>
      </c>
      <c r="L824" t="s">
        <v>121</v>
      </c>
      <c r="M824">
        <v>31</v>
      </c>
      <c r="N824" t="s">
        <v>122</v>
      </c>
      <c r="O824" t="s">
        <v>175</v>
      </c>
      <c r="P824" t="str">
        <f>HYPERLINK("http://vk.com/club27863223")</f>
        <v>http://vk.com/club27863223</v>
      </c>
      <c r="Q824">
        <v>134698</v>
      </c>
      <c r="R824" t="s">
        <v>124</v>
      </c>
      <c r="S824" t="s">
        <v>125</v>
      </c>
      <c r="T824" t="s">
        <v>189</v>
      </c>
      <c r="U824" t="s">
        <v>190</v>
      </c>
      <c r="W824">
        <v>0</v>
      </c>
      <c r="X824">
        <v>0</v>
      </c>
      <c r="AM824" t="s">
        <v>129</v>
      </c>
      <c r="AN824" t="s">
        <v>130</v>
      </c>
      <c r="AP824" t="s">
        <v>41</v>
      </c>
      <c r="AU824" t="s">
        <v>46</v>
      </c>
      <c r="AZ824" t="s">
        <v>51</v>
      </c>
      <c r="BA824" t="s">
        <v>52</v>
      </c>
    </row>
    <row r="825" spans="1:77" x14ac:dyDescent="0.2">
      <c r="A825" t="s">
        <v>2865</v>
      </c>
      <c r="B825" t="s">
        <v>3219</v>
      </c>
      <c r="C825" t="s">
        <v>3220</v>
      </c>
      <c r="D825" t="s">
        <v>2089</v>
      </c>
      <c r="E825" t="s">
        <v>3221</v>
      </c>
      <c r="F825" t="s">
        <v>118</v>
      </c>
      <c r="G825" t="str">
        <f>HYPERLINK("https://vk.com/wall-61101621_254764?reply=254774")</f>
        <v>https://vk.com/wall-61101621_254764?reply=254774</v>
      </c>
      <c r="H825" t="s">
        <v>119</v>
      </c>
      <c r="I825" t="s">
        <v>3222</v>
      </c>
      <c r="J825" t="str">
        <f>HYPERLINK("http://vk.com/id47264919")</f>
        <v>http://vk.com/id47264919</v>
      </c>
      <c r="K825">
        <v>250</v>
      </c>
      <c r="L825" t="s">
        <v>121</v>
      </c>
      <c r="M825">
        <v>37</v>
      </c>
      <c r="N825" t="s">
        <v>122</v>
      </c>
      <c r="O825" t="s">
        <v>160</v>
      </c>
      <c r="P825" t="str">
        <f>HYPERLINK("http://vk.com/club61101621")</f>
        <v>http://vk.com/club61101621</v>
      </c>
      <c r="Q825">
        <v>21119</v>
      </c>
      <c r="R825" t="s">
        <v>124</v>
      </c>
      <c r="S825" t="s">
        <v>125</v>
      </c>
      <c r="T825" t="s">
        <v>1275</v>
      </c>
      <c r="U825" t="s">
        <v>3223</v>
      </c>
      <c r="W825">
        <v>0</v>
      </c>
      <c r="X825">
        <v>0</v>
      </c>
      <c r="AM825" t="s">
        <v>129</v>
      </c>
      <c r="AN825" t="s">
        <v>130</v>
      </c>
      <c r="AP825" t="s">
        <v>41</v>
      </c>
      <c r="AU825" t="s">
        <v>46</v>
      </c>
      <c r="AY825" t="s">
        <v>50</v>
      </c>
      <c r="AZ825" t="s">
        <v>51</v>
      </c>
      <c r="BA825" t="s">
        <v>52</v>
      </c>
    </row>
    <row r="826" spans="1:77" x14ac:dyDescent="0.2">
      <c r="A826" t="s">
        <v>2865</v>
      </c>
      <c r="B826" t="s">
        <v>3224</v>
      </c>
      <c r="C826" t="s">
        <v>3225</v>
      </c>
      <c r="D826" t="s">
        <v>2215</v>
      </c>
      <c r="E826" t="s">
        <v>3226</v>
      </c>
      <c r="F826" t="s">
        <v>118</v>
      </c>
      <c r="G826" t="str">
        <f>HYPERLINK("https://vk.com/wall-27863223_292151?w=wall-27863223_292151_r292160")</f>
        <v>https://vk.com/wall-27863223_292151?w=wall-27863223_292151_r292160</v>
      </c>
      <c r="H826" t="s">
        <v>228</v>
      </c>
      <c r="I826" t="s">
        <v>3227</v>
      </c>
      <c r="J826" t="str">
        <f>HYPERLINK("http://vk.com/id17709109")</f>
        <v>http://vk.com/id17709109</v>
      </c>
      <c r="K826">
        <v>79</v>
      </c>
      <c r="L826" t="s">
        <v>121</v>
      </c>
      <c r="M826">
        <v>119</v>
      </c>
      <c r="N826" t="s">
        <v>122</v>
      </c>
      <c r="O826" t="s">
        <v>175</v>
      </c>
      <c r="P826" t="str">
        <f>HYPERLINK("http://vk.com/club27863223")</f>
        <v>http://vk.com/club27863223</v>
      </c>
      <c r="Q826">
        <v>134698</v>
      </c>
      <c r="R826" t="s">
        <v>124</v>
      </c>
      <c r="S826" t="s">
        <v>1884</v>
      </c>
      <c r="T826" t="s">
        <v>3228</v>
      </c>
      <c r="U826" t="s">
        <v>3229</v>
      </c>
      <c r="W826">
        <v>0</v>
      </c>
      <c r="X826">
        <v>0</v>
      </c>
      <c r="AM826" t="s">
        <v>129</v>
      </c>
      <c r="AN826" t="s">
        <v>130</v>
      </c>
      <c r="AP826" t="s">
        <v>41</v>
      </c>
      <c r="AU826" t="s">
        <v>46</v>
      </c>
      <c r="AZ826" t="s">
        <v>51</v>
      </c>
      <c r="BA826" t="s">
        <v>52</v>
      </c>
    </row>
    <row r="827" spans="1:77" x14ac:dyDescent="0.2">
      <c r="A827" t="s">
        <v>2865</v>
      </c>
      <c r="B827" t="s">
        <v>649</v>
      </c>
      <c r="C827" t="s">
        <v>3230</v>
      </c>
      <c r="D827" t="s">
        <v>2215</v>
      </c>
      <c r="E827" t="s">
        <v>3231</v>
      </c>
      <c r="F827" t="s">
        <v>118</v>
      </c>
      <c r="G827" t="str">
        <f>HYPERLINK("https://vk.com/wall-27863223_292151?reply=292158")</f>
        <v>https://vk.com/wall-27863223_292151?reply=292158</v>
      </c>
      <c r="H827" t="s">
        <v>119</v>
      </c>
      <c r="I827" t="s">
        <v>3232</v>
      </c>
      <c r="J827" t="str">
        <f>HYPERLINK("http://vk.com/id525424243")</f>
        <v>http://vk.com/id525424243</v>
      </c>
      <c r="K827">
        <v>105</v>
      </c>
      <c r="L827" t="s">
        <v>121</v>
      </c>
      <c r="M827">
        <v>38</v>
      </c>
      <c r="N827" t="s">
        <v>122</v>
      </c>
      <c r="O827" t="s">
        <v>175</v>
      </c>
      <c r="P827" t="str">
        <f>HYPERLINK("http://vk.com/club27863223")</f>
        <v>http://vk.com/club27863223</v>
      </c>
      <c r="Q827">
        <v>134698</v>
      </c>
      <c r="R827" t="s">
        <v>124</v>
      </c>
      <c r="S827" t="s">
        <v>125</v>
      </c>
      <c r="T827" t="s">
        <v>1819</v>
      </c>
      <c r="U827" t="s">
        <v>2175</v>
      </c>
      <c r="AM827" t="s">
        <v>129</v>
      </c>
      <c r="AN827" t="s">
        <v>130</v>
      </c>
      <c r="AP827" t="s">
        <v>41</v>
      </c>
      <c r="AU827" t="s">
        <v>46</v>
      </c>
      <c r="AZ827" t="s">
        <v>51</v>
      </c>
      <c r="BA827" t="s">
        <v>52</v>
      </c>
    </row>
    <row r="828" spans="1:77" x14ac:dyDescent="0.2">
      <c r="A828" t="s">
        <v>2865</v>
      </c>
      <c r="B828" t="s">
        <v>662</v>
      </c>
      <c r="C828" t="s">
        <v>3233</v>
      </c>
      <c r="D828" t="s">
        <v>129</v>
      </c>
      <c r="E828" t="s">
        <v>3234</v>
      </c>
      <c r="F828" t="s">
        <v>118</v>
      </c>
      <c r="G828" t="str">
        <f>HYPERLINK("https://vk.com/wall-186481376_571286?reply=571298")</f>
        <v>https://vk.com/wall-186481376_571286?reply=571298</v>
      </c>
      <c r="H828" t="s">
        <v>119</v>
      </c>
      <c r="I828" t="s">
        <v>3235</v>
      </c>
      <c r="J828" t="str">
        <f>HYPERLINK("http://vk.com/id481147783")</f>
        <v>http://vk.com/id481147783</v>
      </c>
      <c r="K828">
        <v>0</v>
      </c>
      <c r="L828" t="s">
        <v>121</v>
      </c>
      <c r="M828">
        <v>61</v>
      </c>
      <c r="N828" t="s">
        <v>122</v>
      </c>
      <c r="O828" t="s">
        <v>3236</v>
      </c>
      <c r="P828" t="str">
        <f>HYPERLINK("http://vk.com/club186481376")</f>
        <v>http://vk.com/club186481376</v>
      </c>
      <c r="Q828">
        <v>394460</v>
      </c>
      <c r="R828" t="s">
        <v>124</v>
      </c>
      <c r="AM828" t="s">
        <v>129</v>
      </c>
      <c r="AN828" t="s">
        <v>130</v>
      </c>
      <c r="AP828" t="s">
        <v>41</v>
      </c>
      <c r="AW828" t="s">
        <v>48</v>
      </c>
      <c r="AZ828" t="s">
        <v>51</v>
      </c>
      <c r="BA828" t="s">
        <v>52</v>
      </c>
    </row>
    <row r="829" spans="1:77" x14ac:dyDescent="0.2">
      <c r="A829" t="s">
        <v>2865</v>
      </c>
      <c r="B829" t="s">
        <v>3237</v>
      </c>
      <c r="C829" t="s">
        <v>3238</v>
      </c>
      <c r="D829" t="s">
        <v>2215</v>
      </c>
      <c r="E829" t="s">
        <v>3239</v>
      </c>
      <c r="F829" t="s">
        <v>118</v>
      </c>
      <c r="G829" t="str">
        <f>HYPERLINK("https://vk.com/wall-27863223_292151?reply=292154")</f>
        <v>https://vk.com/wall-27863223_292151?reply=292154</v>
      </c>
      <c r="H829" t="s">
        <v>119</v>
      </c>
      <c r="I829" t="s">
        <v>254</v>
      </c>
      <c r="J829" t="str">
        <f>HYPERLINK("http://vk.com/id286061518")</f>
        <v>http://vk.com/id286061518</v>
      </c>
      <c r="K829">
        <v>5170</v>
      </c>
      <c r="L829" t="s">
        <v>121</v>
      </c>
      <c r="M829">
        <v>34</v>
      </c>
      <c r="N829" t="s">
        <v>122</v>
      </c>
      <c r="O829" t="s">
        <v>175</v>
      </c>
      <c r="P829" t="str">
        <f>HYPERLINK("http://vk.com/club27863223")</f>
        <v>http://vk.com/club27863223</v>
      </c>
      <c r="Q829">
        <v>134698</v>
      </c>
      <c r="R829" t="s">
        <v>124</v>
      </c>
      <c r="S829" t="s">
        <v>125</v>
      </c>
      <c r="T829" t="s">
        <v>256</v>
      </c>
      <c r="U829" t="s">
        <v>257</v>
      </c>
      <c r="W829">
        <v>0</v>
      </c>
      <c r="X829">
        <v>0</v>
      </c>
      <c r="AM829" t="s">
        <v>129</v>
      </c>
      <c r="AN829" t="s">
        <v>130</v>
      </c>
      <c r="AP829" t="s">
        <v>41</v>
      </c>
      <c r="AU829" t="s">
        <v>46</v>
      </c>
      <c r="AZ829" t="s">
        <v>51</v>
      </c>
      <c r="BA829" t="s">
        <v>52</v>
      </c>
    </row>
    <row r="830" spans="1:77" x14ac:dyDescent="0.2">
      <c r="A830" t="s">
        <v>2865</v>
      </c>
      <c r="B830" t="s">
        <v>3237</v>
      </c>
      <c r="C830" t="s">
        <v>3240</v>
      </c>
      <c r="D830" t="s">
        <v>2215</v>
      </c>
      <c r="E830" t="s">
        <v>3241</v>
      </c>
      <c r="F830" t="s">
        <v>118</v>
      </c>
      <c r="G830" t="str">
        <f>HYPERLINK("https://vk.com/wall-27863223_292151?reply=292153")</f>
        <v>https://vk.com/wall-27863223_292151?reply=292153</v>
      </c>
      <c r="H830" t="s">
        <v>119</v>
      </c>
      <c r="I830" t="s">
        <v>254</v>
      </c>
      <c r="J830" t="str">
        <f>HYPERLINK("http://vk.com/id286061518")</f>
        <v>http://vk.com/id286061518</v>
      </c>
      <c r="K830">
        <v>5170</v>
      </c>
      <c r="L830" t="s">
        <v>121</v>
      </c>
      <c r="M830">
        <v>34</v>
      </c>
      <c r="N830" t="s">
        <v>122</v>
      </c>
      <c r="O830" t="s">
        <v>175</v>
      </c>
      <c r="P830" t="str">
        <f>HYPERLINK("http://vk.com/club27863223")</f>
        <v>http://vk.com/club27863223</v>
      </c>
      <c r="Q830">
        <v>134698</v>
      </c>
      <c r="R830" t="s">
        <v>124</v>
      </c>
      <c r="S830" t="s">
        <v>125</v>
      </c>
      <c r="T830" t="s">
        <v>256</v>
      </c>
      <c r="U830" t="s">
        <v>257</v>
      </c>
      <c r="AM830" t="s">
        <v>129</v>
      </c>
      <c r="AN830" t="s">
        <v>130</v>
      </c>
      <c r="AP830" t="s">
        <v>41</v>
      </c>
      <c r="AZ830" t="s">
        <v>51</v>
      </c>
      <c r="BA830" t="s">
        <v>52</v>
      </c>
      <c r="BY830" t="s">
        <v>76</v>
      </c>
    </row>
    <row r="831" spans="1:77" x14ac:dyDescent="0.2">
      <c r="A831" t="s">
        <v>2865</v>
      </c>
      <c r="B831" t="s">
        <v>3242</v>
      </c>
      <c r="C831" t="s">
        <v>3243</v>
      </c>
      <c r="D831" t="s">
        <v>2215</v>
      </c>
      <c r="E831" t="s">
        <v>3244</v>
      </c>
      <c r="F831" t="s">
        <v>180</v>
      </c>
      <c r="G831" t="str">
        <f>HYPERLINK("https://ok.ru/group/51085510115462/topic/153489564935558")</f>
        <v>https://ok.ru/group/51085510115462/topic/153489564935558</v>
      </c>
      <c r="H831" t="s">
        <v>119</v>
      </c>
      <c r="I831" t="s">
        <v>175</v>
      </c>
      <c r="J831" t="str">
        <f>HYPERLINK("https://ok.ru/group/51085510115462")</f>
        <v>https://ok.ru/group/51085510115462</v>
      </c>
      <c r="K831">
        <v>94768</v>
      </c>
      <c r="L831" t="s">
        <v>340</v>
      </c>
      <c r="N831" t="s">
        <v>347</v>
      </c>
      <c r="O831" t="s">
        <v>175</v>
      </c>
      <c r="P831" t="str">
        <f>HYPERLINK("https://ok.ru/group/51085510115462")</f>
        <v>https://ok.ru/group/51085510115462</v>
      </c>
      <c r="Q831">
        <v>94768</v>
      </c>
      <c r="R831" t="s">
        <v>124</v>
      </c>
      <c r="W831">
        <v>29</v>
      </c>
      <c r="X831">
        <v>29</v>
      </c>
      <c r="Y831">
        <v>0</v>
      </c>
      <c r="Z831">
        <v>0</v>
      </c>
      <c r="AA831">
        <v>0</v>
      </c>
      <c r="AB831">
        <v>0</v>
      </c>
      <c r="AE831">
        <v>0</v>
      </c>
      <c r="AF831">
        <v>1</v>
      </c>
      <c r="AJ831" t="s">
        <v>588</v>
      </c>
      <c r="AK831" t="s">
        <v>1983</v>
      </c>
      <c r="AL831" t="str">
        <f>HYPERLINK("https://i.mycdn.me/image?id=918984994182&amp;t=20&amp;plc=API&amp;aid=1131601408&amp;tkn=*3rDanBVrzMK6HE4oFng4CsPiXDI")</f>
        <v>https://i.mycdn.me/image?id=918984994182&amp;t=20&amp;plc=API&amp;aid=1131601408&amp;tkn=*3rDanBVrzMK6HE4oFng4CsPiXDI</v>
      </c>
      <c r="AM831" t="s">
        <v>129</v>
      </c>
      <c r="AN831" t="s">
        <v>130</v>
      </c>
      <c r="BI831" t="s">
        <v>60</v>
      </c>
    </row>
    <row r="832" spans="1:77" x14ac:dyDescent="0.2">
      <c r="A832" t="s">
        <v>2865</v>
      </c>
      <c r="B832" t="s">
        <v>3242</v>
      </c>
      <c r="C832" t="s">
        <v>3238</v>
      </c>
      <c r="D832" t="s">
        <v>2215</v>
      </c>
      <c r="E832" t="s">
        <v>3245</v>
      </c>
      <c r="F832" t="s">
        <v>118</v>
      </c>
      <c r="G832" t="str">
        <f>HYPERLINK("https://vk.com/wall-27863223_292151?reply=292152")</f>
        <v>https://vk.com/wall-27863223_292151?reply=292152</v>
      </c>
      <c r="H832" t="s">
        <v>228</v>
      </c>
      <c r="I832" t="s">
        <v>3246</v>
      </c>
      <c r="J832" t="str">
        <f>HYPERLINK("http://vk.com/id135989666")</f>
        <v>http://vk.com/id135989666</v>
      </c>
      <c r="K832">
        <v>118</v>
      </c>
      <c r="L832" t="s">
        <v>121</v>
      </c>
      <c r="N832" t="s">
        <v>122</v>
      </c>
      <c r="O832" t="s">
        <v>175</v>
      </c>
      <c r="P832" t="str">
        <f>HYPERLINK("http://vk.com/club27863223")</f>
        <v>http://vk.com/club27863223</v>
      </c>
      <c r="Q832">
        <v>134698</v>
      </c>
      <c r="R832" t="s">
        <v>124</v>
      </c>
      <c r="S832" t="s">
        <v>125</v>
      </c>
      <c r="T832" t="s">
        <v>137</v>
      </c>
      <c r="U832" t="s">
        <v>137</v>
      </c>
      <c r="W832">
        <v>1</v>
      </c>
      <c r="X832">
        <v>1</v>
      </c>
      <c r="AM832" t="s">
        <v>129</v>
      </c>
      <c r="AN832" t="s">
        <v>130</v>
      </c>
      <c r="AP832" t="s">
        <v>41</v>
      </c>
      <c r="AU832" t="s">
        <v>46</v>
      </c>
      <c r="AY832" t="s">
        <v>50</v>
      </c>
      <c r="AZ832" t="s">
        <v>51</v>
      </c>
      <c r="BA832" t="s">
        <v>52</v>
      </c>
    </row>
    <row r="833" spans="1:70" x14ac:dyDescent="0.2">
      <c r="A833" t="s">
        <v>2865</v>
      </c>
      <c r="B833" t="s">
        <v>3247</v>
      </c>
      <c r="C833" t="s">
        <v>3160</v>
      </c>
      <c r="D833" t="s">
        <v>129</v>
      </c>
      <c r="E833" t="s">
        <v>3248</v>
      </c>
      <c r="F833" t="s">
        <v>180</v>
      </c>
      <c r="G833" t="str">
        <f>HYPERLINK("https://www.facebook.com/206198386101106/posts/4118282274892678/")</f>
        <v>https://www.facebook.com/206198386101106/posts/4118282274892678/</v>
      </c>
      <c r="H833" t="s">
        <v>119</v>
      </c>
      <c r="I833" t="s">
        <v>175</v>
      </c>
      <c r="J833" t="str">
        <f>HYPERLINK("https://www.facebook.com/206198386101106")</f>
        <v>https://www.facebook.com/206198386101106</v>
      </c>
      <c r="K833">
        <v>16432</v>
      </c>
      <c r="L833" t="s">
        <v>340</v>
      </c>
      <c r="N833" t="s">
        <v>305</v>
      </c>
      <c r="O833" t="s">
        <v>175</v>
      </c>
      <c r="P833" t="str">
        <f>HYPERLINK("https://www.facebook.com/206198386101106")</f>
        <v>https://www.facebook.com/206198386101106</v>
      </c>
      <c r="Q833">
        <v>16432</v>
      </c>
      <c r="R833" t="s">
        <v>124</v>
      </c>
      <c r="W833">
        <v>5</v>
      </c>
      <c r="X833">
        <v>5</v>
      </c>
      <c r="Y833">
        <v>0</v>
      </c>
      <c r="Z833">
        <v>0</v>
      </c>
      <c r="AA833">
        <v>0</v>
      </c>
      <c r="AB833">
        <v>0</v>
      </c>
      <c r="AC833">
        <v>0</v>
      </c>
      <c r="AE833">
        <v>0</v>
      </c>
      <c r="AF833">
        <v>0</v>
      </c>
      <c r="AJ833" t="s">
        <v>588</v>
      </c>
      <c r="AK833" t="s">
        <v>1983</v>
      </c>
      <c r="AL833" t="s">
        <v>3249</v>
      </c>
      <c r="AM833" t="s">
        <v>129</v>
      </c>
      <c r="AN833" t="s">
        <v>130</v>
      </c>
      <c r="BI833" t="s">
        <v>60</v>
      </c>
    </row>
    <row r="834" spans="1:70" x14ac:dyDescent="0.2">
      <c r="A834" t="s">
        <v>2865</v>
      </c>
      <c r="B834" t="s">
        <v>3250</v>
      </c>
      <c r="C834" t="s">
        <v>3251</v>
      </c>
      <c r="D834" t="s">
        <v>3252</v>
      </c>
      <c r="E834" t="s">
        <v>3253</v>
      </c>
      <c r="F834" t="s">
        <v>118</v>
      </c>
      <c r="G834" t="str">
        <f>HYPERLINK("https://vk.com/wall-178836051_158831?reply=158905")</f>
        <v>https://vk.com/wall-178836051_158831?reply=158905</v>
      </c>
      <c r="H834" t="s">
        <v>181</v>
      </c>
      <c r="I834" t="s">
        <v>3254</v>
      </c>
      <c r="J834" t="str">
        <f>HYPERLINK("http://vk.com/id316115555")</f>
        <v>http://vk.com/id316115555</v>
      </c>
      <c r="K834">
        <v>16</v>
      </c>
      <c r="L834" t="s">
        <v>121</v>
      </c>
      <c r="N834" t="s">
        <v>122</v>
      </c>
      <c r="O834" t="s">
        <v>3255</v>
      </c>
      <c r="P834" t="str">
        <f>HYPERLINK("http://vk.com/club178836051")</f>
        <v>http://vk.com/club178836051</v>
      </c>
      <c r="Q834">
        <v>18311</v>
      </c>
      <c r="R834" t="s">
        <v>124</v>
      </c>
      <c r="S834" t="s">
        <v>125</v>
      </c>
      <c r="AM834" t="s">
        <v>129</v>
      </c>
      <c r="AN834" t="s">
        <v>130</v>
      </c>
      <c r="AP834" t="s">
        <v>41</v>
      </c>
      <c r="AW834" t="s">
        <v>48</v>
      </c>
      <c r="AZ834" t="s">
        <v>51</v>
      </c>
      <c r="BB834" t="s">
        <v>53</v>
      </c>
    </row>
    <row r="835" spans="1:70" x14ac:dyDescent="0.2">
      <c r="A835" t="s">
        <v>2865</v>
      </c>
      <c r="B835" t="s">
        <v>3256</v>
      </c>
      <c r="C835" t="s">
        <v>3257</v>
      </c>
      <c r="D835" t="s">
        <v>2089</v>
      </c>
      <c r="E835" t="s">
        <v>3258</v>
      </c>
      <c r="F835" t="s">
        <v>118</v>
      </c>
      <c r="G835" t="str">
        <f>HYPERLINK("https://vk.com/wall-61101621_254764?reply=254773")</f>
        <v>https://vk.com/wall-61101621_254764?reply=254773</v>
      </c>
      <c r="H835" t="s">
        <v>119</v>
      </c>
      <c r="I835" t="s">
        <v>3106</v>
      </c>
      <c r="J835" t="str">
        <f>HYPERLINK("http://vk.com/id3438593")</f>
        <v>http://vk.com/id3438593</v>
      </c>
      <c r="K835">
        <v>49</v>
      </c>
      <c r="L835" t="s">
        <v>121</v>
      </c>
      <c r="N835" t="s">
        <v>122</v>
      </c>
      <c r="O835" t="s">
        <v>160</v>
      </c>
      <c r="P835" t="str">
        <f>HYPERLINK("http://vk.com/club61101621")</f>
        <v>http://vk.com/club61101621</v>
      </c>
      <c r="Q835">
        <v>21119</v>
      </c>
      <c r="R835" t="s">
        <v>124</v>
      </c>
      <c r="S835" t="s">
        <v>125</v>
      </c>
      <c r="T835" t="s">
        <v>169</v>
      </c>
      <c r="U835" t="s">
        <v>169</v>
      </c>
      <c r="W835">
        <v>0</v>
      </c>
      <c r="X835">
        <v>0</v>
      </c>
      <c r="AM835" t="s">
        <v>129</v>
      </c>
      <c r="AN835" t="s">
        <v>130</v>
      </c>
      <c r="AP835" t="s">
        <v>41</v>
      </c>
      <c r="AU835" t="s">
        <v>46</v>
      </c>
      <c r="AY835" t="s">
        <v>50</v>
      </c>
      <c r="AZ835" t="s">
        <v>51</v>
      </c>
      <c r="BA835" t="s">
        <v>52</v>
      </c>
    </row>
    <row r="836" spans="1:70" x14ac:dyDescent="0.2">
      <c r="A836" t="s">
        <v>2865</v>
      </c>
      <c r="B836" t="s">
        <v>3259</v>
      </c>
      <c r="C836" t="s">
        <v>3260</v>
      </c>
      <c r="D836" t="s">
        <v>3261</v>
      </c>
      <c r="E836" t="s">
        <v>3262</v>
      </c>
      <c r="F836" t="s">
        <v>180</v>
      </c>
      <c r="G836" t="str">
        <f>HYPERLINK("https://www.wildberries.ru/catalog/5691258/detail.aspx?targetUrl=ES#Comments")</f>
        <v>https://www.wildberries.ru/catalog/5691258/detail.aspx?targetUrl=ES#Comments</v>
      </c>
      <c r="H836" t="s">
        <v>181</v>
      </c>
      <c r="I836" t="s">
        <v>3263</v>
      </c>
      <c r="J836" t="str">
        <f>HYPERLINK("https://www.wildberries.ru/profile/w7TDssOkw7PCu8K1wrnCuMK2wrTCsw==")</f>
        <v>https://www.wildberries.ru/profile/w7TDssOkw7PCu8K1wrnCuMK2wrTCsw==</v>
      </c>
      <c r="L836" t="s">
        <v>151</v>
      </c>
      <c r="N836" t="s">
        <v>534</v>
      </c>
      <c r="O836" t="s">
        <v>3261</v>
      </c>
      <c r="P836" t="str">
        <f>HYPERLINK("https://www.wildberries.ru/catalog/4570035/detail.aspx")</f>
        <v>https://www.wildberries.ru/catalog/4570035/detail.aspx</v>
      </c>
      <c r="R836" t="s">
        <v>184</v>
      </c>
      <c r="S836" t="s">
        <v>125</v>
      </c>
      <c r="W836">
        <v>0</v>
      </c>
      <c r="X836">
        <v>0</v>
      </c>
      <c r="AH836">
        <v>5</v>
      </c>
      <c r="AM836" t="s">
        <v>129</v>
      </c>
      <c r="AN836" t="s">
        <v>130</v>
      </c>
      <c r="AP836" t="s">
        <v>41</v>
      </c>
      <c r="AZ836" t="s">
        <v>51</v>
      </c>
      <c r="BA836" t="s">
        <v>52</v>
      </c>
      <c r="BK836" t="s">
        <v>62</v>
      </c>
      <c r="BL836" t="s">
        <v>63</v>
      </c>
    </row>
    <row r="837" spans="1:70" x14ac:dyDescent="0.2">
      <c r="A837" t="s">
        <v>2865</v>
      </c>
      <c r="B837" t="s">
        <v>2837</v>
      </c>
      <c r="C837" t="s">
        <v>3264</v>
      </c>
      <c r="D837" t="s">
        <v>204</v>
      </c>
      <c r="E837" t="s">
        <v>3265</v>
      </c>
      <c r="F837" t="s">
        <v>180</v>
      </c>
      <c r="G837" t="str">
        <f>HYPERLINK("https://play.google.com/store/apps/details?id=ru.iflex.android.a3colortv&amp;reviewId=gp:AOqpTOEDTjmzYjtwW_3UGi_p0UvlysDeHC-vSffiHiQYVdWEcbAOEdktxQG4QP1TRbgG0C4KKcVNZwyryYvNgg")</f>
        <v>https://play.google.com/store/apps/details?id=ru.iflex.android.a3colortv&amp;reviewId=gp:AOqpTOEDTjmzYjtwW_3UGi_p0UvlysDeHC-vSffiHiQYVdWEcbAOEdktxQG4QP1TRbgG0C4KKcVNZwyryYvNgg</v>
      </c>
      <c r="H837" t="s">
        <v>228</v>
      </c>
      <c r="I837" t="s">
        <v>3266</v>
      </c>
      <c r="J837" t="str">
        <f>HYPERLINK("https://plus.google.com/112931417355015426162")</f>
        <v>https://plus.google.com/112931417355015426162</v>
      </c>
      <c r="L837" t="s">
        <v>121</v>
      </c>
      <c r="N837" t="s">
        <v>207</v>
      </c>
      <c r="O837" t="s">
        <v>204</v>
      </c>
      <c r="P837" t="str">
        <f>HYPERLINK("https://play.google.com/store/apps/details?id=ru.iflex.android.a3colortv&amp;hl=ru")</f>
        <v>https://play.google.com/store/apps/details?id=ru.iflex.android.a3colortv&amp;hl=ru</v>
      </c>
      <c r="R837" t="s">
        <v>184</v>
      </c>
      <c r="S837" t="s">
        <v>125</v>
      </c>
      <c r="W837">
        <v>0</v>
      </c>
      <c r="X837">
        <v>0</v>
      </c>
      <c r="AH837">
        <v>1</v>
      </c>
      <c r="AM837" t="s">
        <v>129</v>
      </c>
      <c r="AN837" t="s">
        <v>130</v>
      </c>
      <c r="AP837" t="s">
        <v>41</v>
      </c>
      <c r="AU837" t="s">
        <v>46</v>
      </c>
      <c r="AY837" t="s">
        <v>50</v>
      </c>
      <c r="AZ837" t="s">
        <v>51</v>
      </c>
      <c r="BA837" t="s">
        <v>52</v>
      </c>
    </row>
    <row r="838" spans="1:70" x14ac:dyDescent="0.2">
      <c r="A838" t="s">
        <v>2865</v>
      </c>
      <c r="B838" t="s">
        <v>2837</v>
      </c>
      <c r="C838" t="s">
        <v>3267</v>
      </c>
      <c r="D838" t="s">
        <v>2047</v>
      </c>
      <c r="E838" t="s">
        <v>3268</v>
      </c>
      <c r="F838" t="s">
        <v>118</v>
      </c>
      <c r="G838" t="str">
        <f>HYPERLINK("https://habr.com/news/t/569306/#comment_23297882")</f>
        <v>https://habr.com/news/t/569306/#comment_23297882</v>
      </c>
      <c r="H838" t="s">
        <v>181</v>
      </c>
      <c r="J838" t="str">
        <f>HYPERLINK("https://habr.com/users/syakimov/")</f>
        <v>https://habr.com/users/syakimov/</v>
      </c>
      <c r="K838">
        <v>0</v>
      </c>
      <c r="L838" t="s">
        <v>340</v>
      </c>
      <c r="N838" t="s">
        <v>2049</v>
      </c>
      <c r="O838" t="s">
        <v>2050</v>
      </c>
      <c r="P838" t="str">
        <f>HYPERLINK("https://habr.com/hub/wireless")</f>
        <v>https://habr.com/hub/wireless</v>
      </c>
      <c r="R838" t="s">
        <v>785</v>
      </c>
      <c r="AM838" t="s">
        <v>129</v>
      </c>
      <c r="AN838" t="s">
        <v>130</v>
      </c>
      <c r="AP838" t="s">
        <v>41</v>
      </c>
      <c r="AY838" t="s">
        <v>50</v>
      </c>
      <c r="AZ838" t="s">
        <v>51</v>
      </c>
      <c r="BB838" t="s">
        <v>53</v>
      </c>
    </row>
    <row r="839" spans="1:70" x14ac:dyDescent="0.2">
      <c r="A839" t="s">
        <v>2865</v>
      </c>
      <c r="B839" t="s">
        <v>3269</v>
      </c>
      <c r="C839" t="s">
        <v>3270</v>
      </c>
      <c r="D839" t="s">
        <v>3271</v>
      </c>
      <c r="E839" t="s">
        <v>3272</v>
      </c>
      <c r="F839" t="s">
        <v>180</v>
      </c>
      <c r="G839" t="str">
        <f>HYPERLINK("https://www.wildberries.ru/catalog/18886890/detail.aspx?targetUrl=ES#Comments")</f>
        <v>https://www.wildberries.ru/catalog/18886890/detail.aspx?targetUrl=ES#Comments</v>
      </c>
      <c r="H839" t="s">
        <v>181</v>
      </c>
      <c r="I839" t="s">
        <v>3273</v>
      </c>
      <c r="J839" t="str">
        <f>HYPERLINK("https://www.wildberries.ru/profile/w7TDssOkw7PCu8KzwrTCucK2wrPCtcK0wrQ=")</f>
        <v>https://www.wildberries.ru/profile/w7TDssOkw7PCu8KzwrTCucK2wrPCtcK0wrQ=</v>
      </c>
      <c r="L839" t="s">
        <v>121</v>
      </c>
      <c r="N839" t="s">
        <v>534</v>
      </c>
      <c r="O839" t="s">
        <v>3271</v>
      </c>
      <c r="P839" t="str">
        <f>HYPERLINK("https://www.wildberries.ru/catalog/14027974/detail.aspx")</f>
        <v>https://www.wildberries.ru/catalog/14027974/detail.aspx</v>
      </c>
      <c r="R839" t="s">
        <v>184</v>
      </c>
      <c r="S839" t="s">
        <v>125</v>
      </c>
      <c r="W839">
        <v>0</v>
      </c>
      <c r="X839">
        <v>0</v>
      </c>
      <c r="AH839">
        <v>5</v>
      </c>
      <c r="AM839" t="s">
        <v>129</v>
      </c>
      <c r="AN839" t="s">
        <v>130</v>
      </c>
      <c r="AP839" t="s">
        <v>41</v>
      </c>
      <c r="AZ839" t="s">
        <v>51</v>
      </c>
      <c r="BA839" t="s">
        <v>52</v>
      </c>
      <c r="BC839" t="s">
        <v>54</v>
      </c>
      <c r="BK839" t="s">
        <v>62</v>
      </c>
    </row>
    <row r="840" spans="1:70" x14ac:dyDescent="0.2">
      <c r="A840" t="s">
        <v>2865</v>
      </c>
      <c r="B840" t="s">
        <v>3274</v>
      </c>
      <c r="C840" t="s">
        <v>3275</v>
      </c>
      <c r="D840" t="s">
        <v>1697</v>
      </c>
      <c r="E840" t="s">
        <v>3276</v>
      </c>
      <c r="F840" t="s">
        <v>180</v>
      </c>
      <c r="G840" t="str">
        <f>HYPERLINK("https://apps.apple.com/ru/app/мой-триколор/id1204321194#7618666934")</f>
        <v>https://apps.apple.com/ru/app/мой-триколор/id1204321194#7618666934</v>
      </c>
      <c r="H840" t="s">
        <v>181</v>
      </c>
      <c r="I840" t="s">
        <v>3277</v>
      </c>
      <c r="J840" t="str">
        <f>HYPERLINK("https://itunes.apple.com/reviews?userProfileId=785891920")</f>
        <v>https://itunes.apple.com/reviews?userProfileId=785891920</v>
      </c>
      <c r="N840" t="s">
        <v>1411</v>
      </c>
      <c r="O840" t="s">
        <v>1697</v>
      </c>
      <c r="P840" t="str">
        <f>HYPERLINK("https://apps.apple.com/ru/app/мой-триколор/id1204321194")</f>
        <v>https://apps.apple.com/ru/app/мой-триколор/id1204321194</v>
      </c>
      <c r="R840" t="s">
        <v>184</v>
      </c>
      <c r="S840" t="s">
        <v>125</v>
      </c>
      <c r="AH840">
        <v>5</v>
      </c>
      <c r="AM840" t="s">
        <v>129</v>
      </c>
      <c r="AN840" t="s">
        <v>130</v>
      </c>
      <c r="AP840" t="s">
        <v>41</v>
      </c>
      <c r="AZ840" t="s">
        <v>51</v>
      </c>
      <c r="BA840" t="s">
        <v>52</v>
      </c>
      <c r="BQ840" t="s">
        <v>68</v>
      </c>
    </row>
    <row r="841" spans="1:70" x14ac:dyDescent="0.2">
      <c r="A841" t="s">
        <v>2865</v>
      </c>
      <c r="B841" t="s">
        <v>1814</v>
      </c>
      <c r="C841" t="s">
        <v>3278</v>
      </c>
      <c r="D841" t="s">
        <v>2089</v>
      </c>
      <c r="E841" t="s">
        <v>3279</v>
      </c>
      <c r="F841" t="s">
        <v>118</v>
      </c>
      <c r="G841" t="str">
        <f>HYPERLINK("https://vk.com/wall-61101621_254764?reply=254770")</f>
        <v>https://vk.com/wall-61101621_254764?reply=254770</v>
      </c>
      <c r="H841" t="s">
        <v>228</v>
      </c>
      <c r="I841" t="s">
        <v>2251</v>
      </c>
      <c r="J841" t="str">
        <f>HYPERLINK("http://vk.com/id170066130")</f>
        <v>http://vk.com/id170066130</v>
      </c>
      <c r="K841">
        <v>166</v>
      </c>
      <c r="N841" t="s">
        <v>122</v>
      </c>
      <c r="O841" t="s">
        <v>160</v>
      </c>
      <c r="P841" t="str">
        <f>HYPERLINK("http://vk.com/club61101621")</f>
        <v>http://vk.com/club61101621</v>
      </c>
      <c r="Q841">
        <v>21119</v>
      </c>
      <c r="R841" t="s">
        <v>124</v>
      </c>
      <c r="S841" t="s">
        <v>125</v>
      </c>
      <c r="W841">
        <v>1</v>
      </c>
      <c r="X841">
        <v>1</v>
      </c>
      <c r="AM841" t="s">
        <v>129</v>
      </c>
      <c r="AN841" t="s">
        <v>130</v>
      </c>
      <c r="AP841" t="s">
        <v>41</v>
      </c>
      <c r="AU841" t="s">
        <v>46</v>
      </c>
      <c r="AW841" t="s">
        <v>48</v>
      </c>
      <c r="AZ841" t="s">
        <v>51</v>
      </c>
      <c r="BB841" t="s">
        <v>53</v>
      </c>
    </row>
    <row r="842" spans="1:70" x14ac:dyDescent="0.2">
      <c r="A842" t="s">
        <v>2865</v>
      </c>
      <c r="B842" t="s">
        <v>3280</v>
      </c>
      <c r="C842" t="s">
        <v>3281</v>
      </c>
      <c r="D842" t="s">
        <v>3282</v>
      </c>
      <c r="E842" t="s">
        <v>3283</v>
      </c>
      <c r="F842" t="s">
        <v>180</v>
      </c>
      <c r="G842" t="str">
        <f>HYPERLINK("https://otvet.mail.ru/answer/1994498727/cid-331500236/")</f>
        <v>https://otvet.mail.ru/answer/1994498727/cid-331500236/</v>
      </c>
      <c r="H842" t="s">
        <v>119</v>
      </c>
      <c r="I842" t="s">
        <v>3284</v>
      </c>
      <c r="J842" t="str">
        <f>HYPERLINK("http://otvet.mail.ru/profile/id4688100")</f>
        <v>http://otvet.mail.ru/profile/id4688100</v>
      </c>
      <c r="L842" t="s">
        <v>121</v>
      </c>
      <c r="N842" t="s">
        <v>690</v>
      </c>
      <c r="O842" t="s">
        <v>3285</v>
      </c>
      <c r="P842" t="str">
        <f>HYPERLINK("https://otvet.mail.ru/utilities/")</f>
        <v>https://otvet.mail.ru/utilities/</v>
      </c>
      <c r="R842" t="s">
        <v>295</v>
      </c>
      <c r="S842" t="s">
        <v>125</v>
      </c>
      <c r="AM842" t="s">
        <v>129</v>
      </c>
      <c r="AN842" t="s">
        <v>130</v>
      </c>
      <c r="AP842" t="s">
        <v>41</v>
      </c>
      <c r="AU842" t="s">
        <v>46</v>
      </c>
      <c r="AZ842" t="s">
        <v>51</v>
      </c>
      <c r="BA842" t="s">
        <v>52</v>
      </c>
    </row>
    <row r="843" spans="1:70" x14ac:dyDescent="0.2">
      <c r="A843" t="s">
        <v>2865</v>
      </c>
      <c r="B843" t="s">
        <v>3280</v>
      </c>
      <c r="C843" t="s">
        <v>3281</v>
      </c>
      <c r="D843" t="s">
        <v>3282</v>
      </c>
      <c r="E843" t="s">
        <v>3286</v>
      </c>
      <c r="F843" t="s">
        <v>180</v>
      </c>
      <c r="G843" t="str">
        <f>HYPERLINK("https://otvet.mail.ru/answer/1994498727/cid-331500216/")</f>
        <v>https://otvet.mail.ru/answer/1994498727/cid-331500216/</v>
      </c>
      <c r="H843" t="s">
        <v>119</v>
      </c>
      <c r="I843" t="s">
        <v>3287</v>
      </c>
      <c r="J843" t="str">
        <f>HYPERLINK("http://otvet.mail.ru/profile/id267965103")</f>
        <v>http://otvet.mail.ru/profile/id267965103</v>
      </c>
      <c r="L843" t="s">
        <v>121</v>
      </c>
      <c r="N843" t="s">
        <v>690</v>
      </c>
      <c r="O843" t="s">
        <v>3285</v>
      </c>
      <c r="P843" t="str">
        <f>HYPERLINK("https://otvet.mail.ru/utilities/")</f>
        <v>https://otvet.mail.ru/utilities/</v>
      </c>
      <c r="R843" t="s">
        <v>295</v>
      </c>
      <c r="S843" t="s">
        <v>125</v>
      </c>
      <c r="AM843" t="s">
        <v>129</v>
      </c>
      <c r="AN843" t="s">
        <v>130</v>
      </c>
      <c r="AP843" t="s">
        <v>41</v>
      </c>
      <c r="AU843" t="s">
        <v>46</v>
      </c>
      <c r="AY843" t="s">
        <v>50</v>
      </c>
      <c r="AZ843" t="s">
        <v>51</v>
      </c>
      <c r="BA843" t="s">
        <v>52</v>
      </c>
    </row>
    <row r="844" spans="1:70" x14ac:dyDescent="0.2">
      <c r="A844" t="s">
        <v>2865</v>
      </c>
      <c r="B844" t="s">
        <v>3288</v>
      </c>
      <c r="C844" t="s">
        <v>3281</v>
      </c>
      <c r="D844" t="s">
        <v>3282</v>
      </c>
      <c r="E844" t="s">
        <v>3289</v>
      </c>
      <c r="F844" t="s">
        <v>180</v>
      </c>
      <c r="G844" t="str">
        <f>HYPERLINK("https://otvet.mail.ru/answer/1994498727")</f>
        <v>https://otvet.mail.ru/answer/1994498727</v>
      </c>
      <c r="H844" t="s">
        <v>119</v>
      </c>
      <c r="I844" t="s">
        <v>3284</v>
      </c>
      <c r="J844" t="str">
        <f>HYPERLINK("http://otvet.mail.ru/profile/id4688100")</f>
        <v>http://otvet.mail.ru/profile/id4688100</v>
      </c>
      <c r="L844" t="s">
        <v>121</v>
      </c>
      <c r="N844" t="s">
        <v>690</v>
      </c>
      <c r="O844" t="s">
        <v>3285</v>
      </c>
      <c r="P844" t="str">
        <f>HYPERLINK("https://otvet.mail.ru/utilities/")</f>
        <v>https://otvet.mail.ru/utilities/</v>
      </c>
      <c r="R844" t="s">
        <v>295</v>
      </c>
      <c r="S844" t="s">
        <v>125</v>
      </c>
      <c r="AM844" t="s">
        <v>129</v>
      </c>
      <c r="AN844" t="s">
        <v>130</v>
      </c>
      <c r="AP844" t="s">
        <v>41</v>
      </c>
      <c r="AU844" t="s">
        <v>46</v>
      </c>
      <c r="AY844" t="s">
        <v>50</v>
      </c>
      <c r="AZ844" t="s">
        <v>51</v>
      </c>
      <c r="BA844" t="s">
        <v>52</v>
      </c>
    </row>
    <row r="845" spans="1:70" x14ac:dyDescent="0.2">
      <c r="A845" t="s">
        <v>2865</v>
      </c>
      <c r="B845" t="s">
        <v>3290</v>
      </c>
      <c r="C845" t="s">
        <v>3281</v>
      </c>
      <c r="D845" t="s">
        <v>3282</v>
      </c>
      <c r="E845" t="s">
        <v>3291</v>
      </c>
      <c r="F845" t="s">
        <v>180</v>
      </c>
      <c r="G845" t="str">
        <f>HYPERLINK("https://otvet.mail.ru/question/225668197")</f>
        <v>https://otvet.mail.ru/question/225668197</v>
      </c>
      <c r="H845" t="s">
        <v>119</v>
      </c>
      <c r="I845" t="s">
        <v>3287</v>
      </c>
      <c r="J845" t="str">
        <f>HYPERLINK("http://otvet.mail.ru/profile/id267965103")</f>
        <v>http://otvet.mail.ru/profile/id267965103</v>
      </c>
      <c r="L845" t="s">
        <v>121</v>
      </c>
      <c r="N845" t="s">
        <v>690</v>
      </c>
      <c r="O845" t="s">
        <v>3285</v>
      </c>
      <c r="P845" t="str">
        <f>HYPERLINK("https://otvet.mail.ru/utilities/")</f>
        <v>https://otvet.mail.ru/utilities/</v>
      </c>
      <c r="R845" t="s">
        <v>295</v>
      </c>
      <c r="S845" t="s">
        <v>125</v>
      </c>
      <c r="AM845" t="s">
        <v>129</v>
      </c>
      <c r="AN845" t="s">
        <v>130</v>
      </c>
      <c r="AP845" t="s">
        <v>41</v>
      </c>
      <c r="AU845" t="s">
        <v>46</v>
      </c>
      <c r="AY845" t="s">
        <v>50</v>
      </c>
      <c r="AZ845" t="s">
        <v>51</v>
      </c>
      <c r="BA845" t="s">
        <v>52</v>
      </c>
    </row>
    <row r="846" spans="1:70" x14ac:dyDescent="0.2">
      <c r="A846" t="s">
        <v>2865</v>
      </c>
      <c r="B846" t="s">
        <v>3292</v>
      </c>
      <c r="C846" t="s">
        <v>3293</v>
      </c>
      <c r="D846" t="s">
        <v>2089</v>
      </c>
      <c r="E846" t="s">
        <v>3294</v>
      </c>
      <c r="F846" t="s">
        <v>118</v>
      </c>
      <c r="G846" t="str">
        <f>HYPERLINK("https://vk.com/wall-61101621_254764?reply=254767")</f>
        <v>https://vk.com/wall-61101621_254764?reply=254767</v>
      </c>
      <c r="H846" t="s">
        <v>119</v>
      </c>
      <c r="I846" t="s">
        <v>2091</v>
      </c>
      <c r="J846" t="str">
        <f>HYPERLINK("http://vk.com/id468506703")</f>
        <v>http://vk.com/id468506703</v>
      </c>
      <c r="K846">
        <v>49</v>
      </c>
      <c r="L846" t="s">
        <v>121</v>
      </c>
      <c r="N846" t="s">
        <v>122</v>
      </c>
      <c r="O846" t="s">
        <v>160</v>
      </c>
      <c r="P846" t="str">
        <f>HYPERLINK("http://vk.com/club61101621")</f>
        <v>http://vk.com/club61101621</v>
      </c>
      <c r="Q846">
        <v>21119</v>
      </c>
      <c r="R846" t="s">
        <v>124</v>
      </c>
      <c r="S846" t="s">
        <v>125</v>
      </c>
      <c r="T846" t="s">
        <v>487</v>
      </c>
      <c r="U846" t="s">
        <v>488</v>
      </c>
      <c r="W846">
        <v>0</v>
      </c>
      <c r="X846">
        <v>0</v>
      </c>
      <c r="AM846" t="s">
        <v>129</v>
      </c>
      <c r="AN846" t="s">
        <v>130</v>
      </c>
      <c r="AP846" t="s">
        <v>41</v>
      </c>
      <c r="AZ846" t="s">
        <v>51</v>
      </c>
      <c r="BA846" t="s">
        <v>52</v>
      </c>
      <c r="BL846" t="s">
        <v>63</v>
      </c>
    </row>
    <row r="847" spans="1:70" x14ac:dyDescent="0.2">
      <c r="A847" t="s">
        <v>2865</v>
      </c>
      <c r="B847" t="s">
        <v>3295</v>
      </c>
      <c r="C847" t="s">
        <v>3296</v>
      </c>
      <c r="D847" t="s">
        <v>204</v>
      </c>
      <c r="E847" t="s">
        <v>3297</v>
      </c>
      <c r="F847" t="s">
        <v>180</v>
      </c>
      <c r="G847" t="str">
        <f>HYPERLINK("https://play.google.com/store/apps/details?id=ru.iflex.android.a3colortv&amp;reviewId=gp:AOqpTOEwHvuCY_S5sIuwPGh0aoiOvFoLJqPtIO3achoZmwUxOmCMHRVO_QmP2fRDXdxVV_M2e1NRWOE_yqS__g")</f>
        <v>https://play.google.com/store/apps/details?id=ru.iflex.android.a3colortv&amp;reviewId=gp:AOqpTOEwHvuCY_S5sIuwPGh0aoiOvFoLJqPtIO3achoZmwUxOmCMHRVO_QmP2fRDXdxVV_M2e1NRWOE_yqS__g</v>
      </c>
      <c r="H847" t="s">
        <v>181</v>
      </c>
      <c r="I847" t="s">
        <v>3298</v>
      </c>
      <c r="J847" t="str">
        <f>HYPERLINK("https://plus.google.com/110393396712035190395")</f>
        <v>https://plus.google.com/110393396712035190395</v>
      </c>
      <c r="L847" t="s">
        <v>121</v>
      </c>
      <c r="N847" t="s">
        <v>207</v>
      </c>
      <c r="O847" t="s">
        <v>204</v>
      </c>
      <c r="P847" t="str">
        <f>HYPERLINK("https://play.google.com/store/apps/details?id=ru.iflex.android.a3colortv&amp;hl=ru")</f>
        <v>https://play.google.com/store/apps/details?id=ru.iflex.android.a3colortv&amp;hl=ru</v>
      </c>
      <c r="R847" t="s">
        <v>184</v>
      </c>
      <c r="S847" t="s">
        <v>125</v>
      </c>
      <c r="W847">
        <v>0</v>
      </c>
      <c r="X847">
        <v>0</v>
      </c>
      <c r="AH847">
        <v>5</v>
      </c>
      <c r="AM847" t="s">
        <v>129</v>
      </c>
      <c r="AN847" t="s">
        <v>130</v>
      </c>
      <c r="AP847" t="s">
        <v>41</v>
      </c>
      <c r="AZ847" t="s">
        <v>51</v>
      </c>
      <c r="BA847" t="s">
        <v>52</v>
      </c>
      <c r="BQ847" t="s">
        <v>68</v>
      </c>
    </row>
    <row r="848" spans="1:70" x14ac:dyDescent="0.2">
      <c r="A848" t="s">
        <v>2865</v>
      </c>
      <c r="B848" t="s">
        <v>3299</v>
      </c>
      <c r="C848" t="s">
        <v>3300</v>
      </c>
      <c r="D848" t="s">
        <v>3301</v>
      </c>
      <c r="E848" t="s">
        <v>3302</v>
      </c>
      <c r="F848" t="s">
        <v>118</v>
      </c>
      <c r="G848" t="str">
        <f>HYPERLINK("https://vk.com/wall-27863223_292057?reply=292148&amp;thread=292066")</f>
        <v>https://vk.com/wall-27863223_292057?reply=292148&amp;thread=292066</v>
      </c>
      <c r="H848" t="s">
        <v>228</v>
      </c>
      <c r="I848" t="s">
        <v>3303</v>
      </c>
      <c r="J848" t="str">
        <f>HYPERLINK("http://vk.com/id453175252")</f>
        <v>http://vk.com/id453175252</v>
      </c>
      <c r="K848">
        <v>5</v>
      </c>
      <c r="L848" t="s">
        <v>121</v>
      </c>
      <c r="M848">
        <v>56</v>
      </c>
      <c r="N848" t="s">
        <v>122</v>
      </c>
      <c r="O848" t="s">
        <v>175</v>
      </c>
      <c r="P848" t="str">
        <f>HYPERLINK("http://vk.com/club27863223")</f>
        <v>http://vk.com/club27863223</v>
      </c>
      <c r="Q848">
        <v>134698</v>
      </c>
      <c r="R848" t="s">
        <v>124</v>
      </c>
      <c r="S848" t="s">
        <v>125</v>
      </c>
      <c r="T848" t="s">
        <v>169</v>
      </c>
      <c r="U848" t="s">
        <v>169</v>
      </c>
      <c r="AM848" t="s">
        <v>129</v>
      </c>
      <c r="AN848" t="s">
        <v>130</v>
      </c>
      <c r="AP848" t="s">
        <v>41</v>
      </c>
      <c r="AZ848" t="s">
        <v>51</v>
      </c>
      <c r="BA848" t="s">
        <v>52</v>
      </c>
      <c r="BR848" t="s">
        <v>69</v>
      </c>
    </row>
    <row r="849" spans="1:77" x14ac:dyDescent="0.2">
      <c r="A849" t="s">
        <v>2865</v>
      </c>
      <c r="B849" t="s">
        <v>3304</v>
      </c>
      <c r="C849" t="s">
        <v>3305</v>
      </c>
      <c r="D849" t="s">
        <v>129</v>
      </c>
      <c r="E849" t="s">
        <v>3306</v>
      </c>
      <c r="F849" t="s">
        <v>180</v>
      </c>
      <c r="G849" t="str">
        <f>HYPERLINK("https://vk.com/wall-42402221_236088")</f>
        <v>https://vk.com/wall-42402221_236088</v>
      </c>
      <c r="H849" t="s">
        <v>119</v>
      </c>
      <c r="I849" t="s">
        <v>1264</v>
      </c>
      <c r="J849" t="str">
        <f>HYPERLINK("http://vk.com/club42402221")</f>
        <v>http://vk.com/club42402221</v>
      </c>
      <c r="K849">
        <v>546</v>
      </c>
      <c r="L849" t="s">
        <v>340</v>
      </c>
      <c r="N849" t="s">
        <v>122</v>
      </c>
      <c r="O849" t="s">
        <v>1264</v>
      </c>
      <c r="P849" t="str">
        <f>HYPERLINK("http://vk.com/club42402221")</f>
        <v>http://vk.com/club42402221</v>
      </c>
      <c r="Q849">
        <v>546</v>
      </c>
      <c r="R849" t="s">
        <v>124</v>
      </c>
      <c r="W849">
        <v>0</v>
      </c>
      <c r="X849">
        <v>0</v>
      </c>
      <c r="AE849">
        <v>0</v>
      </c>
      <c r="AF849">
        <v>0</v>
      </c>
      <c r="AG849">
        <v>5</v>
      </c>
      <c r="AM849" t="s">
        <v>129</v>
      </c>
      <c r="AN849" t="s">
        <v>130</v>
      </c>
      <c r="AP849" t="s">
        <v>41</v>
      </c>
      <c r="AT849" t="s">
        <v>45</v>
      </c>
      <c r="AU849" t="s">
        <v>46</v>
      </c>
      <c r="AZ849" t="s">
        <v>51</v>
      </c>
      <c r="BA849" t="s">
        <v>52</v>
      </c>
    </row>
    <row r="850" spans="1:77" x14ac:dyDescent="0.2">
      <c r="A850" t="s">
        <v>2865</v>
      </c>
      <c r="B850" t="s">
        <v>3304</v>
      </c>
      <c r="C850" t="s">
        <v>3305</v>
      </c>
      <c r="D850" t="s">
        <v>2089</v>
      </c>
      <c r="E850" t="s">
        <v>3307</v>
      </c>
      <c r="F850" t="s">
        <v>118</v>
      </c>
      <c r="G850" t="str">
        <f>HYPERLINK("https://vk.com/wall-61101621_254764?reply=254765")</f>
        <v>https://vk.com/wall-61101621_254764?reply=254765</v>
      </c>
      <c r="H850" t="s">
        <v>228</v>
      </c>
      <c r="I850" t="s">
        <v>3308</v>
      </c>
      <c r="J850" t="str">
        <f>HYPERLINK("http://vk.com/id303216662")</f>
        <v>http://vk.com/id303216662</v>
      </c>
      <c r="K850">
        <v>171</v>
      </c>
      <c r="L850" t="s">
        <v>121</v>
      </c>
      <c r="N850" t="s">
        <v>122</v>
      </c>
      <c r="O850" t="s">
        <v>160</v>
      </c>
      <c r="P850" t="str">
        <f>HYPERLINK("http://vk.com/club61101621")</f>
        <v>http://vk.com/club61101621</v>
      </c>
      <c r="Q850">
        <v>21119</v>
      </c>
      <c r="R850" t="s">
        <v>124</v>
      </c>
      <c r="S850" t="s">
        <v>125</v>
      </c>
      <c r="T850" t="s">
        <v>137</v>
      </c>
      <c r="U850" t="s">
        <v>137</v>
      </c>
      <c r="AM850" t="s">
        <v>129</v>
      </c>
      <c r="AN850" t="s">
        <v>130</v>
      </c>
      <c r="AP850" t="s">
        <v>41</v>
      </c>
      <c r="AT850" t="s">
        <v>45</v>
      </c>
      <c r="AZ850" t="s">
        <v>51</v>
      </c>
      <c r="BA850" t="s">
        <v>52</v>
      </c>
    </row>
    <row r="851" spans="1:77" x14ac:dyDescent="0.2">
      <c r="A851" t="s">
        <v>2865</v>
      </c>
      <c r="B851" t="s">
        <v>3309</v>
      </c>
      <c r="C851" t="s">
        <v>3310</v>
      </c>
      <c r="D851" t="s">
        <v>129</v>
      </c>
      <c r="E851" t="s">
        <v>3311</v>
      </c>
      <c r="F851" t="s">
        <v>180</v>
      </c>
      <c r="G851" t="str">
        <f>HYPERLINK("https://vk.com/wall-61101621_254764")</f>
        <v>https://vk.com/wall-61101621_254764</v>
      </c>
      <c r="H851" t="s">
        <v>119</v>
      </c>
      <c r="I851" t="s">
        <v>2091</v>
      </c>
      <c r="J851" t="str">
        <f>HYPERLINK("http://vk.com/id468506703")</f>
        <v>http://vk.com/id468506703</v>
      </c>
      <c r="K851">
        <v>49</v>
      </c>
      <c r="L851" t="s">
        <v>121</v>
      </c>
      <c r="N851" t="s">
        <v>122</v>
      </c>
      <c r="O851" t="s">
        <v>160</v>
      </c>
      <c r="P851" t="str">
        <f>HYPERLINK("http://vk.com/club61101621")</f>
        <v>http://vk.com/club61101621</v>
      </c>
      <c r="Q851">
        <v>21119</v>
      </c>
      <c r="R851" t="s">
        <v>124</v>
      </c>
      <c r="S851" t="s">
        <v>125</v>
      </c>
      <c r="T851" t="s">
        <v>487</v>
      </c>
      <c r="U851" t="s">
        <v>488</v>
      </c>
      <c r="W851">
        <v>16</v>
      </c>
      <c r="X851">
        <v>16</v>
      </c>
      <c r="AE851">
        <v>19</v>
      </c>
      <c r="AF851">
        <v>3</v>
      </c>
      <c r="AG851">
        <v>2251</v>
      </c>
      <c r="AJ851" t="s">
        <v>129</v>
      </c>
      <c r="AK851" t="s">
        <v>129</v>
      </c>
      <c r="AL851" t="str">
        <f>HYPERLINK("https://i.mycdn.me/getVideoPreview?id=1615528200783&amp;idx=0&amp;type=39&amp;tkn=XJmDOBw7U09HrKvg0WcoxHmmINA&amp;fn=vid_w")</f>
        <v>https://i.mycdn.me/getVideoPreview?id=1615528200783&amp;idx=0&amp;type=39&amp;tkn=XJmDOBw7U09HrKvg0WcoxHmmINA&amp;fn=vid_w</v>
      </c>
      <c r="AM851" t="s">
        <v>129</v>
      </c>
      <c r="AN851" t="s">
        <v>130</v>
      </c>
      <c r="AP851" t="s">
        <v>41</v>
      </c>
      <c r="AU851" t="s">
        <v>46</v>
      </c>
      <c r="AZ851" t="s">
        <v>51</v>
      </c>
      <c r="BA851" t="s">
        <v>52</v>
      </c>
    </row>
    <row r="852" spans="1:77" x14ac:dyDescent="0.2">
      <c r="A852" t="s">
        <v>3312</v>
      </c>
      <c r="B852" t="s">
        <v>3313</v>
      </c>
      <c r="C852" t="s">
        <v>3314</v>
      </c>
      <c r="D852" t="s">
        <v>3315</v>
      </c>
      <c r="E852" t="s">
        <v>3316</v>
      </c>
      <c r="F852" t="s">
        <v>118</v>
      </c>
      <c r="G852" t="str">
        <f>HYPERLINK("https://telegram.me/rt_russian_chat/970921")</f>
        <v>https://telegram.me/rt_russian_chat/970921</v>
      </c>
      <c r="H852" t="s">
        <v>119</v>
      </c>
      <c r="I852" t="s">
        <v>3317</v>
      </c>
      <c r="J852" t="str">
        <f>HYPERLINK("https://telegram.me/765303196")</f>
        <v>https://telegram.me/765303196</v>
      </c>
      <c r="N852" t="s">
        <v>143</v>
      </c>
      <c r="O852" t="s">
        <v>3318</v>
      </c>
      <c r="P852" t="str">
        <f>HYPERLINK("https://telegram.me/rt_russian_chat")</f>
        <v>https://telegram.me/rt_russian_chat</v>
      </c>
      <c r="Q852">
        <v>1065</v>
      </c>
      <c r="R852" t="s">
        <v>145</v>
      </c>
      <c r="AM852" t="s">
        <v>129</v>
      </c>
      <c r="AN852" t="s">
        <v>130</v>
      </c>
      <c r="AP852" t="s">
        <v>41</v>
      </c>
      <c r="AY852" t="s">
        <v>50</v>
      </c>
      <c r="AZ852" t="s">
        <v>51</v>
      </c>
      <c r="BA852" t="s">
        <v>52</v>
      </c>
    </row>
    <row r="853" spans="1:77" x14ac:dyDescent="0.2">
      <c r="A853" t="s">
        <v>3312</v>
      </c>
      <c r="B853" t="s">
        <v>3319</v>
      </c>
      <c r="C853" t="s">
        <v>3320</v>
      </c>
      <c r="D853" t="s">
        <v>129</v>
      </c>
      <c r="E853" t="s">
        <v>3321</v>
      </c>
      <c r="F853" t="s">
        <v>180</v>
      </c>
      <c r="G853" t="str">
        <f>HYPERLINK("https://vk.com/wall-42402221_236087")</f>
        <v>https://vk.com/wall-42402221_236087</v>
      </c>
      <c r="H853" t="s">
        <v>119</v>
      </c>
      <c r="I853" t="s">
        <v>1264</v>
      </c>
      <c r="J853" t="str">
        <f>HYPERLINK("http://vk.com/club42402221")</f>
        <v>http://vk.com/club42402221</v>
      </c>
      <c r="K853">
        <v>546</v>
      </c>
      <c r="L853" t="s">
        <v>340</v>
      </c>
      <c r="N853" t="s">
        <v>122</v>
      </c>
      <c r="O853" t="s">
        <v>1264</v>
      </c>
      <c r="P853" t="str">
        <f>HYPERLINK("http://vk.com/club42402221")</f>
        <v>http://vk.com/club42402221</v>
      </c>
      <c r="Q853">
        <v>546</v>
      </c>
      <c r="R853" t="s">
        <v>124</v>
      </c>
      <c r="W853">
        <v>0</v>
      </c>
      <c r="X853">
        <v>0</v>
      </c>
      <c r="AE853">
        <v>0</v>
      </c>
      <c r="AF853">
        <v>0</v>
      </c>
      <c r="AG853">
        <v>5</v>
      </c>
      <c r="AM853" t="s">
        <v>129</v>
      </c>
      <c r="AN853" t="s">
        <v>130</v>
      </c>
      <c r="AP853" t="s">
        <v>41</v>
      </c>
      <c r="AU853" t="s">
        <v>46</v>
      </c>
      <c r="AZ853" t="s">
        <v>51</v>
      </c>
      <c r="BA853" t="s">
        <v>52</v>
      </c>
      <c r="BO853" t="s">
        <v>66</v>
      </c>
    </row>
    <row r="854" spans="1:77" x14ac:dyDescent="0.2">
      <c r="A854" t="s">
        <v>3312</v>
      </c>
      <c r="B854" t="s">
        <v>761</v>
      </c>
      <c r="C854" t="s">
        <v>3322</v>
      </c>
      <c r="D854" t="s">
        <v>2871</v>
      </c>
      <c r="E854" t="s">
        <v>3323</v>
      </c>
      <c r="F854" t="s">
        <v>118</v>
      </c>
      <c r="G854" t="str">
        <f>HYPERLINK("https://vk.com/wall-186674927_12384?reply=12424&amp;thread=12422")</f>
        <v>https://vk.com/wall-186674927_12384?reply=12424&amp;thread=12422</v>
      </c>
      <c r="H854" t="s">
        <v>119</v>
      </c>
      <c r="I854" t="s">
        <v>3125</v>
      </c>
      <c r="J854" t="str">
        <f>HYPERLINK("http://vk.com/id163176940")</f>
        <v>http://vk.com/id163176940</v>
      </c>
      <c r="K854">
        <v>20</v>
      </c>
      <c r="L854" t="s">
        <v>121</v>
      </c>
      <c r="N854" t="s">
        <v>122</v>
      </c>
      <c r="O854" t="s">
        <v>358</v>
      </c>
      <c r="P854" t="str">
        <f>HYPERLINK("http://vk.com/club186674927")</f>
        <v>http://vk.com/club186674927</v>
      </c>
      <c r="Q854">
        <v>706</v>
      </c>
      <c r="R854" t="s">
        <v>124</v>
      </c>
      <c r="S854" t="s">
        <v>125</v>
      </c>
      <c r="T854" t="s">
        <v>1103</v>
      </c>
      <c r="U854" t="s">
        <v>1104</v>
      </c>
      <c r="AM854" t="s">
        <v>129</v>
      </c>
      <c r="AN854" t="s">
        <v>130</v>
      </c>
      <c r="AP854" t="s">
        <v>41</v>
      </c>
      <c r="AZ854" t="s">
        <v>51</v>
      </c>
      <c r="BA854" t="s">
        <v>52</v>
      </c>
      <c r="BY854" t="s">
        <v>76</v>
      </c>
    </row>
    <row r="855" spans="1:77" x14ac:dyDescent="0.2">
      <c r="A855" t="s">
        <v>3312</v>
      </c>
      <c r="B855" t="s">
        <v>773</v>
      </c>
      <c r="C855" t="s">
        <v>3324</v>
      </c>
      <c r="D855" t="s">
        <v>1648</v>
      </c>
      <c r="E855" t="s">
        <v>3325</v>
      </c>
      <c r="F855" t="s">
        <v>180</v>
      </c>
      <c r="G855" t="str">
        <f>HYPERLINK("https://www.wildberries.ru/catalog/26550113/detail.aspx?targetUrl=ES#Comments")</f>
        <v>https://www.wildberries.ru/catalog/26550113/detail.aspx?targetUrl=ES#Comments</v>
      </c>
      <c r="H855" t="s">
        <v>181</v>
      </c>
      <c r="I855" t="s">
        <v>3326</v>
      </c>
      <c r="J855" t="str">
        <f>HYPERLINK("https://www.wildberries.ru/profile/w7TDssOkw7PCu8K3wrDCt8K3wrfCscK3")</f>
        <v>https://www.wildberries.ru/profile/w7TDssOkw7PCu8K3wrDCt8K3wrfCscK3</v>
      </c>
      <c r="L855" t="s">
        <v>151</v>
      </c>
      <c r="N855" t="s">
        <v>534</v>
      </c>
      <c r="O855" t="s">
        <v>1648</v>
      </c>
      <c r="P855" t="str">
        <f>HYPERLINK("https://www.wildberries.ru/catalog/19471768/detail.aspx")</f>
        <v>https://www.wildberries.ru/catalog/19471768/detail.aspx</v>
      </c>
      <c r="R855" t="s">
        <v>184</v>
      </c>
      <c r="S855" t="s">
        <v>125</v>
      </c>
      <c r="W855">
        <v>0</v>
      </c>
      <c r="X855">
        <v>0</v>
      </c>
      <c r="AH855">
        <v>5</v>
      </c>
      <c r="AM855" t="s">
        <v>129</v>
      </c>
      <c r="AN855" t="s">
        <v>130</v>
      </c>
      <c r="AP855" t="s">
        <v>41</v>
      </c>
      <c r="AT855" t="s">
        <v>45</v>
      </c>
      <c r="AZ855" t="s">
        <v>51</v>
      </c>
      <c r="BA855" t="s">
        <v>52</v>
      </c>
    </row>
    <row r="856" spans="1:77" x14ac:dyDescent="0.2">
      <c r="A856" t="s">
        <v>3312</v>
      </c>
      <c r="B856" t="s">
        <v>3327</v>
      </c>
      <c r="C856" t="s">
        <v>3328</v>
      </c>
      <c r="D856" t="s">
        <v>3329</v>
      </c>
      <c r="E856" t="s">
        <v>3330</v>
      </c>
      <c r="F856" t="s">
        <v>118</v>
      </c>
      <c r="G856" t="str">
        <f>HYPERLINK("https://telegram.me/tivimate_ru/126204")</f>
        <v>https://telegram.me/tivimate_ru/126204</v>
      </c>
      <c r="H856" t="s">
        <v>119</v>
      </c>
      <c r="I856" t="s">
        <v>3331</v>
      </c>
      <c r="J856" t="str">
        <f>HYPERLINK("https://telegram.me/kerbala1")</f>
        <v>https://telegram.me/kerbala1</v>
      </c>
      <c r="N856" t="s">
        <v>143</v>
      </c>
      <c r="O856" t="s">
        <v>3332</v>
      </c>
      <c r="P856" t="str">
        <f>HYPERLINK("https://telegram.me/tivimate_ru")</f>
        <v>https://telegram.me/tivimate_ru</v>
      </c>
      <c r="Q856">
        <v>2458</v>
      </c>
      <c r="R856" t="s">
        <v>145</v>
      </c>
      <c r="AM856" t="s">
        <v>129</v>
      </c>
      <c r="AN856" t="s">
        <v>130</v>
      </c>
      <c r="AP856" t="s">
        <v>41</v>
      </c>
      <c r="AZ856" t="s">
        <v>51</v>
      </c>
      <c r="BA856" t="s">
        <v>52</v>
      </c>
      <c r="BQ856" t="s">
        <v>68</v>
      </c>
    </row>
    <row r="857" spans="1:77" x14ac:dyDescent="0.2">
      <c r="A857" t="s">
        <v>3312</v>
      </c>
      <c r="B857" t="s">
        <v>787</v>
      </c>
      <c r="C857" t="s">
        <v>3333</v>
      </c>
      <c r="D857" t="s">
        <v>1807</v>
      </c>
      <c r="E857" t="s">
        <v>3334</v>
      </c>
      <c r="F857" t="s">
        <v>180</v>
      </c>
      <c r="G857" t="str">
        <f>HYPERLINK("https://4pda.to/forum/index.php?showtopic=208085&amp;st=110280#entry108213931")</f>
        <v>https://4pda.to/forum/index.php?showtopic=208085&amp;st=110280#entry108213931</v>
      </c>
      <c r="H857" t="s">
        <v>119</v>
      </c>
      <c r="I857" t="s">
        <v>3335</v>
      </c>
      <c r="J857" t="str">
        <f>HYPERLINK("https://4pda.to/forum/index.php?showuser=1791989")</f>
        <v>https://4pda.to/forum/index.php?showuser=1791989</v>
      </c>
      <c r="N857" t="s">
        <v>293</v>
      </c>
      <c r="O857" t="s">
        <v>1526</v>
      </c>
      <c r="P857" t="str">
        <f>HYPERLINK("https://4pda.to/forum/index.php?showforum=98")</f>
        <v>https://4pda.to/forum/index.php?showforum=98</v>
      </c>
      <c r="R857" t="s">
        <v>295</v>
      </c>
      <c r="S857" t="s">
        <v>125</v>
      </c>
      <c r="AM857" t="s">
        <v>129</v>
      </c>
      <c r="AN857" t="s">
        <v>130</v>
      </c>
      <c r="AP857" t="s">
        <v>41</v>
      </c>
      <c r="AT857" t="s">
        <v>45</v>
      </c>
      <c r="AZ857" t="s">
        <v>51</v>
      </c>
      <c r="BA857" t="s">
        <v>52</v>
      </c>
    </row>
    <row r="858" spans="1:77" x14ac:dyDescent="0.2">
      <c r="A858" t="s">
        <v>3312</v>
      </c>
      <c r="B858" t="s">
        <v>2311</v>
      </c>
      <c r="C858" t="s">
        <v>3336</v>
      </c>
      <c r="D858" t="s">
        <v>3337</v>
      </c>
      <c r="E858" t="s">
        <v>3338</v>
      </c>
      <c r="F858" t="s">
        <v>180</v>
      </c>
      <c r="G858" t="str">
        <f>HYPERLINK("https://www.ozon.ru/context/detail/id/224475259/#62031901")</f>
        <v>https://www.ozon.ru/context/detail/id/224475259/#62031901</v>
      </c>
      <c r="H858" t="s">
        <v>181</v>
      </c>
      <c r="I858" t="s">
        <v>512</v>
      </c>
      <c r="J858" t="str">
        <f>HYPERLINK("https://www.ozon.ru/context/client_opinion/ClientGuid//")</f>
        <v>https://www.ozon.ru/context/client_opinion/ClientGuid//</v>
      </c>
      <c r="N858" t="s">
        <v>183</v>
      </c>
      <c r="O858" t="s">
        <v>3337</v>
      </c>
      <c r="P858" t="str">
        <f>HYPERLINK("https://www.ozon.ru/context/detail/id/224475259/")</f>
        <v>https://www.ozon.ru/context/detail/id/224475259/</v>
      </c>
      <c r="R858" t="s">
        <v>184</v>
      </c>
      <c r="S858" t="s">
        <v>125</v>
      </c>
      <c r="W858">
        <v>0</v>
      </c>
      <c r="X858">
        <v>0</v>
      </c>
      <c r="AH858">
        <v>5</v>
      </c>
      <c r="AM858" t="s">
        <v>129</v>
      </c>
      <c r="AN858" t="s">
        <v>130</v>
      </c>
      <c r="AP858" t="s">
        <v>41</v>
      </c>
      <c r="AT858" t="s">
        <v>45</v>
      </c>
      <c r="AW858" t="s">
        <v>48</v>
      </c>
      <c r="AZ858" t="s">
        <v>51</v>
      </c>
      <c r="BA858" t="s">
        <v>52</v>
      </c>
      <c r="BK858" t="s">
        <v>62</v>
      </c>
      <c r="BL858" t="s">
        <v>63</v>
      </c>
    </row>
    <row r="859" spans="1:77" x14ac:dyDescent="0.2">
      <c r="A859" t="s">
        <v>3312</v>
      </c>
      <c r="B859" t="s">
        <v>806</v>
      </c>
      <c r="C859" t="s">
        <v>3339</v>
      </c>
      <c r="D859" t="s">
        <v>129</v>
      </c>
      <c r="E859" t="s">
        <v>3340</v>
      </c>
      <c r="F859" t="s">
        <v>118</v>
      </c>
      <c r="G859" t="str">
        <f>HYPERLINK("https://telegram.me/murka996murka/223682")</f>
        <v>https://telegram.me/murka996murka/223682</v>
      </c>
      <c r="H859" t="s">
        <v>119</v>
      </c>
      <c r="I859" t="s">
        <v>3341</v>
      </c>
      <c r="J859" t="str">
        <f>HYPERLINK("https://telegram.me/gladiator5791")</f>
        <v>https://telegram.me/gladiator5791</v>
      </c>
      <c r="N859" t="s">
        <v>143</v>
      </c>
      <c r="O859" t="s">
        <v>3342</v>
      </c>
      <c r="P859" t="str">
        <f>HYPERLINK("https://telegram.me/murka996murka")</f>
        <v>https://telegram.me/murka996murka</v>
      </c>
      <c r="Q859">
        <v>72</v>
      </c>
      <c r="R859" t="s">
        <v>145</v>
      </c>
      <c r="AM859" t="s">
        <v>129</v>
      </c>
      <c r="AN859" t="s">
        <v>130</v>
      </c>
      <c r="AP859" t="s">
        <v>41</v>
      </c>
      <c r="AT859" t="s">
        <v>45</v>
      </c>
      <c r="AZ859" t="s">
        <v>51</v>
      </c>
      <c r="BA859" t="s">
        <v>52</v>
      </c>
      <c r="BM859" t="s">
        <v>64</v>
      </c>
    </row>
    <row r="860" spans="1:77" x14ac:dyDescent="0.2">
      <c r="A860" t="s">
        <v>3312</v>
      </c>
      <c r="B860" t="s">
        <v>2361</v>
      </c>
      <c r="C860" t="s">
        <v>3343</v>
      </c>
      <c r="D860" t="s">
        <v>204</v>
      </c>
      <c r="E860" t="s">
        <v>3344</v>
      </c>
      <c r="F860" t="s">
        <v>180</v>
      </c>
      <c r="G860" t="str">
        <f>HYPERLINK("https://play.google.com/store/apps/details?id=ru.iflex.android.a3colortv&amp;reviewId=gp:AOqpTOFKcB487Qoyd6yUpLvjSpX8qFhtpBldAz4H0rUJzit1tgEPy3GAWewJkOsn6AOJxFcIdUL4w7fdmtYPaQ")</f>
        <v>https://play.google.com/store/apps/details?id=ru.iflex.android.a3colortv&amp;reviewId=gp:AOqpTOFKcB487Qoyd6yUpLvjSpX8qFhtpBldAz4H0rUJzit1tgEPy3GAWewJkOsn6AOJxFcIdUL4w7fdmtYPaQ</v>
      </c>
      <c r="H860" t="s">
        <v>228</v>
      </c>
      <c r="I860" t="s">
        <v>3345</v>
      </c>
      <c r="J860" t="str">
        <f>HYPERLINK("https://plus.google.com/113762978967973723892")</f>
        <v>https://plus.google.com/113762978967973723892</v>
      </c>
      <c r="K860">
        <v>0</v>
      </c>
      <c r="L860" t="s">
        <v>121</v>
      </c>
      <c r="N860" t="s">
        <v>207</v>
      </c>
      <c r="O860" t="s">
        <v>204</v>
      </c>
      <c r="P860" t="str">
        <f>HYPERLINK("https://play.google.com/store/apps/details?id=ru.iflex.android.a3colortv&amp;hl=ru")</f>
        <v>https://play.google.com/store/apps/details?id=ru.iflex.android.a3colortv&amp;hl=ru</v>
      </c>
      <c r="R860" t="s">
        <v>184</v>
      </c>
      <c r="S860" t="s">
        <v>125</v>
      </c>
      <c r="W860">
        <v>0</v>
      </c>
      <c r="X860">
        <v>0</v>
      </c>
      <c r="AH860">
        <v>1</v>
      </c>
      <c r="AM860" t="s">
        <v>129</v>
      </c>
      <c r="AN860" t="s">
        <v>130</v>
      </c>
      <c r="AP860" t="s">
        <v>41</v>
      </c>
      <c r="AZ860" t="s">
        <v>51</v>
      </c>
      <c r="BA860" t="s">
        <v>52</v>
      </c>
      <c r="BQ860" t="s">
        <v>68</v>
      </c>
    </row>
    <row r="861" spans="1:77" x14ac:dyDescent="0.2">
      <c r="A861" t="s">
        <v>3312</v>
      </c>
      <c r="B861" t="s">
        <v>3346</v>
      </c>
      <c r="C861" t="s">
        <v>3347</v>
      </c>
      <c r="D861" t="s">
        <v>3348</v>
      </c>
      <c r="E861" t="s">
        <v>3349</v>
      </c>
      <c r="F861" t="s">
        <v>118</v>
      </c>
      <c r="G861" t="str">
        <f>HYPERLINK("https://vk.com/wall-115294018_20709?reply=20713&amp;thread=20711")</f>
        <v>https://vk.com/wall-115294018_20709?reply=20713&amp;thread=20711</v>
      </c>
      <c r="H861" t="s">
        <v>181</v>
      </c>
      <c r="I861" t="s">
        <v>3350</v>
      </c>
      <c r="J861" t="str">
        <f>HYPERLINK("http://vk.com/id5702337")</f>
        <v>http://vk.com/id5702337</v>
      </c>
      <c r="K861">
        <v>191</v>
      </c>
      <c r="L861" t="s">
        <v>121</v>
      </c>
      <c r="M861">
        <v>58</v>
      </c>
      <c r="N861" t="s">
        <v>122</v>
      </c>
      <c r="O861" t="s">
        <v>3351</v>
      </c>
      <c r="P861" t="str">
        <f>HYPERLINK("http://vk.com/club115294018")</f>
        <v>http://vk.com/club115294018</v>
      </c>
      <c r="Q861">
        <v>19637</v>
      </c>
      <c r="R861" t="s">
        <v>124</v>
      </c>
      <c r="S861" t="s">
        <v>125</v>
      </c>
      <c r="T861" t="s">
        <v>169</v>
      </c>
      <c r="U861" t="s">
        <v>169</v>
      </c>
      <c r="AM861" t="s">
        <v>129</v>
      </c>
      <c r="AN861" t="s">
        <v>130</v>
      </c>
      <c r="AP861" t="s">
        <v>41</v>
      </c>
      <c r="AU861" t="s">
        <v>46</v>
      </c>
      <c r="AZ861" t="s">
        <v>51</v>
      </c>
      <c r="BA861" t="s">
        <v>52</v>
      </c>
    </row>
    <row r="862" spans="1:77" x14ac:dyDescent="0.2">
      <c r="A862" t="s">
        <v>3312</v>
      </c>
      <c r="B862" t="s">
        <v>3352</v>
      </c>
      <c r="C862" t="s">
        <v>3353</v>
      </c>
      <c r="D862" t="s">
        <v>3354</v>
      </c>
      <c r="E862" t="s">
        <v>3355</v>
      </c>
      <c r="F862" t="s">
        <v>118</v>
      </c>
      <c r="G862" t="str">
        <f>HYPERLINK("https://telegram.me/ukraina_chatt/305847")</f>
        <v>https://telegram.me/ukraina_chatt/305847</v>
      </c>
      <c r="H862" t="s">
        <v>119</v>
      </c>
      <c r="I862" t="s">
        <v>3356</v>
      </c>
      <c r="J862" t="str">
        <f>HYPERLINK("https://telegram.me/1374108434")</f>
        <v>https://telegram.me/1374108434</v>
      </c>
      <c r="L862" t="s">
        <v>121</v>
      </c>
      <c r="N862" t="s">
        <v>143</v>
      </c>
      <c r="O862" t="s">
        <v>3357</v>
      </c>
      <c r="P862" t="str">
        <f>HYPERLINK("https://telegram.me/ukraina_chatt")</f>
        <v>https://telegram.me/ukraina_chatt</v>
      </c>
      <c r="Q862">
        <v>2632</v>
      </c>
      <c r="R862" t="s">
        <v>145</v>
      </c>
      <c r="AM862" t="s">
        <v>129</v>
      </c>
      <c r="AN862" t="s">
        <v>130</v>
      </c>
      <c r="AP862" t="s">
        <v>41</v>
      </c>
      <c r="AT862" t="s">
        <v>45</v>
      </c>
      <c r="AZ862" t="s">
        <v>51</v>
      </c>
      <c r="BA862" t="s">
        <v>52</v>
      </c>
    </row>
    <row r="863" spans="1:77" x14ac:dyDescent="0.2">
      <c r="A863" t="s">
        <v>3312</v>
      </c>
      <c r="B863" t="s">
        <v>1930</v>
      </c>
      <c r="C863" t="s">
        <v>3358</v>
      </c>
      <c r="D863" t="s">
        <v>3348</v>
      </c>
      <c r="E863" t="s">
        <v>3359</v>
      </c>
      <c r="F863" t="s">
        <v>118</v>
      </c>
      <c r="G863" t="str">
        <f>HYPERLINK("https://vk.com/wall-115294018_20709?reply=20712&amp;thread=20711")</f>
        <v>https://vk.com/wall-115294018_20709?reply=20712&amp;thread=20711</v>
      </c>
      <c r="H863" t="s">
        <v>181</v>
      </c>
      <c r="I863" t="s">
        <v>3360</v>
      </c>
      <c r="J863" t="str">
        <f>HYPERLINK("http://vk.com/id26605748")</f>
        <v>http://vk.com/id26605748</v>
      </c>
      <c r="K863">
        <v>758</v>
      </c>
      <c r="L863" t="s">
        <v>121</v>
      </c>
      <c r="N863" t="s">
        <v>122</v>
      </c>
      <c r="O863" t="s">
        <v>3351</v>
      </c>
      <c r="P863" t="str">
        <f>HYPERLINK("http://vk.com/club115294018")</f>
        <v>http://vk.com/club115294018</v>
      </c>
      <c r="Q863">
        <v>19637</v>
      </c>
      <c r="R863" t="s">
        <v>124</v>
      </c>
      <c r="S863" t="s">
        <v>125</v>
      </c>
      <c r="T863" t="s">
        <v>153</v>
      </c>
      <c r="U863" t="s">
        <v>3361</v>
      </c>
      <c r="AM863" t="s">
        <v>129</v>
      </c>
      <c r="AN863" t="s">
        <v>130</v>
      </c>
      <c r="AP863" t="s">
        <v>41</v>
      </c>
      <c r="AU863" t="s">
        <v>46</v>
      </c>
      <c r="AZ863" t="s">
        <v>51</v>
      </c>
      <c r="BA863" t="s">
        <v>52</v>
      </c>
    </row>
    <row r="864" spans="1:77" x14ac:dyDescent="0.2">
      <c r="A864" t="s">
        <v>3312</v>
      </c>
      <c r="B864" t="s">
        <v>3362</v>
      </c>
      <c r="C864" t="s">
        <v>3363</v>
      </c>
      <c r="D864" t="s">
        <v>3364</v>
      </c>
      <c r="E864" t="s">
        <v>3365</v>
      </c>
      <c r="F864" t="s">
        <v>180</v>
      </c>
      <c r="G864" t="str">
        <f>HYPERLINK("https://www.ozon.ru/context/detail/id/198886999/#62009359")</f>
        <v>https://www.ozon.ru/context/detail/id/198886999/#62009359</v>
      </c>
      <c r="H864" t="s">
        <v>181</v>
      </c>
      <c r="I864" t="s">
        <v>3366</v>
      </c>
      <c r="J864" t="str">
        <f>HYPERLINK("https://www.ozon.ru/context/client_opinion/ClientGuid/0c69677f-0fd3-4fb5-a1cb-65a7ef7e186c/")</f>
        <v>https://www.ozon.ru/context/client_opinion/ClientGuid/0c69677f-0fd3-4fb5-a1cb-65a7ef7e186c/</v>
      </c>
      <c r="L864" t="s">
        <v>151</v>
      </c>
      <c r="N864" t="s">
        <v>183</v>
      </c>
      <c r="O864" t="s">
        <v>3364</v>
      </c>
      <c r="P864" t="str">
        <f>HYPERLINK("https://www.ozon.ru/context/detail/id/198886999/")</f>
        <v>https://www.ozon.ru/context/detail/id/198886999/</v>
      </c>
      <c r="R864" t="s">
        <v>184</v>
      </c>
      <c r="S864" t="s">
        <v>125</v>
      </c>
      <c r="W864">
        <v>0</v>
      </c>
      <c r="X864">
        <v>0</v>
      </c>
      <c r="AH864">
        <v>5</v>
      </c>
      <c r="AJ864" t="s">
        <v>3367</v>
      </c>
      <c r="AK864" t="s">
        <v>129</v>
      </c>
      <c r="AL864" t="str">
        <f>HYPERLINK("https://cdn1.ozone.ru/s3/rp-photo-3/5a94ef56-6266-4304-942a-01c1773cc022.jpeg")</f>
        <v>https://cdn1.ozone.ru/s3/rp-photo-3/5a94ef56-6266-4304-942a-01c1773cc022.jpeg</v>
      </c>
      <c r="AM864" t="s">
        <v>129</v>
      </c>
      <c r="AN864" t="s">
        <v>130</v>
      </c>
      <c r="AP864" t="s">
        <v>41</v>
      </c>
      <c r="AT864" t="s">
        <v>45</v>
      </c>
      <c r="AZ864" t="s">
        <v>51</v>
      </c>
      <c r="BA864" t="s">
        <v>52</v>
      </c>
      <c r="BL864" t="s">
        <v>63</v>
      </c>
    </row>
    <row r="865" spans="1:77" x14ac:dyDescent="0.2">
      <c r="A865" t="s">
        <v>3312</v>
      </c>
      <c r="B865" t="s">
        <v>1353</v>
      </c>
      <c r="C865" t="s">
        <v>3368</v>
      </c>
      <c r="D865" t="s">
        <v>2110</v>
      </c>
      <c r="E865" t="s">
        <v>3369</v>
      </c>
      <c r="F865" t="s">
        <v>118</v>
      </c>
      <c r="G865" t="str">
        <f>HYPERLINK("https://vk.com/topic-14098618_34670460?post=2004")</f>
        <v>https://vk.com/topic-14098618_34670460?post=2004</v>
      </c>
      <c r="H865" t="s">
        <v>119</v>
      </c>
      <c r="I865" t="s">
        <v>3370</v>
      </c>
      <c r="J865" t="str">
        <f>HYPERLINK("http://vk.com/id555300455")</f>
        <v>http://vk.com/id555300455</v>
      </c>
      <c r="K865">
        <v>165</v>
      </c>
      <c r="L865" t="s">
        <v>151</v>
      </c>
      <c r="M865">
        <v>47</v>
      </c>
      <c r="N865" t="s">
        <v>122</v>
      </c>
      <c r="O865" t="s">
        <v>1663</v>
      </c>
      <c r="P865" t="str">
        <f>HYPERLINK("http://vk.com/club14098618")</f>
        <v>http://vk.com/club14098618</v>
      </c>
      <c r="Q865">
        <v>4681</v>
      </c>
      <c r="R865" t="s">
        <v>124</v>
      </c>
      <c r="AM865" t="s">
        <v>129</v>
      </c>
      <c r="AN865" t="s">
        <v>130</v>
      </c>
      <c r="AP865" t="s">
        <v>41</v>
      </c>
      <c r="AY865" t="s">
        <v>50</v>
      </c>
      <c r="AZ865" t="s">
        <v>51</v>
      </c>
      <c r="BA865" t="s">
        <v>52</v>
      </c>
      <c r="BE865" t="s">
        <v>56</v>
      </c>
    </row>
    <row r="866" spans="1:77" x14ac:dyDescent="0.2">
      <c r="A866" t="s">
        <v>3312</v>
      </c>
      <c r="B866" t="s">
        <v>3371</v>
      </c>
      <c r="C866" t="s">
        <v>3372</v>
      </c>
      <c r="D866" t="s">
        <v>3373</v>
      </c>
      <c r="E866" t="s">
        <v>3374</v>
      </c>
      <c r="F866" t="s">
        <v>118</v>
      </c>
      <c r="G866" t="str">
        <f>HYPERLINK("https://vk.com/wall-15330_83150?reply=83499")</f>
        <v>https://vk.com/wall-15330_83150?reply=83499</v>
      </c>
      <c r="H866" t="s">
        <v>181</v>
      </c>
      <c r="I866" t="s">
        <v>3375</v>
      </c>
      <c r="J866" t="str">
        <f>HYPERLINK("http://vk.com/id597302165")</f>
        <v>http://vk.com/id597302165</v>
      </c>
      <c r="K866">
        <v>0</v>
      </c>
      <c r="L866" t="s">
        <v>121</v>
      </c>
      <c r="N866" t="s">
        <v>122</v>
      </c>
      <c r="O866" t="s">
        <v>3376</v>
      </c>
      <c r="P866" t="str">
        <f>HYPERLINK("http://vk.com/club15330")</f>
        <v>http://vk.com/club15330</v>
      </c>
      <c r="Q866">
        <v>8707</v>
      </c>
      <c r="R866" t="s">
        <v>124</v>
      </c>
      <c r="S866" t="s">
        <v>125</v>
      </c>
      <c r="T866" t="s">
        <v>137</v>
      </c>
      <c r="U866" t="s">
        <v>137</v>
      </c>
      <c r="AM866" t="s">
        <v>129</v>
      </c>
      <c r="AN866" t="s">
        <v>130</v>
      </c>
      <c r="AP866" t="s">
        <v>41</v>
      </c>
      <c r="AU866" t="s">
        <v>46</v>
      </c>
      <c r="AY866" t="s">
        <v>50</v>
      </c>
      <c r="AZ866" t="s">
        <v>51</v>
      </c>
      <c r="BA866" t="s">
        <v>52</v>
      </c>
    </row>
    <row r="867" spans="1:77" x14ac:dyDescent="0.2">
      <c r="A867" t="s">
        <v>3312</v>
      </c>
      <c r="B867" t="s">
        <v>258</v>
      </c>
      <c r="C867" t="s">
        <v>3377</v>
      </c>
      <c r="D867" t="s">
        <v>2871</v>
      </c>
      <c r="E867" t="s">
        <v>3378</v>
      </c>
      <c r="F867" t="s">
        <v>118</v>
      </c>
      <c r="G867" t="str">
        <f>HYPERLINK("https://vk.com/wall-186674927_12384?reply=12422")</f>
        <v>https://vk.com/wall-186674927_12384?reply=12422</v>
      </c>
      <c r="H867" t="s">
        <v>119</v>
      </c>
      <c r="I867" t="s">
        <v>254</v>
      </c>
      <c r="J867" t="str">
        <f>HYPERLINK("http://vk.com/id286061518")</f>
        <v>http://vk.com/id286061518</v>
      </c>
      <c r="K867">
        <v>5170</v>
      </c>
      <c r="L867" t="s">
        <v>121</v>
      </c>
      <c r="M867">
        <v>34</v>
      </c>
      <c r="N867" t="s">
        <v>122</v>
      </c>
      <c r="O867" t="s">
        <v>358</v>
      </c>
      <c r="P867" t="str">
        <f>HYPERLINK("http://vk.com/club186674927")</f>
        <v>http://vk.com/club186674927</v>
      </c>
      <c r="Q867">
        <v>706</v>
      </c>
      <c r="R867" t="s">
        <v>124</v>
      </c>
      <c r="S867" t="s">
        <v>125</v>
      </c>
      <c r="T867" t="s">
        <v>256</v>
      </c>
      <c r="U867" t="s">
        <v>257</v>
      </c>
      <c r="AM867" t="s">
        <v>129</v>
      </c>
      <c r="AN867" t="s">
        <v>130</v>
      </c>
      <c r="AP867" t="s">
        <v>41</v>
      </c>
      <c r="AZ867" t="s">
        <v>51</v>
      </c>
      <c r="BD867" t="s">
        <v>55</v>
      </c>
      <c r="BY867" t="s">
        <v>76</v>
      </c>
    </row>
    <row r="868" spans="1:77" x14ac:dyDescent="0.2">
      <c r="A868" t="s">
        <v>3312</v>
      </c>
      <c r="B868" t="s">
        <v>1381</v>
      </c>
      <c r="C868" t="s">
        <v>3379</v>
      </c>
      <c r="D868" t="s">
        <v>2871</v>
      </c>
      <c r="E868" t="s">
        <v>3380</v>
      </c>
      <c r="F868" t="s">
        <v>118</v>
      </c>
      <c r="G868" t="str">
        <f>HYPERLINK("https://vk.com/wall-186674927_12384?reply=12421")</f>
        <v>https://vk.com/wall-186674927_12384?reply=12421</v>
      </c>
      <c r="H868" t="s">
        <v>119</v>
      </c>
      <c r="I868" t="s">
        <v>254</v>
      </c>
      <c r="J868" t="str">
        <f>HYPERLINK("http://vk.com/id286061518")</f>
        <v>http://vk.com/id286061518</v>
      </c>
      <c r="K868">
        <v>5170</v>
      </c>
      <c r="L868" t="s">
        <v>121</v>
      </c>
      <c r="M868">
        <v>34</v>
      </c>
      <c r="N868" t="s">
        <v>122</v>
      </c>
      <c r="O868" t="s">
        <v>358</v>
      </c>
      <c r="P868" t="str">
        <f>HYPERLINK("http://vk.com/club186674927")</f>
        <v>http://vk.com/club186674927</v>
      </c>
      <c r="Q868">
        <v>706</v>
      </c>
      <c r="R868" t="s">
        <v>124</v>
      </c>
      <c r="S868" t="s">
        <v>125</v>
      </c>
      <c r="T868" t="s">
        <v>256</v>
      </c>
      <c r="U868" t="s">
        <v>257</v>
      </c>
      <c r="AM868" t="s">
        <v>129</v>
      </c>
      <c r="AN868" t="s">
        <v>130</v>
      </c>
      <c r="AP868" t="s">
        <v>41</v>
      </c>
      <c r="AZ868" t="s">
        <v>51</v>
      </c>
      <c r="BD868" t="s">
        <v>55</v>
      </c>
      <c r="BY868" t="s">
        <v>76</v>
      </c>
    </row>
    <row r="869" spans="1:77" x14ac:dyDescent="0.2">
      <c r="A869" t="s">
        <v>3312</v>
      </c>
      <c r="B869" t="s">
        <v>275</v>
      </c>
      <c r="C869" t="s">
        <v>3381</v>
      </c>
      <c r="D869" t="s">
        <v>3382</v>
      </c>
      <c r="E869" t="s">
        <v>3383</v>
      </c>
      <c r="F869" t="s">
        <v>118</v>
      </c>
      <c r="G869" t="str">
        <f>HYPERLINK("https://vk.com/wall-27863223_292143?w=wall-27863223_292143_r292146")</f>
        <v>https://vk.com/wall-27863223_292143?w=wall-27863223_292143_r292146</v>
      </c>
      <c r="H869" t="s">
        <v>119</v>
      </c>
      <c r="I869" t="s">
        <v>3384</v>
      </c>
      <c r="J869" t="str">
        <f>HYPERLINK("http://vk.com/id351679219")</f>
        <v>http://vk.com/id351679219</v>
      </c>
      <c r="L869" t="s">
        <v>121</v>
      </c>
      <c r="M869">
        <v>71</v>
      </c>
      <c r="N869" t="s">
        <v>122</v>
      </c>
      <c r="O869" t="s">
        <v>175</v>
      </c>
      <c r="P869" t="str">
        <f>HYPERLINK("http://vk.com/club27863223")</f>
        <v>http://vk.com/club27863223</v>
      </c>
      <c r="Q869">
        <v>134698</v>
      </c>
      <c r="R869" t="s">
        <v>124</v>
      </c>
      <c r="W869">
        <v>0</v>
      </c>
      <c r="X869">
        <v>0</v>
      </c>
      <c r="AM869" t="s">
        <v>129</v>
      </c>
      <c r="AN869" t="s">
        <v>130</v>
      </c>
      <c r="AP869" t="s">
        <v>41</v>
      </c>
      <c r="AU869" t="s">
        <v>46</v>
      </c>
      <c r="AZ869" t="s">
        <v>51</v>
      </c>
      <c r="BA869" t="s">
        <v>52</v>
      </c>
    </row>
    <row r="870" spans="1:77" x14ac:dyDescent="0.2">
      <c r="A870" t="s">
        <v>3312</v>
      </c>
      <c r="B870" t="s">
        <v>1943</v>
      </c>
      <c r="C870" t="s">
        <v>3385</v>
      </c>
      <c r="D870" t="s">
        <v>3382</v>
      </c>
      <c r="E870" t="s">
        <v>3386</v>
      </c>
      <c r="F870" t="s">
        <v>118</v>
      </c>
      <c r="G870" t="str">
        <f>HYPERLINK("https://vk.com/wall-27863223_292143?reply=292144")</f>
        <v>https://vk.com/wall-27863223_292143?reply=292144</v>
      </c>
      <c r="H870" t="s">
        <v>119</v>
      </c>
      <c r="I870" t="s">
        <v>3384</v>
      </c>
      <c r="J870" t="str">
        <f>HYPERLINK("http://vk.com/id351679219")</f>
        <v>http://vk.com/id351679219</v>
      </c>
      <c r="L870" t="s">
        <v>121</v>
      </c>
      <c r="M870">
        <v>71</v>
      </c>
      <c r="N870" t="s">
        <v>122</v>
      </c>
      <c r="O870" t="s">
        <v>175</v>
      </c>
      <c r="P870" t="str">
        <f>HYPERLINK("http://vk.com/club27863223")</f>
        <v>http://vk.com/club27863223</v>
      </c>
      <c r="Q870">
        <v>134698</v>
      </c>
      <c r="R870" t="s">
        <v>124</v>
      </c>
      <c r="W870">
        <v>0</v>
      </c>
      <c r="X870">
        <v>0</v>
      </c>
      <c r="AM870" t="s">
        <v>129</v>
      </c>
      <c r="AN870" t="s">
        <v>130</v>
      </c>
      <c r="AP870" t="s">
        <v>41</v>
      </c>
      <c r="AU870" t="s">
        <v>46</v>
      </c>
      <c r="AZ870" t="s">
        <v>51</v>
      </c>
      <c r="BA870" t="s">
        <v>52</v>
      </c>
    </row>
    <row r="871" spans="1:77" x14ac:dyDescent="0.2">
      <c r="A871" t="s">
        <v>3312</v>
      </c>
      <c r="B871" t="s">
        <v>858</v>
      </c>
      <c r="C871" t="s">
        <v>3387</v>
      </c>
      <c r="D871" t="s">
        <v>3388</v>
      </c>
      <c r="E871" t="s">
        <v>3389</v>
      </c>
      <c r="F871" t="s">
        <v>180</v>
      </c>
      <c r="G871" t="str">
        <f>HYPERLINK("https://www.wildberries.ru/catalog/25365834/detail.aspx?targetUrl=ES#Comments")</f>
        <v>https://www.wildberries.ru/catalog/25365834/detail.aspx?targetUrl=ES#Comments</v>
      </c>
      <c r="H871" t="s">
        <v>181</v>
      </c>
      <c r="I871" t="s">
        <v>1650</v>
      </c>
      <c r="J871" t="str">
        <f>HYPERLINK("https://www.wildberries.ru/profile/w7TDssOkw7PCu8KwwrbCtcKzwrbCtcK5wrc=")</f>
        <v>https://www.wildberries.ru/profile/w7TDssOkw7PCu8KwwrbCtcKzwrbCtcK5wrc=</v>
      </c>
      <c r="L871" t="s">
        <v>151</v>
      </c>
      <c r="N871" t="s">
        <v>534</v>
      </c>
      <c r="O871" t="s">
        <v>3388</v>
      </c>
      <c r="P871" t="str">
        <f>HYPERLINK("https://www.wildberries.ru/catalog/18682734/detail.aspx")</f>
        <v>https://www.wildberries.ru/catalog/18682734/detail.aspx</v>
      </c>
      <c r="R871" t="s">
        <v>184</v>
      </c>
      <c r="S871" t="s">
        <v>125</v>
      </c>
      <c r="W871">
        <v>0</v>
      </c>
      <c r="X871">
        <v>0</v>
      </c>
      <c r="AH871">
        <v>5</v>
      </c>
      <c r="AM871" t="s">
        <v>129</v>
      </c>
      <c r="AN871" t="s">
        <v>130</v>
      </c>
      <c r="AP871" t="s">
        <v>41</v>
      </c>
      <c r="AT871" t="s">
        <v>45</v>
      </c>
      <c r="AZ871" t="s">
        <v>51</v>
      </c>
      <c r="BA871" t="s">
        <v>52</v>
      </c>
      <c r="BL871" t="s">
        <v>63</v>
      </c>
      <c r="BM871" t="s">
        <v>64</v>
      </c>
    </row>
    <row r="872" spans="1:77" x14ac:dyDescent="0.2">
      <c r="A872" t="s">
        <v>3312</v>
      </c>
      <c r="B872" t="s">
        <v>3390</v>
      </c>
      <c r="C872" t="s">
        <v>3278</v>
      </c>
      <c r="D872" t="s">
        <v>3391</v>
      </c>
      <c r="E872" t="s">
        <v>3392</v>
      </c>
      <c r="F872" t="s">
        <v>180</v>
      </c>
      <c r="G872" t="str">
        <f>HYPERLINK("https://www.wildberries.ru/catalog/14072152/detail.aspx?targetUrl=ES#Comments")</f>
        <v>https://www.wildberries.ru/catalog/14072152/detail.aspx?targetUrl=ES#Comments</v>
      </c>
      <c r="H872" t="s">
        <v>228</v>
      </c>
      <c r="I872" t="s">
        <v>3393</v>
      </c>
      <c r="J872" t="str">
        <f>HYPERLINK("https://www.wildberries.ru/profile/w7TDssOkw7PCu8K1wrLCscKzwrLCssK4wrU=")</f>
        <v>https://www.wildberries.ru/profile/w7TDssOkw7PCu8K1wrLCscKzwrLCssK4wrU=</v>
      </c>
      <c r="L872" t="s">
        <v>121</v>
      </c>
      <c r="N872" t="s">
        <v>534</v>
      </c>
      <c r="O872" t="s">
        <v>3391</v>
      </c>
      <c r="P872" t="str">
        <f>HYPERLINK("https://www.wildberries.ru/catalog/10526045/detail.aspx")</f>
        <v>https://www.wildberries.ru/catalog/10526045/detail.aspx</v>
      </c>
      <c r="R872" t="s">
        <v>184</v>
      </c>
      <c r="S872" t="s">
        <v>125</v>
      </c>
      <c r="W872">
        <v>0</v>
      </c>
      <c r="X872">
        <v>0</v>
      </c>
      <c r="AH872">
        <v>1</v>
      </c>
      <c r="AM872" t="s">
        <v>129</v>
      </c>
      <c r="AN872" t="s">
        <v>130</v>
      </c>
      <c r="AP872" t="s">
        <v>41</v>
      </c>
      <c r="AZ872" t="s">
        <v>51</v>
      </c>
      <c r="BA872" t="s">
        <v>52</v>
      </c>
      <c r="BK872" t="s">
        <v>62</v>
      </c>
    </row>
    <row r="873" spans="1:77" x14ac:dyDescent="0.2">
      <c r="A873" t="s">
        <v>3312</v>
      </c>
      <c r="B873" t="s">
        <v>3394</v>
      </c>
      <c r="C873" t="s">
        <v>3395</v>
      </c>
      <c r="D873" t="s">
        <v>3396</v>
      </c>
      <c r="E873" t="s">
        <v>3397</v>
      </c>
      <c r="F873" t="s">
        <v>180</v>
      </c>
      <c r="G873" t="str">
        <f>HYPERLINK("https://www.ozon.ru/context/detail/id/252675635/#61987477")</f>
        <v>https://www.ozon.ru/context/detail/id/252675635/#61987477</v>
      </c>
      <c r="H873" t="s">
        <v>181</v>
      </c>
      <c r="I873" t="s">
        <v>3398</v>
      </c>
      <c r="J873" t="str">
        <f>HYPERLINK("https://www.ozon.ru/context/client_opinion/ClientGuid/d045afa3-a34a-40b9-af8f-8e89aeeec2ff/")</f>
        <v>https://www.ozon.ru/context/client_opinion/ClientGuid/d045afa3-a34a-40b9-af8f-8e89aeeec2ff/</v>
      </c>
      <c r="L873" t="s">
        <v>121</v>
      </c>
      <c r="N873" t="s">
        <v>183</v>
      </c>
      <c r="O873" t="s">
        <v>3396</v>
      </c>
      <c r="P873" t="str">
        <f>HYPERLINK("https://www.ozon.ru/context/detail/id/252675635/")</f>
        <v>https://www.ozon.ru/context/detail/id/252675635/</v>
      </c>
      <c r="R873" t="s">
        <v>184</v>
      </c>
      <c r="S873" t="s">
        <v>125</v>
      </c>
      <c r="W873">
        <v>0</v>
      </c>
      <c r="X873">
        <v>0</v>
      </c>
      <c r="AH873">
        <v>5</v>
      </c>
      <c r="AM873" t="s">
        <v>129</v>
      </c>
      <c r="AN873" t="s">
        <v>130</v>
      </c>
      <c r="AP873" t="s">
        <v>41</v>
      </c>
      <c r="AT873" t="s">
        <v>45</v>
      </c>
      <c r="AZ873" t="s">
        <v>51</v>
      </c>
      <c r="BA873" t="s">
        <v>52</v>
      </c>
      <c r="BK873" t="s">
        <v>62</v>
      </c>
      <c r="BL873" t="s">
        <v>63</v>
      </c>
    </row>
    <row r="874" spans="1:77" x14ac:dyDescent="0.2">
      <c r="A874" t="s">
        <v>3312</v>
      </c>
      <c r="B874" t="s">
        <v>1980</v>
      </c>
      <c r="C874" t="s">
        <v>3399</v>
      </c>
      <c r="D874" t="s">
        <v>2110</v>
      </c>
      <c r="E874" t="s">
        <v>3400</v>
      </c>
      <c r="F874" t="s">
        <v>118</v>
      </c>
      <c r="G874" t="str">
        <f>HYPERLINK("https://vk.com/topic-14098618_34670460?post=2003")</f>
        <v>https://vk.com/topic-14098618_34670460?post=2003</v>
      </c>
      <c r="H874" t="s">
        <v>119</v>
      </c>
      <c r="I874" t="s">
        <v>3401</v>
      </c>
      <c r="J874" t="str">
        <f>HYPERLINK("http://vk.com/id64565280")</f>
        <v>http://vk.com/id64565280</v>
      </c>
      <c r="K874">
        <v>429</v>
      </c>
      <c r="L874" t="s">
        <v>151</v>
      </c>
      <c r="M874">
        <v>38</v>
      </c>
      <c r="N874" t="s">
        <v>122</v>
      </c>
      <c r="O874" t="s">
        <v>1663</v>
      </c>
      <c r="P874" t="str">
        <f>HYPERLINK("http://vk.com/club14098618")</f>
        <v>http://vk.com/club14098618</v>
      </c>
      <c r="Q874">
        <v>4681</v>
      </c>
      <c r="R874" t="s">
        <v>124</v>
      </c>
      <c r="S874" t="s">
        <v>125</v>
      </c>
      <c r="T874" t="s">
        <v>2166</v>
      </c>
      <c r="U874" t="s">
        <v>3402</v>
      </c>
      <c r="AM874" t="s">
        <v>129</v>
      </c>
      <c r="AN874" t="s">
        <v>130</v>
      </c>
      <c r="AP874" t="s">
        <v>41</v>
      </c>
      <c r="AU874" t="s">
        <v>46</v>
      </c>
      <c r="AY874" t="s">
        <v>50</v>
      </c>
      <c r="AZ874" t="s">
        <v>51</v>
      </c>
      <c r="BA874" t="s">
        <v>52</v>
      </c>
    </row>
    <row r="875" spans="1:77" x14ac:dyDescent="0.2">
      <c r="A875" t="s">
        <v>3312</v>
      </c>
      <c r="B875" t="s">
        <v>316</v>
      </c>
      <c r="C875" t="s">
        <v>3403</v>
      </c>
      <c r="D875" t="s">
        <v>2001</v>
      </c>
      <c r="E875" t="s">
        <v>3404</v>
      </c>
      <c r="F875" t="s">
        <v>118</v>
      </c>
      <c r="G875" t="str">
        <f>HYPERLINK("https://ok.ru/group/51085510115462/topic/153461283857798#MTYyNzIyNjU2NjE3NDotMTA2OTU6MTYyNzIyNjU2NjE3NDoxNTM0NjEyODM4NTc3OTg6MQ==")</f>
        <v>https://ok.ru/group/51085510115462/topic/153461283857798#MTYyNzIyNjU2NjE3NDotMTA2OTU6MTYyNzIyNjU2NjE3NDoxNTM0NjEyODM4NTc3OTg6MQ==</v>
      </c>
      <c r="H875" t="s">
        <v>119</v>
      </c>
      <c r="I875" t="s">
        <v>175</v>
      </c>
      <c r="J875" t="str">
        <f>HYPERLINK("https://ok.ru/group/51085510115462")</f>
        <v>https://ok.ru/group/51085510115462</v>
      </c>
      <c r="K875">
        <v>94768</v>
      </c>
      <c r="L875" t="s">
        <v>340</v>
      </c>
      <c r="N875" t="s">
        <v>347</v>
      </c>
      <c r="O875" t="s">
        <v>175</v>
      </c>
      <c r="P875" t="str">
        <f>HYPERLINK("https://ok.ru/group/51085510115462")</f>
        <v>https://ok.ru/group/51085510115462</v>
      </c>
      <c r="Q875">
        <v>94768</v>
      </c>
      <c r="R875" t="s">
        <v>124</v>
      </c>
      <c r="W875">
        <v>0</v>
      </c>
      <c r="X875">
        <v>0</v>
      </c>
      <c r="AM875" t="s">
        <v>129</v>
      </c>
      <c r="AN875" t="s">
        <v>130</v>
      </c>
      <c r="BI875" t="s">
        <v>60</v>
      </c>
    </row>
    <row r="876" spans="1:77" x14ac:dyDescent="0.2">
      <c r="A876" t="s">
        <v>3312</v>
      </c>
      <c r="B876" t="s">
        <v>322</v>
      </c>
      <c r="C876" t="s">
        <v>3405</v>
      </c>
      <c r="D876" t="s">
        <v>3406</v>
      </c>
      <c r="E876" t="s">
        <v>3354</v>
      </c>
      <c r="F876" t="s">
        <v>118</v>
      </c>
      <c r="G876" t="str">
        <f>HYPERLINK("https://telegram.me/ukraina_chatt/305757")</f>
        <v>https://telegram.me/ukraina_chatt/305757</v>
      </c>
      <c r="H876" t="s">
        <v>119</v>
      </c>
      <c r="I876" t="s">
        <v>3407</v>
      </c>
      <c r="J876" t="str">
        <f>HYPERLINK("https://telegram.me/487369268")</f>
        <v>https://telegram.me/487369268</v>
      </c>
      <c r="L876" t="s">
        <v>121</v>
      </c>
      <c r="N876" t="s">
        <v>143</v>
      </c>
      <c r="O876" t="s">
        <v>3357</v>
      </c>
      <c r="P876" t="str">
        <f>HYPERLINK("https://telegram.me/ukraina_chatt")</f>
        <v>https://telegram.me/ukraina_chatt</v>
      </c>
      <c r="Q876">
        <v>2632</v>
      </c>
      <c r="R876" t="s">
        <v>145</v>
      </c>
      <c r="AM876" t="s">
        <v>129</v>
      </c>
      <c r="AN876" t="s">
        <v>130</v>
      </c>
      <c r="AP876" t="s">
        <v>41</v>
      </c>
      <c r="AU876" t="s">
        <v>46</v>
      </c>
      <c r="AZ876" t="s">
        <v>51</v>
      </c>
      <c r="BA876" t="s">
        <v>52</v>
      </c>
    </row>
    <row r="877" spans="1:77" x14ac:dyDescent="0.2">
      <c r="A877" t="s">
        <v>3312</v>
      </c>
      <c r="B877" t="s">
        <v>2993</v>
      </c>
      <c r="C877" t="s">
        <v>3408</v>
      </c>
      <c r="D877" t="s">
        <v>3409</v>
      </c>
      <c r="E877" t="s">
        <v>3410</v>
      </c>
      <c r="F877" t="s">
        <v>118</v>
      </c>
      <c r="G877" t="str">
        <f>HYPERLINK("https://vk.com/topic-64387052_29821384?post=4911")</f>
        <v>https://vk.com/topic-64387052_29821384?post=4911</v>
      </c>
      <c r="H877" t="s">
        <v>119</v>
      </c>
      <c r="I877" t="s">
        <v>3411</v>
      </c>
      <c r="J877" t="str">
        <f>HYPERLINK("http://vk.com/id7603145")</f>
        <v>http://vk.com/id7603145</v>
      </c>
      <c r="K877">
        <v>442</v>
      </c>
      <c r="L877" t="s">
        <v>121</v>
      </c>
      <c r="N877" t="s">
        <v>122</v>
      </c>
      <c r="O877" t="s">
        <v>3412</v>
      </c>
      <c r="P877" t="str">
        <f>HYPERLINK("http://vk.com/club64387052")</f>
        <v>http://vk.com/club64387052</v>
      </c>
      <c r="Q877">
        <v>120930</v>
      </c>
      <c r="R877" t="s">
        <v>124</v>
      </c>
      <c r="S877" t="s">
        <v>125</v>
      </c>
      <c r="T877" t="s">
        <v>1229</v>
      </c>
      <c r="U877" t="s">
        <v>3413</v>
      </c>
      <c r="AM877" t="s">
        <v>129</v>
      </c>
      <c r="AN877" t="s">
        <v>130</v>
      </c>
      <c r="AP877" t="s">
        <v>41</v>
      </c>
      <c r="AZ877" t="s">
        <v>51</v>
      </c>
      <c r="BL877" t="s">
        <v>63</v>
      </c>
      <c r="BM877" t="s">
        <v>64</v>
      </c>
    </row>
    <row r="878" spans="1:77" x14ac:dyDescent="0.2">
      <c r="A878" t="s">
        <v>3312</v>
      </c>
      <c r="B878" t="s">
        <v>906</v>
      </c>
      <c r="C878" t="s">
        <v>3414</v>
      </c>
      <c r="D878" t="s">
        <v>3415</v>
      </c>
      <c r="E878" t="s">
        <v>3416</v>
      </c>
      <c r="F878" t="s">
        <v>118</v>
      </c>
      <c r="G878" t="str">
        <f>HYPERLINK("https://vk.com/wall-39596867_631092?reply=631260")</f>
        <v>https://vk.com/wall-39596867_631092?reply=631260</v>
      </c>
      <c r="H878" t="s">
        <v>119</v>
      </c>
      <c r="I878" t="s">
        <v>3417</v>
      </c>
      <c r="J878" t="str">
        <f>HYPERLINK("http://vk.com/id11526804")</f>
        <v>http://vk.com/id11526804</v>
      </c>
      <c r="K878">
        <v>612</v>
      </c>
      <c r="L878" t="s">
        <v>151</v>
      </c>
      <c r="M878">
        <v>31</v>
      </c>
      <c r="N878" t="s">
        <v>122</v>
      </c>
      <c r="O878" t="s">
        <v>3418</v>
      </c>
      <c r="P878" t="str">
        <f>HYPERLINK("http://vk.com/club39596867")</f>
        <v>http://vk.com/club39596867</v>
      </c>
      <c r="Q878">
        <v>32738</v>
      </c>
      <c r="R878" t="s">
        <v>124</v>
      </c>
      <c r="AM878" t="s">
        <v>129</v>
      </c>
      <c r="AN878" t="s">
        <v>130</v>
      </c>
      <c r="AP878" t="s">
        <v>41</v>
      </c>
      <c r="AT878" t="s">
        <v>45</v>
      </c>
      <c r="AZ878" t="s">
        <v>51</v>
      </c>
      <c r="BA878" t="s">
        <v>52</v>
      </c>
    </row>
    <row r="879" spans="1:77" x14ac:dyDescent="0.2">
      <c r="A879" t="s">
        <v>3312</v>
      </c>
      <c r="B879" t="s">
        <v>3419</v>
      </c>
      <c r="C879" t="s">
        <v>3420</v>
      </c>
      <c r="D879" t="s">
        <v>2972</v>
      </c>
      <c r="E879" t="s">
        <v>3421</v>
      </c>
      <c r="F879" t="s">
        <v>118</v>
      </c>
      <c r="G879" t="str">
        <f>HYPERLINK("https://vk.com/wall-33184676_526660?reply=528057")</f>
        <v>https://vk.com/wall-33184676_526660?reply=528057</v>
      </c>
      <c r="H879" t="s">
        <v>228</v>
      </c>
      <c r="I879" t="s">
        <v>2974</v>
      </c>
      <c r="J879" t="str">
        <f>HYPERLINK("http://vk.com/id224481980")</f>
        <v>http://vk.com/id224481980</v>
      </c>
      <c r="K879">
        <v>378</v>
      </c>
      <c r="L879" t="s">
        <v>151</v>
      </c>
      <c r="M879">
        <v>35</v>
      </c>
      <c r="N879" t="s">
        <v>122</v>
      </c>
      <c r="O879" t="s">
        <v>2975</v>
      </c>
      <c r="P879" t="str">
        <f>HYPERLINK("http://vk.com/club33184676")</f>
        <v>http://vk.com/club33184676</v>
      </c>
      <c r="Q879">
        <v>18951</v>
      </c>
      <c r="R879" t="s">
        <v>124</v>
      </c>
      <c r="S879" t="s">
        <v>125</v>
      </c>
      <c r="T879" t="s">
        <v>494</v>
      </c>
      <c r="U879" t="s">
        <v>2976</v>
      </c>
      <c r="AM879" t="s">
        <v>129</v>
      </c>
      <c r="AN879" t="s">
        <v>130</v>
      </c>
      <c r="AP879" t="s">
        <v>41</v>
      </c>
      <c r="AY879" t="s">
        <v>50</v>
      </c>
      <c r="AZ879" t="s">
        <v>51</v>
      </c>
      <c r="BB879" t="s">
        <v>53</v>
      </c>
    </row>
    <row r="880" spans="1:77" x14ac:dyDescent="0.2">
      <c r="A880" t="s">
        <v>3312</v>
      </c>
      <c r="B880" t="s">
        <v>3031</v>
      </c>
      <c r="C880" t="s">
        <v>3422</v>
      </c>
      <c r="D880" t="s">
        <v>2871</v>
      </c>
      <c r="E880" t="s">
        <v>3423</v>
      </c>
      <c r="F880" t="s">
        <v>118</v>
      </c>
      <c r="G880" t="str">
        <f>HYPERLINK("https://vk.com/wall-186674927_12384?reply=12417&amp;thread=12406")</f>
        <v>https://vk.com/wall-186674927_12384?reply=12417&amp;thread=12406</v>
      </c>
      <c r="H880" t="s">
        <v>119</v>
      </c>
      <c r="I880" t="s">
        <v>2527</v>
      </c>
      <c r="J880" t="str">
        <f>HYPERLINK("http://vk.com/id382015409")</f>
        <v>http://vk.com/id382015409</v>
      </c>
      <c r="K880">
        <v>862</v>
      </c>
      <c r="L880" t="s">
        <v>121</v>
      </c>
      <c r="N880" t="s">
        <v>122</v>
      </c>
      <c r="O880" t="s">
        <v>358</v>
      </c>
      <c r="P880" t="str">
        <f>HYPERLINK("http://vk.com/club186674927")</f>
        <v>http://vk.com/club186674927</v>
      </c>
      <c r="Q880">
        <v>706</v>
      </c>
      <c r="R880" t="s">
        <v>124</v>
      </c>
      <c r="S880" t="s">
        <v>125</v>
      </c>
      <c r="AM880" t="s">
        <v>129</v>
      </c>
      <c r="AN880" t="s">
        <v>130</v>
      </c>
      <c r="AP880" t="s">
        <v>41</v>
      </c>
      <c r="AU880" t="s">
        <v>46</v>
      </c>
      <c r="AZ880" t="s">
        <v>51</v>
      </c>
      <c r="BA880" t="s">
        <v>52</v>
      </c>
    </row>
    <row r="881" spans="1:72" x14ac:dyDescent="0.2">
      <c r="A881" t="s">
        <v>3312</v>
      </c>
      <c r="B881" t="s">
        <v>411</v>
      </c>
      <c r="C881" t="s">
        <v>3424</v>
      </c>
      <c r="D881" t="s">
        <v>1326</v>
      </c>
      <c r="E881" t="s">
        <v>3425</v>
      </c>
      <c r="F881" t="s">
        <v>118</v>
      </c>
      <c r="G881" t="str">
        <f>HYPERLINK("https://vk.com/topic-124657642_39299589?post=4880")</f>
        <v>https://vk.com/topic-124657642_39299589?post=4880</v>
      </c>
      <c r="H881" t="s">
        <v>119</v>
      </c>
      <c r="I881" t="s">
        <v>3426</v>
      </c>
      <c r="J881" t="str">
        <f>HYPERLINK("http://vk.com/id274681327")</f>
        <v>http://vk.com/id274681327</v>
      </c>
      <c r="K881">
        <v>36</v>
      </c>
      <c r="L881" t="s">
        <v>121</v>
      </c>
      <c r="N881" t="s">
        <v>122</v>
      </c>
      <c r="O881" t="s">
        <v>427</v>
      </c>
      <c r="P881" t="str">
        <f>HYPERLINK("http://vk.com/club124657642")</f>
        <v>http://vk.com/club124657642</v>
      </c>
      <c r="Q881">
        <v>15373</v>
      </c>
      <c r="R881" t="s">
        <v>124</v>
      </c>
      <c r="S881" t="s">
        <v>125</v>
      </c>
      <c r="T881" t="s">
        <v>3427</v>
      </c>
      <c r="U881" t="s">
        <v>3428</v>
      </c>
      <c r="AM881" t="s">
        <v>129</v>
      </c>
      <c r="AN881" t="s">
        <v>130</v>
      </c>
      <c r="AP881" t="s">
        <v>41</v>
      </c>
      <c r="BA881" t="s">
        <v>52</v>
      </c>
      <c r="BE881" t="s">
        <v>56</v>
      </c>
      <c r="BT881" t="s">
        <v>71</v>
      </c>
    </row>
    <row r="882" spans="1:72" x14ac:dyDescent="0.2">
      <c r="A882" t="s">
        <v>3312</v>
      </c>
      <c r="B882" t="s">
        <v>1508</v>
      </c>
      <c r="C882" t="s">
        <v>3429</v>
      </c>
      <c r="D882" t="s">
        <v>3430</v>
      </c>
      <c r="E882" t="s">
        <v>3431</v>
      </c>
      <c r="F882" t="s">
        <v>118</v>
      </c>
      <c r="G882" t="str">
        <f>HYPERLINK("https://vk.com/wall-95593062_378584?reply=378773")</f>
        <v>https://vk.com/wall-95593062_378584?reply=378773</v>
      </c>
      <c r="H882" t="s">
        <v>181</v>
      </c>
      <c r="I882" t="s">
        <v>3432</v>
      </c>
      <c r="J882" t="str">
        <f>HYPERLINK("http://vk.com/id505585850")</f>
        <v>http://vk.com/id505585850</v>
      </c>
      <c r="K882">
        <v>2475</v>
      </c>
      <c r="L882" t="s">
        <v>121</v>
      </c>
      <c r="M882">
        <v>29</v>
      </c>
      <c r="N882" t="s">
        <v>122</v>
      </c>
      <c r="O882" t="s">
        <v>3433</v>
      </c>
      <c r="P882" t="str">
        <f>HYPERLINK("http://vk.com/club95593062")</f>
        <v>http://vk.com/club95593062</v>
      </c>
      <c r="Q882">
        <v>25441</v>
      </c>
      <c r="R882" t="s">
        <v>124</v>
      </c>
      <c r="S882" t="s">
        <v>125</v>
      </c>
      <c r="T882" t="s">
        <v>2225</v>
      </c>
      <c r="U882" t="s">
        <v>3434</v>
      </c>
      <c r="AM882" t="s">
        <v>129</v>
      </c>
      <c r="AN882" t="s">
        <v>130</v>
      </c>
      <c r="AP882" t="s">
        <v>41</v>
      </c>
      <c r="AZ882" t="s">
        <v>51</v>
      </c>
      <c r="BA882" t="s">
        <v>52</v>
      </c>
    </row>
    <row r="883" spans="1:72" x14ac:dyDescent="0.2">
      <c r="A883" t="s">
        <v>3312</v>
      </c>
      <c r="B883" t="s">
        <v>965</v>
      </c>
      <c r="C883" t="s">
        <v>3435</v>
      </c>
      <c r="D883" t="s">
        <v>129</v>
      </c>
      <c r="E883" t="s">
        <v>3436</v>
      </c>
      <c r="F883" t="s">
        <v>180</v>
      </c>
      <c r="G883" t="str">
        <f>HYPERLINK("https://telegram.me/VoxCommunity/175283")</f>
        <v>https://telegram.me/VoxCommunity/175283</v>
      </c>
      <c r="H883" t="s">
        <v>119</v>
      </c>
      <c r="I883" t="s">
        <v>3437</v>
      </c>
      <c r="J883" t="str">
        <f>HYPERLINK("https://telegram.me/ohlamoonxxi")</f>
        <v>https://telegram.me/ohlamoonxxi</v>
      </c>
      <c r="L883" t="s">
        <v>121</v>
      </c>
      <c r="N883" t="s">
        <v>143</v>
      </c>
      <c r="O883" t="s">
        <v>3438</v>
      </c>
      <c r="P883" t="str">
        <f>HYPERLINK("https://telegram.me/voxcommunity")</f>
        <v>https://telegram.me/voxcommunity</v>
      </c>
      <c r="Q883">
        <v>49</v>
      </c>
      <c r="R883" t="s">
        <v>145</v>
      </c>
      <c r="AM883" t="s">
        <v>129</v>
      </c>
      <c r="AN883" t="s">
        <v>130</v>
      </c>
      <c r="AP883" t="s">
        <v>41</v>
      </c>
      <c r="AU883" t="s">
        <v>46</v>
      </c>
      <c r="AZ883" t="s">
        <v>51</v>
      </c>
      <c r="BA883" t="s">
        <v>52</v>
      </c>
    </row>
    <row r="884" spans="1:72" x14ac:dyDescent="0.2">
      <c r="A884" t="s">
        <v>3312</v>
      </c>
      <c r="B884" t="s">
        <v>965</v>
      </c>
      <c r="C884" t="s">
        <v>3439</v>
      </c>
      <c r="D884" t="s">
        <v>2871</v>
      </c>
      <c r="E884" t="s">
        <v>3440</v>
      </c>
      <c r="F884" t="s">
        <v>118</v>
      </c>
      <c r="G884" t="str">
        <f>HYPERLINK("https://vk.com/wall-186674927_12384?reply=12416&amp;thread=12412")</f>
        <v>https://vk.com/wall-186674927_12384?reply=12416&amp;thread=12412</v>
      </c>
      <c r="H884" t="s">
        <v>119</v>
      </c>
      <c r="I884" t="s">
        <v>3441</v>
      </c>
      <c r="J884" t="str">
        <f>HYPERLINK("http://vk.com/id264253616")</f>
        <v>http://vk.com/id264253616</v>
      </c>
      <c r="K884">
        <v>1477</v>
      </c>
      <c r="L884" t="s">
        <v>121</v>
      </c>
      <c r="N884" t="s">
        <v>122</v>
      </c>
      <c r="O884" t="s">
        <v>358</v>
      </c>
      <c r="P884" t="str">
        <f>HYPERLINK("http://vk.com/club186674927")</f>
        <v>http://vk.com/club186674927</v>
      </c>
      <c r="Q884">
        <v>706</v>
      </c>
      <c r="R884" t="s">
        <v>124</v>
      </c>
      <c r="S884" t="s">
        <v>125</v>
      </c>
      <c r="T884" t="s">
        <v>1027</v>
      </c>
      <c r="U884" t="s">
        <v>3442</v>
      </c>
      <c r="AM884" t="s">
        <v>129</v>
      </c>
      <c r="AN884" t="s">
        <v>130</v>
      </c>
      <c r="AP884" t="s">
        <v>41</v>
      </c>
      <c r="AY884" t="s">
        <v>50</v>
      </c>
      <c r="AZ884" t="s">
        <v>51</v>
      </c>
      <c r="BA884" t="s">
        <v>52</v>
      </c>
    </row>
    <row r="885" spans="1:72" x14ac:dyDescent="0.2">
      <c r="A885" t="s">
        <v>3312</v>
      </c>
      <c r="B885" t="s">
        <v>2544</v>
      </c>
      <c r="C885" t="s">
        <v>3443</v>
      </c>
      <c r="D885" t="s">
        <v>2871</v>
      </c>
      <c r="E885" t="s">
        <v>3444</v>
      </c>
      <c r="F885" t="s">
        <v>118</v>
      </c>
      <c r="G885" t="str">
        <f>HYPERLINK("https://vk.com/wall-186674927_12384?reply=12415&amp;thread=12412")</f>
        <v>https://vk.com/wall-186674927_12384?reply=12415&amp;thread=12412</v>
      </c>
      <c r="H885" t="s">
        <v>119</v>
      </c>
      <c r="I885" t="s">
        <v>358</v>
      </c>
      <c r="J885" t="str">
        <f>HYPERLINK("http://vk.com/club186674927")</f>
        <v>http://vk.com/club186674927</v>
      </c>
      <c r="K885">
        <v>706</v>
      </c>
      <c r="L885" t="s">
        <v>340</v>
      </c>
      <c r="N885" t="s">
        <v>122</v>
      </c>
      <c r="O885" t="s">
        <v>358</v>
      </c>
      <c r="P885" t="str">
        <f>HYPERLINK("http://vk.com/club186674927")</f>
        <v>http://vk.com/club186674927</v>
      </c>
      <c r="Q885">
        <v>706</v>
      </c>
      <c r="R885" t="s">
        <v>124</v>
      </c>
      <c r="S885" t="s">
        <v>125</v>
      </c>
      <c r="T885" t="s">
        <v>169</v>
      </c>
      <c r="U885" t="s">
        <v>169</v>
      </c>
      <c r="AM885" t="s">
        <v>129</v>
      </c>
      <c r="AN885" t="s">
        <v>130</v>
      </c>
      <c r="AP885" t="s">
        <v>41</v>
      </c>
      <c r="AU885" t="s">
        <v>46</v>
      </c>
      <c r="AY885" t="s">
        <v>50</v>
      </c>
      <c r="AZ885" t="s">
        <v>51</v>
      </c>
      <c r="BA885" t="s">
        <v>52</v>
      </c>
    </row>
    <row r="886" spans="1:72" x14ac:dyDescent="0.2">
      <c r="A886" t="s">
        <v>3312</v>
      </c>
      <c r="B886" t="s">
        <v>3445</v>
      </c>
      <c r="C886" t="s">
        <v>3446</v>
      </c>
      <c r="D886" t="s">
        <v>3447</v>
      </c>
      <c r="E886" t="s">
        <v>3448</v>
      </c>
      <c r="F886" t="s">
        <v>118</v>
      </c>
      <c r="G886" t="str">
        <f>HYPERLINK("https://vk.com/topic-204351896_47515334?post=131")</f>
        <v>https://vk.com/topic-204351896_47515334?post=131</v>
      </c>
      <c r="H886" t="s">
        <v>119</v>
      </c>
      <c r="I886" t="s">
        <v>549</v>
      </c>
      <c r="J886" t="str">
        <f>HYPERLINK("http://vk.com/id9850745")</f>
        <v>http://vk.com/id9850745</v>
      </c>
      <c r="K886">
        <v>70</v>
      </c>
      <c r="L886" t="s">
        <v>121</v>
      </c>
      <c r="M886">
        <v>42</v>
      </c>
      <c r="N886" t="s">
        <v>122</v>
      </c>
      <c r="O886" t="s">
        <v>359</v>
      </c>
      <c r="P886" t="str">
        <f>HYPERLINK("http://vk.com/club204351896")</f>
        <v>http://vk.com/club204351896</v>
      </c>
      <c r="Q886">
        <v>272</v>
      </c>
      <c r="R886" t="s">
        <v>124</v>
      </c>
      <c r="S886" t="s">
        <v>125</v>
      </c>
      <c r="AM886" t="s">
        <v>129</v>
      </c>
      <c r="AN886" t="s">
        <v>130</v>
      </c>
      <c r="AP886" t="s">
        <v>41</v>
      </c>
      <c r="AU886" t="s">
        <v>46</v>
      </c>
      <c r="AZ886" t="s">
        <v>51</v>
      </c>
      <c r="BA886" t="s">
        <v>52</v>
      </c>
    </row>
    <row r="887" spans="1:72" x14ac:dyDescent="0.2">
      <c r="A887" t="s">
        <v>3312</v>
      </c>
      <c r="B887" t="s">
        <v>3449</v>
      </c>
      <c r="C887" t="s">
        <v>944</v>
      </c>
      <c r="D887" t="s">
        <v>3450</v>
      </c>
      <c r="E887" t="s">
        <v>3451</v>
      </c>
      <c r="F887" t="s">
        <v>180</v>
      </c>
      <c r="G887" t="str">
        <f>HYPERLINK("https://www.ozon.ru/context/detail/id/239056289/#61952948")</f>
        <v>https://www.ozon.ru/context/detail/id/239056289/#61952948</v>
      </c>
      <c r="H887" t="s">
        <v>119</v>
      </c>
      <c r="I887" t="s">
        <v>3452</v>
      </c>
      <c r="J887" t="str">
        <f>HYPERLINK("https://www.ozon.ru/context/client_opinion/ClientGuid/277243f4-96f3-4809-840e-8940e5e7d999/")</f>
        <v>https://www.ozon.ru/context/client_opinion/ClientGuid/277243f4-96f3-4809-840e-8940e5e7d999/</v>
      </c>
      <c r="L887" t="s">
        <v>121</v>
      </c>
      <c r="N887" t="s">
        <v>183</v>
      </c>
      <c r="O887" t="s">
        <v>3453</v>
      </c>
      <c r="P887" t="str">
        <f>HYPERLINK("https://www.ozon.ru/context/detail/id/239056289/")</f>
        <v>https://www.ozon.ru/context/detail/id/239056289/</v>
      </c>
      <c r="R887" t="s">
        <v>184</v>
      </c>
      <c r="S887" t="s">
        <v>125</v>
      </c>
      <c r="W887">
        <v>0</v>
      </c>
      <c r="X887">
        <v>0</v>
      </c>
      <c r="AH887">
        <v>1</v>
      </c>
      <c r="AM887" t="s">
        <v>129</v>
      </c>
      <c r="AN887" t="s">
        <v>130</v>
      </c>
      <c r="AP887" t="s">
        <v>41</v>
      </c>
      <c r="AZ887" t="s">
        <v>51</v>
      </c>
      <c r="BA887" t="s">
        <v>52</v>
      </c>
      <c r="BL887" t="s">
        <v>63</v>
      </c>
    </row>
    <row r="888" spans="1:72" x14ac:dyDescent="0.2">
      <c r="A888" t="s">
        <v>3312</v>
      </c>
      <c r="B888" t="s">
        <v>2028</v>
      </c>
      <c r="C888" t="s">
        <v>3454</v>
      </c>
      <c r="D888" t="s">
        <v>3455</v>
      </c>
      <c r="E888" t="s">
        <v>3456</v>
      </c>
      <c r="F888" t="s">
        <v>180</v>
      </c>
      <c r="G888" t="str">
        <f>HYPERLINK("https://www.ozon.ru/context/detail/id/223364630/#61952440")</f>
        <v>https://www.ozon.ru/context/detail/id/223364630/#61952440</v>
      </c>
      <c r="H888" t="s">
        <v>181</v>
      </c>
      <c r="I888" t="s">
        <v>512</v>
      </c>
      <c r="J888" t="str">
        <f>HYPERLINK("https://www.ozon.ru/context/client_opinion/ClientGuid//")</f>
        <v>https://www.ozon.ru/context/client_opinion/ClientGuid//</v>
      </c>
      <c r="N888" t="s">
        <v>183</v>
      </c>
      <c r="O888" t="s">
        <v>3455</v>
      </c>
      <c r="P888" t="str">
        <f>HYPERLINK("https://www.ozon.ru/context/detail/id/223364630/")</f>
        <v>https://www.ozon.ru/context/detail/id/223364630/</v>
      </c>
      <c r="R888" t="s">
        <v>184</v>
      </c>
      <c r="S888" t="s">
        <v>125</v>
      </c>
      <c r="W888">
        <v>0</v>
      </c>
      <c r="X888">
        <v>0</v>
      </c>
      <c r="AH888">
        <v>5</v>
      </c>
      <c r="AM888" t="s">
        <v>129</v>
      </c>
      <c r="AN888" t="s">
        <v>130</v>
      </c>
      <c r="AP888" t="s">
        <v>41</v>
      </c>
      <c r="AT888" t="s">
        <v>45</v>
      </c>
      <c r="AW888" t="s">
        <v>48</v>
      </c>
      <c r="AZ888" t="s">
        <v>51</v>
      </c>
      <c r="BA888" t="s">
        <v>52</v>
      </c>
      <c r="BM888" t="s">
        <v>64</v>
      </c>
    </row>
    <row r="889" spans="1:72" x14ac:dyDescent="0.2">
      <c r="A889" t="s">
        <v>3312</v>
      </c>
      <c r="B889" t="s">
        <v>969</v>
      </c>
      <c r="C889" t="s">
        <v>3457</v>
      </c>
      <c r="D889" t="s">
        <v>3458</v>
      </c>
      <c r="E889" t="s">
        <v>3459</v>
      </c>
      <c r="F889" t="s">
        <v>180</v>
      </c>
      <c r="G889" t="str">
        <f>HYPERLINK("https://www.wildberries.ru/catalog/28996089/detail.aspx?targetUrl=ES#Comments")</f>
        <v>https://www.wildberries.ru/catalog/28996089/detail.aspx?targetUrl=ES#Comments</v>
      </c>
      <c r="H889" t="s">
        <v>119</v>
      </c>
      <c r="I889" t="s">
        <v>3460</v>
      </c>
      <c r="J889" t="str">
        <f>HYPERLINK("https://www.wildberries.ru/profile/w7TDssOkw7PCu8KywrjCucK4wrDCsMK2wrI=")</f>
        <v>https://www.wildberries.ru/profile/w7TDssOkw7PCu8KywrjCucK4wrDCsMK2wrI=</v>
      </c>
      <c r="L889" t="s">
        <v>121</v>
      </c>
      <c r="N889" t="s">
        <v>534</v>
      </c>
      <c r="O889" t="s">
        <v>3458</v>
      </c>
      <c r="P889" t="str">
        <f>HYPERLINK("https://www.wildberries.ru/catalog/21344150/detail.aspx")</f>
        <v>https://www.wildberries.ru/catalog/21344150/detail.aspx</v>
      </c>
      <c r="R889" t="s">
        <v>184</v>
      </c>
      <c r="S889" t="s">
        <v>125</v>
      </c>
      <c r="W889">
        <v>0</v>
      </c>
      <c r="X889">
        <v>0</v>
      </c>
      <c r="AH889">
        <v>1</v>
      </c>
      <c r="AM889" t="s">
        <v>129</v>
      </c>
      <c r="AN889" t="s">
        <v>130</v>
      </c>
      <c r="AP889" t="s">
        <v>41</v>
      </c>
      <c r="AT889" t="s">
        <v>45</v>
      </c>
      <c r="AZ889" t="s">
        <v>51</v>
      </c>
      <c r="BA889" t="s">
        <v>52</v>
      </c>
      <c r="BL889" t="s">
        <v>63</v>
      </c>
    </row>
    <row r="890" spans="1:72" x14ac:dyDescent="0.2">
      <c r="A890" t="s">
        <v>3312</v>
      </c>
      <c r="B890" t="s">
        <v>3461</v>
      </c>
      <c r="C890" t="s">
        <v>3462</v>
      </c>
      <c r="D890" t="s">
        <v>3463</v>
      </c>
      <c r="E890" t="s">
        <v>3464</v>
      </c>
      <c r="F890" t="s">
        <v>180</v>
      </c>
      <c r="G890" t="str">
        <f>HYPERLINK("https://www.wildberries.ru/catalog/18688949/detail.aspx?targetUrl=ES#Comments")</f>
        <v>https://www.wildberries.ru/catalog/18688949/detail.aspx?targetUrl=ES#Comments</v>
      </c>
      <c r="H890" t="s">
        <v>181</v>
      </c>
      <c r="I890" t="s">
        <v>3465</v>
      </c>
      <c r="J890" t="str">
        <f>HYPERLINK("https://www.wildberries.ru/profile/w7TDssOkw7PCu8KzwrTCuMK1wrHCtcK0wrI=")</f>
        <v>https://www.wildberries.ru/profile/w7TDssOkw7PCu8KzwrTCuMK1wrHCtcK0wrI=</v>
      </c>
      <c r="L890" t="s">
        <v>121</v>
      </c>
      <c r="N890" t="s">
        <v>534</v>
      </c>
      <c r="O890" t="s">
        <v>3463</v>
      </c>
      <c r="P890" t="str">
        <f>HYPERLINK("https://www.wildberries.ru/catalog/13890967/detail.aspx")</f>
        <v>https://www.wildberries.ru/catalog/13890967/detail.aspx</v>
      </c>
      <c r="R890" t="s">
        <v>184</v>
      </c>
      <c r="S890" t="s">
        <v>125</v>
      </c>
      <c r="W890">
        <v>0</v>
      </c>
      <c r="X890">
        <v>0</v>
      </c>
      <c r="AH890">
        <v>5</v>
      </c>
      <c r="AJ890" t="s">
        <v>129</v>
      </c>
      <c r="AK890" t="s">
        <v>129</v>
      </c>
      <c r="AL890" t="str">
        <f>HYPERLINK("http://feedbackphotos.wbstatic.net/feedbacks/1389/13890967/4f432d7d-31a4-4741-b2da-a720b2a16bd1_fs.jpg")</f>
        <v>http://feedbackphotos.wbstatic.net/feedbacks/1389/13890967/4f432d7d-31a4-4741-b2da-a720b2a16bd1_fs.jpg</v>
      </c>
      <c r="AM890" t="s">
        <v>129</v>
      </c>
      <c r="AN890" t="s">
        <v>130</v>
      </c>
      <c r="AP890" t="s">
        <v>41</v>
      </c>
      <c r="AT890" t="s">
        <v>45</v>
      </c>
      <c r="AZ890" t="s">
        <v>51</v>
      </c>
      <c r="BA890" t="s">
        <v>52</v>
      </c>
      <c r="BK890" t="s">
        <v>62</v>
      </c>
    </row>
    <row r="891" spans="1:72" x14ac:dyDescent="0.2">
      <c r="A891" t="s">
        <v>3312</v>
      </c>
      <c r="B891" t="s">
        <v>972</v>
      </c>
      <c r="C891" t="s">
        <v>3466</v>
      </c>
      <c r="D891" t="s">
        <v>2871</v>
      </c>
      <c r="E891" t="s">
        <v>3467</v>
      </c>
      <c r="F891" t="s">
        <v>118</v>
      </c>
      <c r="G891" t="str">
        <f>HYPERLINK("https://vk.com/wall-186674927_12384?reply=12411&amp;thread=12406")</f>
        <v>https://vk.com/wall-186674927_12384?reply=12411&amp;thread=12406</v>
      </c>
      <c r="H891" t="s">
        <v>119</v>
      </c>
      <c r="I891" t="s">
        <v>549</v>
      </c>
      <c r="J891" t="str">
        <f>HYPERLINK("http://vk.com/id9850745")</f>
        <v>http://vk.com/id9850745</v>
      </c>
      <c r="K891">
        <v>70</v>
      </c>
      <c r="L891" t="s">
        <v>121</v>
      </c>
      <c r="M891">
        <v>42</v>
      </c>
      <c r="N891" t="s">
        <v>122</v>
      </c>
      <c r="O891" t="s">
        <v>358</v>
      </c>
      <c r="P891" t="str">
        <f>HYPERLINK("http://vk.com/club186674927")</f>
        <v>http://vk.com/club186674927</v>
      </c>
      <c r="Q891">
        <v>706</v>
      </c>
      <c r="R891" t="s">
        <v>124</v>
      </c>
      <c r="S891" t="s">
        <v>125</v>
      </c>
      <c r="AM891" t="s">
        <v>129</v>
      </c>
      <c r="AN891" t="s">
        <v>130</v>
      </c>
      <c r="AP891" t="s">
        <v>41</v>
      </c>
      <c r="AU891" t="s">
        <v>46</v>
      </c>
      <c r="AZ891" t="s">
        <v>51</v>
      </c>
      <c r="BA891" t="s">
        <v>52</v>
      </c>
    </row>
    <row r="892" spans="1:72" x14ac:dyDescent="0.2">
      <c r="A892" t="s">
        <v>3312</v>
      </c>
      <c r="B892" t="s">
        <v>3468</v>
      </c>
      <c r="C892" t="s">
        <v>3469</v>
      </c>
      <c r="D892" t="s">
        <v>2052</v>
      </c>
      <c r="E892" t="s">
        <v>3470</v>
      </c>
      <c r="F892" t="s">
        <v>180</v>
      </c>
      <c r="G892" t="str">
        <f>HYPERLINK("https://www.wildberries.ru/catalog/17288086/detail.aspx?targetUrl=ES#Comments")</f>
        <v>https://www.wildberries.ru/catalog/17288086/detail.aspx?targetUrl=ES#Comments</v>
      </c>
      <c r="H892" t="s">
        <v>181</v>
      </c>
      <c r="I892" t="s">
        <v>2198</v>
      </c>
      <c r="J892" t="str">
        <f>HYPERLINK("https://www.wildberries.ru/profile/w7TDssOkw7PCu8K1wrbCssK4wrXCs8KwwrQ=")</f>
        <v>https://www.wildberries.ru/profile/w7TDssOkw7PCu8K1wrbCssK4wrXCs8KwwrQ=</v>
      </c>
      <c r="L892" t="s">
        <v>151</v>
      </c>
      <c r="N892" t="s">
        <v>534</v>
      </c>
      <c r="O892" t="s">
        <v>2052</v>
      </c>
      <c r="P892" t="str">
        <f>HYPERLINK("https://www.wildberries.ru/catalog/12874318/detail.aspx")</f>
        <v>https://www.wildberries.ru/catalog/12874318/detail.aspx</v>
      </c>
      <c r="R892" t="s">
        <v>184</v>
      </c>
      <c r="S892" t="s">
        <v>125</v>
      </c>
      <c r="W892">
        <v>0</v>
      </c>
      <c r="X892">
        <v>0</v>
      </c>
      <c r="AH892">
        <v>5</v>
      </c>
      <c r="AM892" t="s">
        <v>129</v>
      </c>
      <c r="AN892" t="s">
        <v>130</v>
      </c>
      <c r="AP892" t="s">
        <v>41</v>
      </c>
      <c r="AZ892" t="s">
        <v>51</v>
      </c>
      <c r="BA892" t="s">
        <v>52</v>
      </c>
      <c r="BK892" t="s">
        <v>62</v>
      </c>
      <c r="BL892" t="s">
        <v>63</v>
      </c>
    </row>
    <row r="893" spans="1:72" x14ac:dyDescent="0.2">
      <c r="A893" t="s">
        <v>3312</v>
      </c>
      <c r="B893" t="s">
        <v>3471</v>
      </c>
      <c r="C893" t="s">
        <v>3472</v>
      </c>
      <c r="D893" t="s">
        <v>204</v>
      </c>
      <c r="E893" t="s">
        <v>3473</v>
      </c>
      <c r="F893" t="s">
        <v>180</v>
      </c>
      <c r="G893" t="str">
        <f>HYPERLINK("https://play.google.com/store/apps/details?id=ru.iflex.android.a3colortv&amp;reviewId=gp:AOqpTOHPmby8WqL_raziOi3BJNwpZqIJY8wByB0qsQJyrIvIAAsJEWuHca_3xTpad7HRclEUdMnD43jsu1A4gg")</f>
        <v>https://play.google.com/store/apps/details?id=ru.iflex.android.a3colortv&amp;reviewId=gp:AOqpTOHPmby8WqL_raziOi3BJNwpZqIJY8wByB0qsQJyrIvIAAsJEWuHca_3xTpad7HRclEUdMnD43jsu1A4gg</v>
      </c>
      <c r="H893" t="s">
        <v>181</v>
      </c>
      <c r="I893" t="s">
        <v>3474</v>
      </c>
      <c r="J893" t="str">
        <f>HYPERLINK("https://plus.google.com/101277537713774315359")</f>
        <v>https://plus.google.com/101277537713774315359</v>
      </c>
      <c r="L893" t="s">
        <v>121</v>
      </c>
      <c r="N893" t="s">
        <v>207</v>
      </c>
      <c r="O893" t="s">
        <v>204</v>
      </c>
      <c r="P893" t="str">
        <f>HYPERLINK("https://play.google.com/store/apps/details?id=ru.iflex.android.a3colortv&amp;hl=ru")</f>
        <v>https://play.google.com/store/apps/details?id=ru.iflex.android.a3colortv&amp;hl=ru</v>
      </c>
      <c r="R893" t="s">
        <v>184</v>
      </c>
      <c r="S893" t="s">
        <v>125</v>
      </c>
      <c r="W893">
        <v>0</v>
      </c>
      <c r="X893">
        <v>0</v>
      </c>
      <c r="AH893">
        <v>5</v>
      </c>
      <c r="AM893" t="s">
        <v>129</v>
      </c>
      <c r="AN893" t="s">
        <v>130</v>
      </c>
      <c r="AP893" t="s">
        <v>41</v>
      </c>
      <c r="AZ893" t="s">
        <v>51</v>
      </c>
      <c r="BA893" t="s">
        <v>52</v>
      </c>
      <c r="BQ893" t="s">
        <v>68</v>
      </c>
    </row>
    <row r="894" spans="1:72" x14ac:dyDescent="0.2">
      <c r="A894" t="s">
        <v>3312</v>
      </c>
      <c r="B894" t="s">
        <v>1586</v>
      </c>
      <c r="C894" t="s">
        <v>3472</v>
      </c>
      <c r="D894" t="s">
        <v>204</v>
      </c>
      <c r="E894" t="s">
        <v>3475</v>
      </c>
      <c r="F894" t="s">
        <v>180</v>
      </c>
      <c r="G894" t="str">
        <f>HYPERLINK("https://play.google.com/store/apps/details?id=ru.iflex.android.a3colortv&amp;reviewId=gp:AOqpTOHTq8s6o36v34mhnB5Kk4TyZg0KTh9xHguZcThWjPSbXr7sEe_vy2Qm4cpRYVBeeFsjvZ12S3Vh3K-u4w")</f>
        <v>https://play.google.com/store/apps/details?id=ru.iflex.android.a3colortv&amp;reviewId=gp:AOqpTOHTq8s6o36v34mhnB5Kk4TyZg0KTh9xHguZcThWjPSbXr7sEe_vy2Qm4cpRYVBeeFsjvZ12S3Vh3K-u4w</v>
      </c>
      <c r="H894" t="s">
        <v>181</v>
      </c>
      <c r="I894" t="s">
        <v>3476</v>
      </c>
      <c r="J894" t="str">
        <f>HYPERLINK("https://plus.google.com/109679392130629430768")</f>
        <v>https://plus.google.com/109679392130629430768</v>
      </c>
      <c r="L894" t="s">
        <v>151</v>
      </c>
      <c r="N894" t="s">
        <v>207</v>
      </c>
      <c r="O894" t="s">
        <v>204</v>
      </c>
      <c r="P894" t="str">
        <f>HYPERLINK("https://play.google.com/store/apps/details?id=ru.iflex.android.a3colortv&amp;hl=ru")</f>
        <v>https://play.google.com/store/apps/details?id=ru.iflex.android.a3colortv&amp;hl=ru</v>
      </c>
      <c r="R894" t="s">
        <v>184</v>
      </c>
      <c r="S894" t="s">
        <v>125</v>
      </c>
      <c r="W894">
        <v>0</v>
      </c>
      <c r="X894">
        <v>0</v>
      </c>
      <c r="AH894">
        <v>5</v>
      </c>
      <c r="AM894" t="s">
        <v>129</v>
      </c>
      <c r="AN894" t="s">
        <v>130</v>
      </c>
      <c r="AP894" t="s">
        <v>41</v>
      </c>
      <c r="AY894" t="s">
        <v>50</v>
      </c>
      <c r="AZ894" t="s">
        <v>51</v>
      </c>
      <c r="BA894" t="s">
        <v>52</v>
      </c>
      <c r="BQ894" t="s">
        <v>68</v>
      </c>
    </row>
    <row r="895" spans="1:72" x14ac:dyDescent="0.2">
      <c r="A895" t="s">
        <v>3312</v>
      </c>
      <c r="B895" t="s">
        <v>2596</v>
      </c>
      <c r="C895" t="s">
        <v>3477</v>
      </c>
      <c r="D895" t="s">
        <v>2871</v>
      </c>
      <c r="E895" t="s">
        <v>3478</v>
      </c>
      <c r="F895" t="s">
        <v>118</v>
      </c>
      <c r="G895" t="str">
        <f>HYPERLINK("https://vk.com/wall-186674927_12384?reply=12410&amp;thread=12409")</f>
        <v>https://vk.com/wall-186674927_12384?reply=12410&amp;thread=12409</v>
      </c>
      <c r="H895" t="s">
        <v>181</v>
      </c>
      <c r="I895" t="s">
        <v>3125</v>
      </c>
      <c r="J895" t="str">
        <f>HYPERLINK("http://vk.com/id163176940")</f>
        <v>http://vk.com/id163176940</v>
      </c>
      <c r="K895">
        <v>20</v>
      </c>
      <c r="L895" t="s">
        <v>121</v>
      </c>
      <c r="N895" t="s">
        <v>122</v>
      </c>
      <c r="O895" t="s">
        <v>358</v>
      </c>
      <c r="P895" t="str">
        <f>HYPERLINK("http://vk.com/club186674927")</f>
        <v>http://vk.com/club186674927</v>
      </c>
      <c r="Q895">
        <v>706</v>
      </c>
      <c r="R895" t="s">
        <v>124</v>
      </c>
      <c r="S895" t="s">
        <v>125</v>
      </c>
      <c r="T895" t="s">
        <v>1103</v>
      </c>
      <c r="U895" t="s">
        <v>1104</v>
      </c>
      <c r="AM895" t="s">
        <v>129</v>
      </c>
      <c r="AN895" t="s">
        <v>130</v>
      </c>
      <c r="AP895" t="s">
        <v>41</v>
      </c>
      <c r="AU895" t="s">
        <v>46</v>
      </c>
      <c r="AZ895" t="s">
        <v>51</v>
      </c>
      <c r="BA895" t="s">
        <v>52</v>
      </c>
    </row>
    <row r="896" spans="1:72" x14ac:dyDescent="0.2">
      <c r="A896" t="s">
        <v>3312</v>
      </c>
      <c r="B896" t="s">
        <v>1588</v>
      </c>
      <c r="C896" t="s">
        <v>3479</v>
      </c>
      <c r="D896" t="s">
        <v>175</v>
      </c>
      <c r="E896" t="s">
        <v>3480</v>
      </c>
      <c r="F896" t="s">
        <v>180</v>
      </c>
      <c r="G896" t="str">
        <f>HYPERLINK("https://yandex.ru/maps/org/26593146833#LWkB1nsYu9rT6MdnSX0qPWszbKJNEYZ38")</f>
        <v>https://yandex.ru/maps/org/26593146833#LWkB1nsYu9rT6MdnSX0qPWszbKJNEYZ38</v>
      </c>
      <c r="H896" t="s">
        <v>181</v>
      </c>
      <c r="I896" t="s">
        <v>924</v>
      </c>
      <c r="J896" t="str">
        <f>HYPERLINK("https://yandex.ru/maps/org/26593146833#LWkB1nsYu9rT6MdnSX0qPWszbKJNEYZ38")</f>
        <v>https://yandex.ru/maps/org/26593146833#LWkB1nsYu9rT6MdnSX0qPWszbKJNEYZ38</v>
      </c>
      <c r="L896" t="s">
        <v>121</v>
      </c>
      <c r="N896" t="s">
        <v>236</v>
      </c>
      <c r="O896" t="s">
        <v>175</v>
      </c>
      <c r="P896" t="str">
        <f>HYPERLINK("https://yandex.ru/maps/org/26593146833")</f>
        <v>https://yandex.ru/maps/org/26593146833</v>
      </c>
      <c r="R896" t="s">
        <v>184</v>
      </c>
      <c r="S896" t="s">
        <v>125</v>
      </c>
      <c r="T896" t="s">
        <v>137</v>
      </c>
      <c r="U896" t="s">
        <v>137</v>
      </c>
      <c r="W896">
        <v>0</v>
      </c>
      <c r="X896">
        <v>0</v>
      </c>
      <c r="AH896">
        <v>5</v>
      </c>
      <c r="AM896" t="s">
        <v>129</v>
      </c>
      <c r="AN896" t="s">
        <v>130</v>
      </c>
      <c r="AP896" t="s">
        <v>41</v>
      </c>
      <c r="AU896" t="s">
        <v>46</v>
      </c>
      <c r="AZ896" t="s">
        <v>51</v>
      </c>
      <c r="BA896" t="s">
        <v>52</v>
      </c>
      <c r="BL896" t="s">
        <v>63</v>
      </c>
      <c r="BM896" t="s">
        <v>64</v>
      </c>
    </row>
    <row r="897" spans="1:100" x14ac:dyDescent="0.2">
      <c r="A897" t="s">
        <v>3312</v>
      </c>
      <c r="B897" t="s">
        <v>2611</v>
      </c>
      <c r="C897" t="s">
        <v>3481</v>
      </c>
      <c r="D897" t="s">
        <v>3482</v>
      </c>
      <c r="E897" t="s">
        <v>3483</v>
      </c>
      <c r="F897" t="s">
        <v>180</v>
      </c>
      <c r="G897" t="str">
        <f>HYPERLINK("https://www.ozon.ru/context/detail/id/177839081/#61926335")</f>
        <v>https://www.ozon.ru/context/detail/id/177839081/#61926335</v>
      </c>
      <c r="H897" t="s">
        <v>181</v>
      </c>
      <c r="I897" t="s">
        <v>1400</v>
      </c>
      <c r="J897" t="str">
        <f>HYPERLINK("https://www.ozon.ru/context/client_opinion/ClientGuid/c7bf8450-be81-4c29-b076-ffe0001b7c76/")</f>
        <v>https://www.ozon.ru/context/client_opinion/ClientGuid/c7bf8450-be81-4c29-b076-ffe0001b7c76/</v>
      </c>
      <c r="L897" t="s">
        <v>121</v>
      </c>
      <c r="N897" t="s">
        <v>183</v>
      </c>
      <c r="O897" t="s">
        <v>3482</v>
      </c>
      <c r="P897" t="str">
        <f>HYPERLINK("https://www.ozon.ru/context/detail/id/177839081/")</f>
        <v>https://www.ozon.ru/context/detail/id/177839081/</v>
      </c>
      <c r="R897" t="s">
        <v>184</v>
      </c>
      <c r="S897" t="s">
        <v>125</v>
      </c>
      <c r="W897">
        <v>0</v>
      </c>
      <c r="X897">
        <v>0</v>
      </c>
      <c r="AH897">
        <v>5</v>
      </c>
      <c r="AM897" t="s">
        <v>129</v>
      </c>
      <c r="AN897" t="s">
        <v>130</v>
      </c>
      <c r="AP897" t="s">
        <v>41</v>
      </c>
      <c r="AZ897" t="s">
        <v>51</v>
      </c>
      <c r="BA897" t="s">
        <v>52</v>
      </c>
      <c r="BK897" t="s">
        <v>62</v>
      </c>
      <c r="BL897" t="s">
        <v>63</v>
      </c>
    </row>
    <row r="898" spans="1:100" x14ac:dyDescent="0.2">
      <c r="A898" t="s">
        <v>3312</v>
      </c>
      <c r="B898" t="s">
        <v>2613</v>
      </c>
      <c r="C898" t="s">
        <v>3484</v>
      </c>
      <c r="D898" t="s">
        <v>204</v>
      </c>
      <c r="E898" t="s">
        <v>3485</v>
      </c>
      <c r="F898" t="s">
        <v>180</v>
      </c>
      <c r="G898" t="str">
        <f>HYPERLINK("https://play.google.com/store/apps/details?id=ru.iflex.android.a3colortv&amp;reviewId=gp:AOqpTOG4abg-5dGYdJYyfzGo7QNkVLAXRnrigk7xnfjViMS1SgwWi7RIB4quPkE9xOVpIkXs8727oyZK1fBJ0Q")</f>
        <v>https://play.google.com/store/apps/details?id=ru.iflex.android.a3colortv&amp;reviewId=gp:AOqpTOG4abg-5dGYdJYyfzGo7QNkVLAXRnrigk7xnfjViMS1SgwWi7RIB4quPkE9xOVpIkXs8727oyZK1fBJ0Q</v>
      </c>
      <c r="H898" t="s">
        <v>228</v>
      </c>
      <c r="I898" t="s">
        <v>3486</v>
      </c>
      <c r="J898" t="str">
        <f>HYPERLINK("https://plus.google.com/114874736182764099808")</f>
        <v>https://plus.google.com/114874736182764099808</v>
      </c>
      <c r="L898" t="s">
        <v>121</v>
      </c>
      <c r="N898" t="s">
        <v>207</v>
      </c>
      <c r="O898" t="s">
        <v>204</v>
      </c>
      <c r="P898" t="str">
        <f>HYPERLINK("https://play.google.com/store/apps/details?id=ru.iflex.android.a3colortv&amp;hl=ru")</f>
        <v>https://play.google.com/store/apps/details?id=ru.iflex.android.a3colortv&amp;hl=ru</v>
      </c>
      <c r="R898" t="s">
        <v>184</v>
      </c>
      <c r="S898" t="s">
        <v>125</v>
      </c>
      <c r="W898">
        <v>0</v>
      </c>
      <c r="X898">
        <v>0</v>
      </c>
      <c r="AH898">
        <v>2</v>
      </c>
      <c r="AM898" t="s">
        <v>129</v>
      </c>
      <c r="AN898" t="s">
        <v>130</v>
      </c>
      <c r="AP898" t="s">
        <v>41</v>
      </c>
      <c r="AY898" t="s">
        <v>50</v>
      </c>
      <c r="AZ898" t="s">
        <v>51</v>
      </c>
      <c r="BA898" t="s">
        <v>52</v>
      </c>
      <c r="BQ898" t="s">
        <v>68</v>
      </c>
      <c r="CV898" t="s">
        <v>99</v>
      </c>
    </row>
    <row r="899" spans="1:100" x14ac:dyDescent="0.2">
      <c r="A899" t="s">
        <v>3312</v>
      </c>
      <c r="B899" t="s">
        <v>2621</v>
      </c>
      <c r="C899" t="s">
        <v>3487</v>
      </c>
      <c r="D899" t="s">
        <v>2047</v>
      </c>
      <c r="E899" t="s">
        <v>3488</v>
      </c>
      <c r="F899" t="s">
        <v>118</v>
      </c>
      <c r="G899" t="str">
        <f>HYPERLINK("https://habr.com/news/t/569306/#comment_23295746")</f>
        <v>https://habr.com/news/t/569306/#comment_23295746</v>
      </c>
      <c r="H899" t="s">
        <v>119</v>
      </c>
      <c r="J899" t="str">
        <f>HYPERLINK("https://habr.com/users/syakimov/")</f>
        <v>https://habr.com/users/syakimov/</v>
      </c>
      <c r="K899">
        <v>0</v>
      </c>
      <c r="L899" t="s">
        <v>340</v>
      </c>
      <c r="N899" t="s">
        <v>2049</v>
      </c>
      <c r="O899" t="s">
        <v>2050</v>
      </c>
      <c r="P899" t="str">
        <f>HYPERLINK("https://habr.com/hub/wireless")</f>
        <v>https://habr.com/hub/wireless</v>
      </c>
      <c r="R899" t="s">
        <v>785</v>
      </c>
      <c r="AM899" t="s">
        <v>129</v>
      </c>
      <c r="AN899" t="s">
        <v>130</v>
      </c>
      <c r="AP899" t="s">
        <v>41</v>
      </c>
      <c r="AY899" t="s">
        <v>50</v>
      </c>
      <c r="AZ899" t="s">
        <v>51</v>
      </c>
      <c r="BB899" t="s">
        <v>53</v>
      </c>
    </row>
    <row r="900" spans="1:100" x14ac:dyDescent="0.2">
      <c r="A900" t="s">
        <v>3312</v>
      </c>
      <c r="B900" t="s">
        <v>3163</v>
      </c>
      <c r="C900" t="s">
        <v>3489</v>
      </c>
      <c r="D900" t="s">
        <v>3490</v>
      </c>
      <c r="E900" t="s">
        <v>3491</v>
      </c>
      <c r="F900" t="s">
        <v>118</v>
      </c>
      <c r="G900" t="str">
        <f>HYPERLINK("https://vk.com/wall-70788654_274448?reply=274450&amp;thread=274449")</f>
        <v>https://vk.com/wall-70788654_274448?reply=274450&amp;thread=274449</v>
      </c>
      <c r="H900" t="s">
        <v>181</v>
      </c>
      <c r="I900" t="s">
        <v>3492</v>
      </c>
      <c r="J900" t="str">
        <f>HYPERLINK("http://vk.com/id6939155")</f>
        <v>http://vk.com/id6939155</v>
      </c>
      <c r="K900">
        <v>1036</v>
      </c>
      <c r="L900" t="s">
        <v>151</v>
      </c>
      <c r="M900">
        <v>55</v>
      </c>
      <c r="N900" t="s">
        <v>122</v>
      </c>
      <c r="O900" t="s">
        <v>3493</v>
      </c>
      <c r="P900" t="str">
        <f>HYPERLINK("http://vk.com/club70788654")</f>
        <v>http://vk.com/club70788654</v>
      </c>
      <c r="Q900">
        <v>47219</v>
      </c>
      <c r="R900" t="s">
        <v>124</v>
      </c>
      <c r="S900" t="s">
        <v>125</v>
      </c>
      <c r="T900" t="s">
        <v>137</v>
      </c>
      <c r="U900" t="s">
        <v>137</v>
      </c>
      <c r="AM900" t="s">
        <v>129</v>
      </c>
      <c r="AN900" t="s">
        <v>130</v>
      </c>
      <c r="AP900" t="s">
        <v>41</v>
      </c>
      <c r="AT900" t="s">
        <v>45</v>
      </c>
      <c r="AZ900" t="s">
        <v>51</v>
      </c>
      <c r="BA900" t="s">
        <v>52</v>
      </c>
    </row>
    <row r="901" spans="1:100" x14ac:dyDescent="0.2">
      <c r="A901" t="s">
        <v>3312</v>
      </c>
      <c r="B901" t="s">
        <v>506</v>
      </c>
      <c r="C901" t="s">
        <v>3494</v>
      </c>
      <c r="D901" t="s">
        <v>3495</v>
      </c>
      <c r="E901" t="s">
        <v>3496</v>
      </c>
      <c r="F901" t="s">
        <v>118</v>
      </c>
      <c r="G901" t="str">
        <f>HYPERLINK("https://vk.com/wall-61101621_254753?w=wall-61101621_254753_r254763")</f>
        <v>https://vk.com/wall-61101621_254753?w=wall-61101621_254753_r254763</v>
      </c>
      <c r="H901" t="s">
        <v>119</v>
      </c>
      <c r="I901" t="s">
        <v>3497</v>
      </c>
      <c r="J901" t="str">
        <f>HYPERLINK("http://vk.com/id61418129")</f>
        <v>http://vk.com/id61418129</v>
      </c>
      <c r="K901">
        <v>386</v>
      </c>
      <c r="L901" t="s">
        <v>151</v>
      </c>
      <c r="M901">
        <v>47</v>
      </c>
      <c r="N901" t="s">
        <v>122</v>
      </c>
      <c r="O901" t="s">
        <v>160</v>
      </c>
      <c r="P901" t="str">
        <f>HYPERLINK("http://vk.com/club61101621")</f>
        <v>http://vk.com/club61101621</v>
      </c>
      <c r="Q901">
        <v>21119</v>
      </c>
      <c r="R901" t="s">
        <v>124</v>
      </c>
      <c r="S901" t="s">
        <v>125</v>
      </c>
      <c r="T901" t="s">
        <v>325</v>
      </c>
      <c r="U901" t="s">
        <v>3498</v>
      </c>
      <c r="W901">
        <v>0</v>
      </c>
      <c r="X901">
        <v>0</v>
      </c>
      <c r="AM901" t="s">
        <v>129</v>
      </c>
      <c r="AN901" t="s">
        <v>130</v>
      </c>
      <c r="AP901" t="s">
        <v>41</v>
      </c>
      <c r="AY901" t="s">
        <v>50</v>
      </c>
      <c r="AZ901" t="s">
        <v>51</v>
      </c>
      <c r="BA901" t="s">
        <v>52</v>
      </c>
    </row>
    <row r="902" spans="1:100" x14ac:dyDescent="0.2">
      <c r="A902" t="s">
        <v>3312</v>
      </c>
      <c r="B902" t="s">
        <v>2663</v>
      </c>
      <c r="C902" t="s">
        <v>3499</v>
      </c>
      <c r="D902" t="s">
        <v>204</v>
      </c>
      <c r="E902" t="s">
        <v>3500</v>
      </c>
      <c r="F902" t="s">
        <v>180</v>
      </c>
      <c r="G902" t="str">
        <f>HYPERLINK("https://play.google.com/store/apps/details?id=ru.iflex.android.a3colortv&amp;reviewId=gp:AOqpTOFn-N3NoG8bL0qyEnrxcm29UlTDl5aaQd13yfCO5OvnQLnQtEqynZSypgoDgi0x5SjyJ0w5XCNUJPcVzw")</f>
        <v>https://play.google.com/store/apps/details?id=ru.iflex.android.a3colortv&amp;reviewId=gp:AOqpTOFn-N3NoG8bL0qyEnrxcm29UlTDl5aaQd13yfCO5OvnQLnQtEqynZSypgoDgi0x5SjyJ0w5XCNUJPcVzw</v>
      </c>
      <c r="H902" t="s">
        <v>181</v>
      </c>
      <c r="I902" t="s">
        <v>3501</v>
      </c>
      <c r="J902" t="str">
        <f>HYPERLINK("https://plus.google.com/110633715717573285113")</f>
        <v>https://plus.google.com/110633715717573285113</v>
      </c>
      <c r="L902" t="s">
        <v>121</v>
      </c>
      <c r="N902" t="s">
        <v>207</v>
      </c>
      <c r="O902" t="s">
        <v>204</v>
      </c>
      <c r="P902" t="str">
        <f>HYPERLINK("https://play.google.com/store/apps/details?id=ru.iflex.android.a3colortv&amp;hl=ru")</f>
        <v>https://play.google.com/store/apps/details?id=ru.iflex.android.a3colortv&amp;hl=ru</v>
      </c>
      <c r="R902" t="s">
        <v>184</v>
      </c>
      <c r="S902" t="s">
        <v>125</v>
      </c>
      <c r="W902">
        <v>0</v>
      </c>
      <c r="X902">
        <v>0</v>
      </c>
      <c r="AH902">
        <v>5</v>
      </c>
      <c r="AM902" t="s">
        <v>129</v>
      </c>
      <c r="AN902" t="s">
        <v>130</v>
      </c>
      <c r="AP902" t="s">
        <v>41</v>
      </c>
      <c r="AU902" t="s">
        <v>46</v>
      </c>
      <c r="AY902" t="s">
        <v>50</v>
      </c>
      <c r="AZ902" t="s">
        <v>51</v>
      </c>
      <c r="BA902" t="s">
        <v>52</v>
      </c>
      <c r="BQ902" t="s">
        <v>68</v>
      </c>
    </row>
    <row r="903" spans="1:100" x14ac:dyDescent="0.2">
      <c r="A903" t="s">
        <v>3312</v>
      </c>
      <c r="B903" t="s">
        <v>2663</v>
      </c>
      <c r="C903" t="s">
        <v>3502</v>
      </c>
      <c r="D903" t="s">
        <v>3503</v>
      </c>
      <c r="E903" t="s">
        <v>3504</v>
      </c>
      <c r="F903" t="s">
        <v>118</v>
      </c>
      <c r="G903" t="str">
        <f>HYPERLINK("https://vk.com/wall-48175775_78040?reply=78047")</f>
        <v>https://vk.com/wall-48175775_78040?reply=78047</v>
      </c>
      <c r="H903" t="s">
        <v>119</v>
      </c>
      <c r="I903" t="s">
        <v>3505</v>
      </c>
      <c r="J903" t="str">
        <f>HYPERLINK("http://vk.com/id657405022")</f>
        <v>http://vk.com/id657405022</v>
      </c>
      <c r="K903">
        <v>0</v>
      </c>
      <c r="L903" t="s">
        <v>121</v>
      </c>
      <c r="M903">
        <v>39</v>
      </c>
      <c r="N903" t="s">
        <v>122</v>
      </c>
      <c r="O903" t="s">
        <v>3506</v>
      </c>
      <c r="P903" t="str">
        <f>HYPERLINK("http://vk.com/club48175775")</f>
        <v>http://vk.com/club48175775</v>
      </c>
      <c r="Q903">
        <v>40163</v>
      </c>
      <c r="R903" t="s">
        <v>124</v>
      </c>
      <c r="S903" t="s">
        <v>125</v>
      </c>
      <c r="T903" t="s">
        <v>169</v>
      </c>
      <c r="U903" t="s">
        <v>169</v>
      </c>
      <c r="AM903" t="s">
        <v>129</v>
      </c>
      <c r="AN903" t="s">
        <v>130</v>
      </c>
      <c r="AP903" t="s">
        <v>41</v>
      </c>
      <c r="AT903" t="s">
        <v>45</v>
      </c>
      <c r="AW903" t="s">
        <v>48</v>
      </c>
      <c r="AZ903" t="s">
        <v>51</v>
      </c>
      <c r="BA903" t="s">
        <v>52</v>
      </c>
    </row>
    <row r="904" spans="1:100" x14ac:dyDescent="0.2">
      <c r="A904" t="s">
        <v>3312</v>
      </c>
      <c r="B904" t="s">
        <v>2121</v>
      </c>
      <c r="C904" t="s">
        <v>3507</v>
      </c>
      <c r="D904" t="s">
        <v>3508</v>
      </c>
      <c r="E904" t="s">
        <v>3509</v>
      </c>
      <c r="F904" t="s">
        <v>118</v>
      </c>
      <c r="G904" t="str">
        <f>HYPERLINK("https://vk.com/wall-29060604_1091595?reply=1099853&amp;thread=1091679")</f>
        <v>https://vk.com/wall-29060604_1091595?reply=1099853&amp;thread=1091679</v>
      </c>
      <c r="H904" t="s">
        <v>119</v>
      </c>
      <c r="I904" t="s">
        <v>3510</v>
      </c>
      <c r="J904" t="str">
        <f>HYPERLINK("http://vk.com/id295872")</f>
        <v>http://vk.com/id295872</v>
      </c>
      <c r="K904">
        <v>249</v>
      </c>
      <c r="L904" t="s">
        <v>121</v>
      </c>
      <c r="M904">
        <v>36</v>
      </c>
      <c r="N904" t="s">
        <v>122</v>
      </c>
      <c r="O904" t="s">
        <v>3511</v>
      </c>
      <c r="P904" t="str">
        <f>HYPERLINK("http://vk.com/club29060604")</f>
        <v>http://vk.com/club29060604</v>
      </c>
      <c r="Q904">
        <v>757904</v>
      </c>
      <c r="R904" t="s">
        <v>124</v>
      </c>
      <c r="S904" t="s">
        <v>125</v>
      </c>
      <c r="T904" t="s">
        <v>169</v>
      </c>
      <c r="U904" t="s">
        <v>169</v>
      </c>
      <c r="AM904" t="s">
        <v>129</v>
      </c>
      <c r="AN904" t="s">
        <v>130</v>
      </c>
      <c r="AP904" t="s">
        <v>41</v>
      </c>
      <c r="AZ904" t="s">
        <v>51</v>
      </c>
      <c r="BA904" t="s">
        <v>52</v>
      </c>
      <c r="BL904" t="s">
        <v>63</v>
      </c>
    </row>
    <row r="905" spans="1:100" x14ac:dyDescent="0.2">
      <c r="A905" t="s">
        <v>3312</v>
      </c>
      <c r="B905" t="s">
        <v>3512</v>
      </c>
      <c r="C905" t="s">
        <v>3513</v>
      </c>
      <c r="D905" t="s">
        <v>129</v>
      </c>
      <c r="E905" t="s">
        <v>3514</v>
      </c>
      <c r="F905" t="s">
        <v>180</v>
      </c>
      <c r="G905" t="str">
        <f>HYPERLINK("https://vk.com/wall-42402221_236054")</f>
        <v>https://vk.com/wall-42402221_236054</v>
      </c>
      <c r="H905" t="s">
        <v>119</v>
      </c>
      <c r="I905" t="s">
        <v>1264</v>
      </c>
      <c r="J905" t="str">
        <f>HYPERLINK("http://vk.com/club42402221")</f>
        <v>http://vk.com/club42402221</v>
      </c>
      <c r="K905">
        <v>546</v>
      </c>
      <c r="L905" t="s">
        <v>340</v>
      </c>
      <c r="N905" t="s">
        <v>122</v>
      </c>
      <c r="O905" t="s">
        <v>1264</v>
      </c>
      <c r="P905" t="str">
        <f>HYPERLINK("http://vk.com/club42402221")</f>
        <v>http://vk.com/club42402221</v>
      </c>
      <c r="Q905">
        <v>546</v>
      </c>
      <c r="R905" t="s">
        <v>124</v>
      </c>
      <c r="W905">
        <v>0</v>
      </c>
      <c r="X905">
        <v>0</v>
      </c>
      <c r="AE905">
        <v>0</v>
      </c>
      <c r="AF905">
        <v>0</v>
      </c>
      <c r="AG905">
        <v>3</v>
      </c>
      <c r="AM905" t="s">
        <v>129</v>
      </c>
      <c r="AN905" t="s">
        <v>130</v>
      </c>
      <c r="AP905" t="s">
        <v>41</v>
      </c>
      <c r="AZ905" t="s">
        <v>51</v>
      </c>
      <c r="BA905" t="s">
        <v>52</v>
      </c>
      <c r="BO905" t="s">
        <v>66</v>
      </c>
    </row>
    <row r="906" spans="1:100" x14ac:dyDescent="0.2">
      <c r="A906" t="s">
        <v>3312</v>
      </c>
      <c r="B906" t="s">
        <v>1686</v>
      </c>
      <c r="C906" t="s">
        <v>3515</v>
      </c>
      <c r="D906" t="s">
        <v>3516</v>
      </c>
      <c r="E906" t="s">
        <v>3517</v>
      </c>
      <c r="F906" t="s">
        <v>180</v>
      </c>
      <c r="G906" t="str">
        <f>HYPERLINK("https://www.ozon.ru/context/detail/id/220478025/#61900039")</f>
        <v>https://www.ozon.ru/context/detail/id/220478025/#61900039</v>
      </c>
      <c r="H906" t="s">
        <v>181</v>
      </c>
      <c r="I906" t="s">
        <v>1330</v>
      </c>
      <c r="J906" t="str">
        <f>HYPERLINK("https://www.ozon.ru/context/client_opinion/ClientGuid/07888edd-e793-4461-8ed5-325b22931a84/")</f>
        <v>https://www.ozon.ru/context/client_opinion/ClientGuid/07888edd-e793-4461-8ed5-325b22931a84/</v>
      </c>
      <c r="L906" t="s">
        <v>121</v>
      </c>
      <c r="N906" t="s">
        <v>183</v>
      </c>
      <c r="O906" t="s">
        <v>3516</v>
      </c>
      <c r="P906" t="str">
        <f>HYPERLINK("https://www.ozon.ru/context/detail/id/220478025/")</f>
        <v>https://www.ozon.ru/context/detail/id/220478025/</v>
      </c>
      <c r="R906" t="s">
        <v>184</v>
      </c>
      <c r="S906" t="s">
        <v>125</v>
      </c>
      <c r="W906">
        <v>0</v>
      </c>
      <c r="X906">
        <v>0</v>
      </c>
      <c r="AH906">
        <v>5</v>
      </c>
      <c r="AM906" t="s">
        <v>129</v>
      </c>
      <c r="AN906" t="s">
        <v>130</v>
      </c>
      <c r="AP906" t="s">
        <v>41</v>
      </c>
      <c r="AT906" t="s">
        <v>45</v>
      </c>
      <c r="AZ906" t="s">
        <v>51</v>
      </c>
      <c r="BA906" t="s">
        <v>52</v>
      </c>
    </row>
    <row r="907" spans="1:100" x14ac:dyDescent="0.2">
      <c r="A907" t="s">
        <v>3312</v>
      </c>
      <c r="B907" t="s">
        <v>580</v>
      </c>
      <c r="C907" t="s">
        <v>3518</v>
      </c>
      <c r="D907" t="s">
        <v>2871</v>
      </c>
      <c r="E907" t="s">
        <v>3519</v>
      </c>
      <c r="F907" t="s">
        <v>118</v>
      </c>
      <c r="G907" t="str">
        <f>HYPERLINK("https://vk.com/wall-186674927_12384?reply=12401")</f>
        <v>https://vk.com/wall-186674927_12384?reply=12401</v>
      </c>
      <c r="H907" t="s">
        <v>119</v>
      </c>
      <c r="I907" t="s">
        <v>3125</v>
      </c>
      <c r="J907" t="str">
        <f>HYPERLINK("http://vk.com/id163176940")</f>
        <v>http://vk.com/id163176940</v>
      </c>
      <c r="K907">
        <v>20</v>
      </c>
      <c r="L907" t="s">
        <v>121</v>
      </c>
      <c r="N907" t="s">
        <v>122</v>
      </c>
      <c r="O907" t="s">
        <v>358</v>
      </c>
      <c r="P907" t="str">
        <f>HYPERLINK("http://vk.com/club186674927")</f>
        <v>http://vk.com/club186674927</v>
      </c>
      <c r="Q907">
        <v>706</v>
      </c>
      <c r="R907" t="s">
        <v>124</v>
      </c>
      <c r="S907" t="s">
        <v>125</v>
      </c>
      <c r="T907" t="s">
        <v>1103</v>
      </c>
      <c r="U907" t="s">
        <v>1104</v>
      </c>
      <c r="AM907" t="s">
        <v>129</v>
      </c>
      <c r="AN907" t="s">
        <v>130</v>
      </c>
      <c r="AP907" t="s">
        <v>41</v>
      </c>
      <c r="AU907" t="s">
        <v>46</v>
      </c>
      <c r="AY907" t="s">
        <v>50</v>
      </c>
      <c r="AZ907" t="s">
        <v>51</v>
      </c>
      <c r="BA907" t="s">
        <v>52</v>
      </c>
    </row>
    <row r="908" spans="1:100" x14ac:dyDescent="0.2">
      <c r="A908" t="s">
        <v>3312</v>
      </c>
      <c r="B908" t="s">
        <v>1700</v>
      </c>
      <c r="C908" t="s">
        <v>3520</v>
      </c>
      <c r="D908" t="s">
        <v>3495</v>
      </c>
      <c r="E908" t="s">
        <v>3521</v>
      </c>
      <c r="F908" t="s">
        <v>118</v>
      </c>
      <c r="G908" t="str">
        <f>HYPERLINK("https://vk.com/wall-61101621_254753?reply=254761")</f>
        <v>https://vk.com/wall-61101621_254753?reply=254761</v>
      </c>
      <c r="H908" t="s">
        <v>119</v>
      </c>
      <c r="I908" t="s">
        <v>3222</v>
      </c>
      <c r="J908" t="str">
        <f>HYPERLINK("http://vk.com/id47264919")</f>
        <v>http://vk.com/id47264919</v>
      </c>
      <c r="K908">
        <v>250</v>
      </c>
      <c r="L908" t="s">
        <v>121</v>
      </c>
      <c r="M908">
        <v>37</v>
      </c>
      <c r="N908" t="s">
        <v>122</v>
      </c>
      <c r="O908" t="s">
        <v>160</v>
      </c>
      <c r="P908" t="str">
        <f>HYPERLINK("http://vk.com/club61101621")</f>
        <v>http://vk.com/club61101621</v>
      </c>
      <c r="Q908">
        <v>21119</v>
      </c>
      <c r="R908" t="s">
        <v>124</v>
      </c>
      <c r="S908" t="s">
        <v>125</v>
      </c>
      <c r="T908" t="s">
        <v>1275</v>
      </c>
      <c r="U908" t="s">
        <v>3223</v>
      </c>
      <c r="W908">
        <v>0</v>
      </c>
      <c r="X908">
        <v>0</v>
      </c>
      <c r="AM908" t="s">
        <v>129</v>
      </c>
      <c r="AN908" t="s">
        <v>130</v>
      </c>
      <c r="AP908" t="s">
        <v>41</v>
      </c>
      <c r="AU908" t="s">
        <v>46</v>
      </c>
      <c r="AY908" t="s">
        <v>50</v>
      </c>
      <c r="AZ908" t="s">
        <v>51</v>
      </c>
      <c r="BA908" t="s">
        <v>52</v>
      </c>
    </row>
    <row r="909" spans="1:100" x14ac:dyDescent="0.2">
      <c r="A909" t="s">
        <v>3312</v>
      </c>
      <c r="B909" t="s">
        <v>1704</v>
      </c>
      <c r="C909" t="s">
        <v>3522</v>
      </c>
      <c r="D909" t="s">
        <v>3523</v>
      </c>
      <c r="E909" t="s">
        <v>3524</v>
      </c>
      <c r="F909" t="s">
        <v>118</v>
      </c>
      <c r="G909" t="str">
        <f>HYPERLINK("https://vk.com/wall-133130019_2908?reply=2910&amp;thread=2909")</f>
        <v>https://vk.com/wall-133130019_2908?reply=2910&amp;thread=2909</v>
      </c>
      <c r="H909" t="s">
        <v>119</v>
      </c>
      <c r="I909" t="s">
        <v>3525</v>
      </c>
      <c r="J909" t="str">
        <f>HYPERLINK("http://vk.com/id980913")</f>
        <v>http://vk.com/id980913</v>
      </c>
      <c r="K909">
        <v>69</v>
      </c>
      <c r="L909" t="s">
        <v>121</v>
      </c>
      <c r="N909" t="s">
        <v>122</v>
      </c>
      <c r="O909" t="s">
        <v>3526</v>
      </c>
      <c r="P909" t="str">
        <f>HYPERLINK("http://vk.com/club133130019")</f>
        <v>http://vk.com/club133130019</v>
      </c>
      <c r="Q909">
        <v>11129</v>
      </c>
      <c r="R909" t="s">
        <v>124</v>
      </c>
      <c r="S909" t="s">
        <v>125</v>
      </c>
      <c r="T909" t="s">
        <v>137</v>
      </c>
      <c r="U909" t="s">
        <v>137</v>
      </c>
      <c r="AM909" t="s">
        <v>129</v>
      </c>
      <c r="AN909" t="s">
        <v>130</v>
      </c>
      <c r="AP909" t="s">
        <v>41</v>
      </c>
      <c r="AZ909" t="s">
        <v>51</v>
      </c>
      <c r="BA909" t="s">
        <v>52</v>
      </c>
      <c r="BQ909" t="s">
        <v>68</v>
      </c>
    </row>
    <row r="910" spans="1:100" x14ac:dyDescent="0.2">
      <c r="A910" t="s">
        <v>3312</v>
      </c>
      <c r="B910" t="s">
        <v>1709</v>
      </c>
      <c r="C910" t="s">
        <v>3527</v>
      </c>
      <c r="D910" t="s">
        <v>2871</v>
      </c>
      <c r="E910" t="s">
        <v>3528</v>
      </c>
      <c r="F910" t="s">
        <v>118</v>
      </c>
      <c r="G910" t="str">
        <f>HYPERLINK("https://vk.com/wall-186674927_12384?reply=12399&amp;thread=12386")</f>
        <v>https://vk.com/wall-186674927_12384?reply=12399&amp;thread=12386</v>
      </c>
      <c r="H910" t="s">
        <v>119</v>
      </c>
      <c r="I910" t="s">
        <v>3529</v>
      </c>
      <c r="J910" t="str">
        <f>HYPERLINK("http://vk.com/id8948714")</f>
        <v>http://vk.com/id8948714</v>
      </c>
      <c r="K910">
        <v>2455</v>
      </c>
      <c r="L910" t="s">
        <v>121</v>
      </c>
      <c r="N910" t="s">
        <v>122</v>
      </c>
      <c r="O910" t="s">
        <v>358</v>
      </c>
      <c r="P910" t="str">
        <f>HYPERLINK("http://vk.com/club186674927")</f>
        <v>http://vk.com/club186674927</v>
      </c>
      <c r="Q910">
        <v>706</v>
      </c>
      <c r="R910" t="s">
        <v>124</v>
      </c>
      <c r="S910" t="s">
        <v>125</v>
      </c>
      <c r="T910" t="s">
        <v>1466</v>
      </c>
      <c r="U910" t="s">
        <v>3530</v>
      </c>
      <c r="AM910" t="s">
        <v>129</v>
      </c>
      <c r="AN910" t="s">
        <v>130</v>
      </c>
      <c r="AP910" t="s">
        <v>41</v>
      </c>
      <c r="AY910" t="s">
        <v>50</v>
      </c>
      <c r="AZ910" t="s">
        <v>51</v>
      </c>
      <c r="BA910" t="s">
        <v>52</v>
      </c>
    </row>
    <row r="911" spans="1:100" x14ac:dyDescent="0.2">
      <c r="A911" t="s">
        <v>3312</v>
      </c>
      <c r="B911" t="s">
        <v>1733</v>
      </c>
      <c r="C911" t="s">
        <v>3531</v>
      </c>
      <c r="D911" t="s">
        <v>2871</v>
      </c>
      <c r="E911" t="s">
        <v>3532</v>
      </c>
      <c r="F911" t="s">
        <v>118</v>
      </c>
      <c r="G911" t="str">
        <f>HYPERLINK("https://vk.com/wall-186674927_12384?reply=12387&amp;thread=12386")</f>
        <v>https://vk.com/wall-186674927_12384?reply=12387&amp;thread=12386</v>
      </c>
      <c r="H911" t="s">
        <v>228</v>
      </c>
      <c r="I911" t="s">
        <v>3529</v>
      </c>
      <c r="J911" t="str">
        <f>HYPERLINK("http://vk.com/id8948714")</f>
        <v>http://vk.com/id8948714</v>
      </c>
      <c r="K911">
        <v>2455</v>
      </c>
      <c r="L911" t="s">
        <v>121</v>
      </c>
      <c r="N911" t="s">
        <v>122</v>
      </c>
      <c r="O911" t="s">
        <v>358</v>
      </c>
      <c r="P911" t="str">
        <f>HYPERLINK("http://vk.com/club186674927")</f>
        <v>http://vk.com/club186674927</v>
      </c>
      <c r="Q911">
        <v>706</v>
      </c>
      <c r="R911" t="s">
        <v>124</v>
      </c>
      <c r="S911" t="s">
        <v>125</v>
      </c>
      <c r="T911" t="s">
        <v>1466</v>
      </c>
      <c r="U911" t="s">
        <v>3530</v>
      </c>
      <c r="AM911" t="s">
        <v>129</v>
      </c>
      <c r="AN911" t="s">
        <v>130</v>
      </c>
      <c r="AP911" t="s">
        <v>41</v>
      </c>
      <c r="AU911" t="s">
        <v>46</v>
      </c>
      <c r="AY911" t="s">
        <v>50</v>
      </c>
      <c r="AZ911" t="s">
        <v>51</v>
      </c>
      <c r="BA911" t="s">
        <v>52</v>
      </c>
    </row>
    <row r="912" spans="1:100" x14ac:dyDescent="0.2">
      <c r="A912" t="s">
        <v>3312</v>
      </c>
      <c r="B912" t="s">
        <v>629</v>
      </c>
      <c r="C912" t="s">
        <v>3533</v>
      </c>
      <c r="D912" t="s">
        <v>3455</v>
      </c>
      <c r="E912" t="s">
        <v>3534</v>
      </c>
      <c r="F912" t="s">
        <v>180</v>
      </c>
      <c r="G912" t="str">
        <f>HYPERLINK("https://www.ozon.ru/context/detail/id/223364630/#61886101")</f>
        <v>https://www.ozon.ru/context/detail/id/223364630/#61886101</v>
      </c>
      <c r="H912" t="s">
        <v>181</v>
      </c>
      <c r="I912" t="s">
        <v>3535</v>
      </c>
      <c r="J912" t="str">
        <f>HYPERLINK("https://www.ozon.ru/context/client_opinion/ClientGuid/5753dbd8-02c5-4ce6-bc10-d8651889d3f7/")</f>
        <v>https://www.ozon.ru/context/client_opinion/ClientGuid/5753dbd8-02c5-4ce6-bc10-d8651889d3f7/</v>
      </c>
      <c r="N912" t="s">
        <v>183</v>
      </c>
      <c r="O912" t="s">
        <v>3455</v>
      </c>
      <c r="P912" t="str">
        <f>HYPERLINK("https://www.ozon.ru/context/detail/id/223364630/")</f>
        <v>https://www.ozon.ru/context/detail/id/223364630/</v>
      </c>
      <c r="R912" t="s">
        <v>184</v>
      </c>
      <c r="S912" t="s">
        <v>125</v>
      </c>
      <c r="W912">
        <v>0</v>
      </c>
      <c r="X912">
        <v>0</v>
      </c>
      <c r="AH912">
        <v>5</v>
      </c>
      <c r="AJ912" t="s">
        <v>3176</v>
      </c>
      <c r="AK912" t="s">
        <v>129</v>
      </c>
      <c r="AL912" t="str">
        <f>HYPERLINK("https://cdn1.ozone.ru/s3/rp-photo-3/5bb2c1d4-5ddf-4648-9720-654286bea6ff.jpeg")</f>
        <v>https://cdn1.ozone.ru/s3/rp-photo-3/5bb2c1d4-5ddf-4648-9720-654286bea6ff.jpeg</v>
      </c>
      <c r="AM912" t="s">
        <v>129</v>
      </c>
      <c r="AN912" t="s">
        <v>130</v>
      </c>
      <c r="AP912" t="s">
        <v>41</v>
      </c>
      <c r="AT912" t="s">
        <v>45</v>
      </c>
      <c r="AW912" t="s">
        <v>48</v>
      </c>
      <c r="AZ912" t="s">
        <v>51</v>
      </c>
      <c r="BA912" t="s">
        <v>52</v>
      </c>
      <c r="BM912" t="s">
        <v>64</v>
      </c>
    </row>
    <row r="913" spans="1:69" x14ac:dyDescent="0.2">
      <c r="A913" t="s">
        <v>3312</v>
      </c>
      <c r="B913" t="s">
        <v>3536</v>
      </c>
      <c r="C913" t="s">
        <v>3537</v>
      </c>
      <c r="D913" t="s">
        <v>1697</v>
      </c>
      <c r="E913" t="s">
        <v>3538</v>
      </c>
      <c r="F913" t="s">
        <v>180</v>
      </c>
      <c r="G913" t="str">
        <f>HYPERLINK("https://apps.apple.com/ru/app/мой-триколор/id1204321194#7615430050")</f>
        <v>https://apps.apple.com/ru/app/мой-триколор/id1204321194#7615430050</v>
      </c>
      <c r="H913" t="s">
        <v>228</v>
      </c>
      <c r="I913" t="s">
        <v>3539</v>
      </c>
      <c r="J913" t="str">
        <f>HYPERLINK("https://itunes.apple.com/reviews?userProfileId=227420450")</f>
        <v>https://itunes.apple.com/reviews?userProfileId=227420450</v>
      </c>
      <c r="N913" t="s">
        <v>1411</v>
      </c>
      <c r="O913" t="s">
        <v>1697</v>
      </c>
      <c r="P913" t="str">
        <f>HYPERLINK("https://apps.apple.com/ru/app/мой-триколор/id1204321194")</f>
        <v>https://apps.apple.com/ru/app/мой-триколор/id1204321194</v>
      </c>
      <c r="R913" t="s">
        <v>184</v>
      </c>
      <c r="S913" t="s">
        <v>125</v>
      </c>
      <c r="AH913">
        <v>1</v>
      </c>
      <c r="AM913" t="s">
        <v>129</v>
      </c>
      <c r="AN913" t="s">
        <v>130</v>
      </c>
      <c r="AP913" t="s">
        <v>41</v>
      </c>
      <c r="AT913" t="s">
        <v>45</v>
      </c>
      <c r="AW913" t="s">
        <v>48</v>
      </c>
      <c r="AZ913" t="s">
        <v>51</v>
      </c>
      <c r="BA913" t="s">
        <v>52</v>
      </c>
      <c r="BL913" t="s">
        <v>63</v>
      </c>
      <c r="BQ913" t="s">
        <v>68</v>
      </c>
    </row>
    <row r="914" spans="1:69" x14ac:dyDescent="0.2">
      <c r="A914" t="s">
        <v>3312</v>
      </c>
      <c r="B914" t="s">
        <v>3540</v>
      </c>
      <c r="C914" t="s">
        <v>3541</v>
      </c>
      <c r="D914" t="s">
        <v>3542</v>
      </c>
      <c r="E914" t="s">
        <v>3543</v>
      </c>
      <c r="F914" t="s">
        <v>118</v>
      </c>
      <c r="G914" t="str">
        <f>HYPERLINK("https://vk.com/wall-204351896_222?reply=494")</f>
        <v>https://vk.com/wall-204351896_222?reply=494</v>
      </c>
      <c r="H914" t="s">
        <v>119</v>
      </c>
      <c r="I914" t="s">
        <v>3544</v>
      </c>
      <c r="J914" t="str">
        <f>HYPERLINK("http://vk.com/id651980680")</f>
        <v>http://vk.com/id651980680</v>
      </c>
      <c r="K914">
        <v>0</v>
      </c>
      <c r="L914" t="s">
        <v>121</v>
      </c>
      <c r="M914">
        <v>58</v>
      </c>
      <c r="N914" t="s">
        <v>122</v>
      </c>
      <c r="O914" t="s">
        <v>359</v>
      </c>
      <c r="P914" t="str">
        <f>HYPERLINK("http://vk.com/club204351896")</f>
        <v>http://vk.com/club204351896</v>
      </c>
      <c r="Q914">
        <v>272</v>
      </c>
      <c r="R914" t="s">
        <v>124</v>
      </c>
      <c r="S914" t="s">
        <v>125</v>
      </c>
      <c r="T914" t="s">
        <v>487</v>
      </c>
      <c r="U914" t="s">
        <v>488</v>
      </c>
      <c r="AM914" t="s">
        <v>129</v>
      </c>
      <c r="AN914" t="s">
        <v>130</v>
      </c>
      <c r="AP914" t="s">
        <v>41</v>
      </c>
      <c r="AU914" t="s">
        <v>46</v>
      </c>
      <c r="AZ914" t="s">
        <v>51</v>
      </c>
      <c r="BA914" t="s">
        <v>52</v>
      </c>
    </row>
    <row r="915" spans="1:69" x14ac:dyDescent="0.2">
      <c r="A915" t="s">
        <v>3312</v>
      </c>
      <c r="B915" t="s">
        <v>659</v>
      </c>
      <c r="C915" t="s">
        <v>3545</v>
      </c>
      <c r="D915" t="s">
        <v>129</v>
      </c>
      <c r="E915" t="s">
        <v>3546</v>
      </c>
      <c r="F915" t="s">
        <v>180</v>
      </c>
      <c r="G915" t="str">
        <f>HYPERLINK("https://vk.com/wall587592521_11071")</f>
        <v>https://vk.com/wall587592521_11071</v>
      </c>
      <c r="H915" t="s">
        <v>228</v>
      </c>
      <c r="I915" t="s">
        <v>3547</v>
      </c>
      <c r="J915" t="str">
        <f>HYPERLINK("http://vk.com/id587592521")</f>
        <v>http://vk.com/id587592521</v>
      </c>
      <c r="K915">
        <v>390</v>
      </c>
      <c r="L915" t="s">
        <v>121</v>
      </c>
      <c r="M915">
        <v>55</v>
      </c>
      <c r="N915" t="s">
        <v>122</v>
      </c>
      <c r="O915" t="s">
        <v>3547</v>
      </c>
      <c r="P915" t="str">
        <f>HYPERLINK("http://vk.com/id587592521")</f>
        <v>http://vk.com/id587592521</v>
      </c>
      <c r="Q915">
        <v>390</v>
      </c>
      <c r="R915" t="s">
        <v>124</v>
      </c>
      <c r="S915" t="s">
        <v>125</v>
      </c>
      <c r="W915">
        <v>37</v>
      </c>
      <c r="X915">
        <v>37</v>
      </c>
      <c r="AE915">
        <v>1</v>
      </c>
      <c r="AF915">
        <v>0</v>
      </c>
      <c r="AG915">
        <v>305</v>
      </c>
      <c r="AJ915" t="s">
        <v>129</v>
      </c>
      <c r="AK915" t="s">
        <v>3548</v>
      </c>
      <c r="AL915" t="str">
        <f>HYPERLINK("https://sun9-77.userapi.com/impg/MI-eqZUTtmoB6ZVLYpQ_wP0J7WwsmA-NlGqP4Q/AfGrHgfKHCY.jpg?size=1200x1600&amp;quality=96&amp;sign=c7e8decae33dd5026740b757675ad555&amp;c_uniq_tag=A-awNNvUVFSoWNn7C3myWeErllwgiHl4ZCEknE4zEm4&amp;type=album")</f>
        <v>https://sun9-77.userapi.com/impg/MI-eqZUTtmoB6ZVLYpQ_wP0J7WwsmA-NlGqP4Q/AfGrHgfKHCY.jpg?size=1200x1600&amp;quality=96&amp;sign=c7e8decae33dd5026740b757675ad555&amp;c_uniq_tag=A-awNNvUVFSoWNn7C3myWeErllwgiHl4ZCEknE4zEm4&amp;type=album</v>
      </c>
      <c r="AM915" t="s">
        <v>129</v>
      </c>
      <c r="AN915" t="s">
        <v>130</v>
      </c>
      <c r="AP915" t="s">
        <v>41</v>
      </c>
      <c r="AW915" t="s">
        <v>48</v>
      </c>
      <c r="AY915" t="s">
        <v>50</v>
      </c>
      <c r="AZ915" t="s">
        <v>51</v>
      </c>
      <c r="BA915" t="s">
        <v>52</v>
      </c>
    </row>
    <row r="916" spans="1:69" x14ac:dyDescent="0.2">
      <c r="A916" t="s">
        <v>3312</v>
      </c>
      <c r="B916" t="s">
        <v>2762</v>
      </c>
      <c r="C916" t="s">
        <v>3549</v>
      </c>
      <c r="D916" t="s">
        <v>567</v>
      </c>
      <c r="E916" t="s">
        <v>3550</v>
      </c>
      <c r="F916" t="s">
        <v>118</v>
      </c>
      <c r="G916" t="str">
        <f>HYPERLINK("https://vk.com/topic-27863223_35936941?post=115990")</f>
        <v>https://vk.com/topic-27863223_35936941?post=115990</v>
      </c>
      <c r="H916" t="s">
        <v>119</v>
      </c>
      <c r="I916" t="s">
        <v>3551</v>
      </c>
      <c r="J916" t="str">
        <f>HYPERLINK("http://vk.com/id61670225")</f>
        <v>http://vk.com/id61670225</v>
      </c>
      <c r="K916">
        <v>4604</v>
      </c>
      <c r="L916" t="s">
        <v>151</v>
      </c>
      <c r="M916">
        <v>28</v>
      </c>
      <c r="N916" t="s">
        <v>122</v>
      </c>
      <c r="O916" t="s">
        <v>175</v>
      </c>
      <c r="P916" t="str">
        <f>HYPERLINK("http://vk.com/club27863223")</f>
        <v>http://vk.com/club27863223</v>
      </c>
      <c r="Q916">
        <v>134698</v>
      </c>
      <c r="R916" t="s">
        <v>124</v>
      </c>
      <c r="S916" t="s">
        <v>125</v>
      </c>
      <c r="T916" t="s">
        <v>364</v>
      </c>
      <c r="U916" t="s">
        <v>365</v>
      </c>
      <c r="AM916" t="s">
        <v>129</v>
      </c>
      <c r="AN916" t="s">
        <v>130</v>
      </c>
      <c r="AP916" t="s">
        <v>41</v>
      </c>
      <c r="AU916" t="s">
        <v>46</v>
      </c>
      <c r="AZ916" t="s">
        <v>51</v>
      </c>
      <c r="BA916" t="s">
        <v>52</v>
      </c>
    </row>
    <row r="917" spans="1:69" x14ac:dyDescent="0.2">
      <c r="A917" t="s">
        <v>3312</v>
      </c>
      <c r="B917" t="s">
        <v>2762</v>
      </c>
      <c r="C917" t="s">
        <v>3537</v>
      </c>
      <c r="D917" t="s">
        <v>1697</v>
      </c>
      <c r="E917" t="s">
        <v>3552</v>
      </c>
      <c r="F917" t="s">
        <v>180</v>
      </c>
      <c r="G917" t="str">
        <f>HYPERLINK("https://apps.apple.com/ru/app/мой-триколор/id1204321194#7615355496")</f>
        <v>https://apps.apple.com/ru/app/мой-триколор/id1204321194#7615355496</v>
      </c>
      <c r="H917" t="s">
        <v>181</v>
      </c>
      <c r="I917" t="s">
        <v>3553</v>
      </c>
      <c r="J917" t="str">
        <f>HYPERLINK("https://itunes.apple.com/reviews?userProfileId=446515326")</f>
        <v>https://itunes.apple.com/reviews?userProfileId=446515326</v>
      </c>
      <c r="N917" t="s">
        <v>1411</v>
      </c>
      <c r="O917" t="s">
        <v>1697</v>
      </c>
      <c r="P917" t="str">
        <f>HYPERLINK("https://apps.apple.com/ru/app/мой-триколор/id1204321194")</f>
        <v>https://apps.apple.com/ru/app/мой-триколор/id1204321194</v>
      </c>
      <c r="R917" t="s">
        <v>184</v>
      </c>
      <c r="S917" t="s">
        <v>125</v>
      </c>
      <c r="AH917">
        <v>5</v>
      </c>
      <c r="AM917" t="s">
        <v>129</v>
      </c>
      <c r="AN917" t="s">
        <v>130</v>
      </c>
      <c r="AP917" t="s">
        <v>41</v>
      </c>
      <c r="AZ917" t="s">
        <v>51</v>
      </c>
      <c r="BA917" t="s">
        <v>52</v>
      </c>
      <c r="BP917" t="s">
        <v>67</v>
      </c>
      <c r="BQ917" t="s">
        <v>68</v>
      </c>
    </row>
    <row r="918" spans="1:69" x14ac:dyDescent="0.2">
      <c r="A918" t="s">
        <v>3312</v>
      </c>
      <c r="B918" t="s">
        <v>1774</v>
      </c>
      <c r="C918" t="s">
        <v>3554</v>
      </c>
      <c r="D918" t="s">
        <v>129</v>
      </c>
      <c r="E918" t="s">
        <v>3555</v>
      </c>
      <c r="F918" t="s">
        <v>180</v>
      </c>
      <c r="G918" t="str">
        <f>HYPERLINK("https://twitter.com/393769825/status/1419186954986532864")</f>
        <v>https://twitter.com/393769825/status/1419186954986532864</v>
      </c>
      <c r="H918" t="s">
        <v>119</v>
      </c>
      <c r="I918" t="s">
        <v>3556</v>
      </c>
      <c r="J918" t="str">
        <f>HYPERLINK("http://twitter.com/hleb_lykov")</f>
        <v>http://twitter.com/hleb_lykov</v>
      </c>
      <c r="K918">
        <v>42</v>
      </c>
      <c r="N918" t="s">
        <v>350</v>
      </c>
      <c r="R918" t="s">
        <v>124</v>
      </c>
      <c r="S918" t="s">
        <v>125</v>
      </c>
      <c r="T918" t="s">
        <v>601</v>
      </c>
      <c r="U918" t="s">
        <v>2543</v>
      </c>
      <c r="W918">
        <v>1</v>
      </c>
      <c r="X918">
        <v>1</v>
      </c>
      <c r="AE918">
        <v>0</v>
      </c>
      <c r="AF918">
        <v>0</v>
      </c>
      <c r="AJ918" t="s">
        <v>3557</v>
      </c>
      <c r="AK918" t="s">
        <v>129</v>
      </c>
      <c r="AL918" t="str">
        <f>HYPERLINK("https://pbs.twimg.com/media/E7H2pKfXMAMnsGa.jpg")</f>
        <v>https://pbs.twimg.com/media/E7H2pKfXMAMnsGa.jpg</v>
      </c>
      <c r="AM918" t="s">
        <v>129</v>
      </c>
      <c r="AN918" t="s">
        <v>130</v>
      </c>
      <c r="AP918" t="s">
        <v>41</v>
      </c>
      <c r="AT918" t="s">
        <v>45</v>
      </c>
      <c r="AZ918" t="s">
        <v>51</v>
      </c>
      <c r="BA918" t="s">
        <v>52</v>
      </c>
    </row>
    <row r="919" spans="1:69" x14ac:dyDescent="0.2">
      <c r="A919" t="s">
        <v>3312</v>
      </c>
      <c r="B919" t="s">
        <v>3558</v>
      </c>
      <c r="C919" t="s">
        <v>3559</v>
      </c>
      <c r="D919" t="s">
        <v>3560</v>
      </c>
      <c r="E919" t="s">
        <v>3561</v>
      </c>
      <c r="F919" t="s">
        <v>118</v>
      </c>
      <c r="G919" t="str">
        <f>HYPERLINK("https://ok.ru/profile/571020162580/statuses/153701057760532#MTYyNzE5NDc2NjkxNDotMTA0NjE6MTYyNzE5NDc2NjkxNDoxNTM3MDEwNTc3NjA1MzI6Mw==")</f>
        <v>https://ok.ru/profile/571020162580/statuses/153701057760532#MTYyNzE5NDc2NjkxNDotMTA0NjE6MTYyNzE5NDc2NjkxNDoxNTM3MDEwNTc3NjA1MzI6Mw==</v>
      </c>
      <c r="H919" t="s">
        <v>119</v>
      </c>
      <c r="I919" t="s">
        <v>3562</v>
      </c>
      <c r="J919" t="str">
        <f>HYPERLINK("https://ok.ru/profile/563991522629")</f>
        <v>https://ok.ru/profile/563991522629</v>
      </c>
      <c r="K919">
        <v>47</v>
      </c>
      <c r="L919" t="s">
        <v>151</v>
      </c>
      <c r="N919" t="s">
        <v>347</v>
      </c>
      <c r="O919" t="s">
        <v>3563</v>
      </c>
      <c r="P919" t="str">
        <f>HYPERLINK("https://ok.ru/profile/571020162580")</f>
        <v>https://ok.ru/profile/571020162580</v>
      </c>
      <c r="Q919">
        <v>5990</v>
      </c>
      <c r="R919" t="s">
        <v>124</v>
      </c>
      <c r="S919" t="s">
        <v>125</v>
      </c>
      <c r="T919" t="s">
        <v>627</v>
      </c>
      <c r="U919" t="s">
        <v>1112</v>
      </c>
      <c r="W919">
        <v>2</v>
      </c>
      <c r="X919">
        <v>2</v>
      </c>
      <c r="AM919" t="s">
        <v>129</v>
      </c>
      <c r="AN919" t="s">
        <v>130</v>
      </c>
      <c r="AP919" t="s">
        <v>41</v>
      </c>
      <c r="AT919" t="s">
        <v>45</v>
      </c>
      <c r="AZ919" t="s">
        <v>51</v>
      </c>
      <c r="BC919" t="s">
        <v>54</v>
      </c>
    </row>
    <row r="920" spans="1:69" x14ac:dyDescent="0.2">
      <c r="A920" t="s">
        <v>3312</v>
      </c>
      <c r="B920" t="s">
        <v>2217</v>
      </c>
      <c r="C920" t="s">
        <v>3564</v>
      </c>
      <c r="D920" t="s">
        <v>3565</v>
      </c>
      <c r="E920" t="s">
        <v>3566</v>
      </c>
      <c r="F920" t="s">
        <v>118</v>
      </c>
      <c r="G920" t="str">
        <f>HYPERLINK("https://telegram.me/aboutleprice/8137")</f>
        <v>https://telegram.me/aboutleprice/8137</v>
      </c>
      <c r="H920" t="s">
        <v>119</v>
      </c>
      <c r="I920" t="s">
        <v>3567</v>
      </c>
      <c r="J920" t="str">
        <f>HYPERLINK("https://telegram.me/militarist621")</f>
        <v>https://telegram.me/militarist621</v>
      </c>
      <c r="N920" t="s">
        <v>143</v>
      </c>
      <c r="O920" t="s">
        <v>3568</v>
      </c>
      <c r="P920" t="str">
        <f>HYPERLINK("https://telegram.me/aboutleprice")</f>
        <v>https://telegram.me/aboutleprice</v>
      </c>
      <c r="Q920">
        <v>548</v>
      </c>
      <c r="R920" t="s">
        <v>145</v>
      </c>
      <c r="AM920" t="s">
        <v>129</v>
      </c>
      <c r="AN920" t="s">
        <v>130</v>
      </c>
      <c r="AP920" t="s">
        <v>41</v>
      </c>
      <c r="AZ920" t="s">
        <v>51</v>
      </c>
      <c r="BA920" t="s">
        <v>52</v>
      </c>
      <c r="BM920" t="s">
        <v>64</v>
      </c>
    </row>
    <row r="921" spans="1:69" x14ac:dyDescent="0.2">
      <c r="A921" t="s">
        <v>3312</v>
      </c>
      <c r="B921" t="s">
        <v>3569</v>
      </c>
      <c r="C921" t="s">
        <v>3570</v>
      </c>
      <c r="D921" t="s">
        <v>1568</v>
      </c>
      <c r="E921" t="s">
        <v>3571</v>
      </c>
      <c r="F921" t="s">
        <v>118</v>
      </c>
      <c r="G921" t="str">
        <f>HYPERLINK("https://irecommend.ru/content/bolshoi-otzyv-posle-10-let-ispolzovaniya-k-chemu-nado-byt-gotovym-pri-podklyuchenii-k-trikol#comment-24182215")</f>
        <v>https://irecommend.ru/content/bolshoi-otzyv-posle-10-let-ispolzovaniya-k-chemu-nado-byt-gotovym-pri-podklyuchenii-k-trikol#comment-24182215</v>
      </c>
      <c r="H921" t="s">
        <v>228</v>
      </c>
      <c r="I921" t="s">
        <v>3572</v>
      </c>
      <c r="J921" t="str">
        <f>HYPERLINK("https://irecommend.ru/users/tokarevatok")</f>
        <v>https://irecommend.ru/users/tokarevatok</v>
      </c>
      <c r="N921" t="s">
        <v>1571</v>
      </c>
      <c r="O921" t="s">
        <v>1568</v>
      </c>
      <c r="P921" t="str">
        <f>HYPERLINK("https://irecommend.ru/content/sputnikovoe-televidenie-trikolortv")</f>
        <v>https://irecommend.ru/content/sputnikovoe-televidenie-trikolortv</v>
      </c>
      <c r="R921" t="s">
        <v>184</v>
      </c>
      <c r="S921" t="s">
        <v>125</v>
      </c>
      <c r="AM921" t="s">
        <v>129</v>
      </c>
      <c r="AN921" t="s">
        <v>130</v>
      </c>
      <c r="AP921" t="s">
        <v>41</v>
      </c>
      <c r="AX921" t="s">
        <v>49</v>
      </c>
      <c r="AY921" t="s">
        <v>50</v>
      </c>
      <c r="AZ921" t="s">
        <v>51</v>
      </c>
      <c r="BA921" t="s">
        <v>52</v>
      </c>
    </row>
    <row r="922" spans="1:69" x14ac:dyDescent="0.2">
      <c r="A922" t="s">
        <v>3312</v>
      </c>
      <c r="B922" t="s">
        <v>3573</v>
      </c>
      <c r="C922" t="s">
        <v>3574</v>
      </c>
      <c r="D922" t="s">
        <v>3575</v>
      </c>
      <c r="E922" t="s">
        <v>3576</v>
      </c>
      <c r="F922" t="s">
        <v>118</v>
      </c>
      <c r="G922" t="str">
        <f>HYPERLINK("https://vk.com/wall-47981464_2270312?reply=2270700&amp;thread=2270680")</f>
        <v>https://vk.com/wall-47981464_2270312?reply=2270700&amp;thread=2270680</v>
      </c>
      <c r="H922" t="s">
        <v>119</v>
      </c>
      <c r="I922" t="s">
        <v>3577</v>
      </c>
      <c r="J922" t="str">
        <f>HYPERLINK("http://vk.com/id299498773")</f>
        <v>http://vk.com/id299498773</v>
      </c>
      <c r="K922">
        <v>5</v>
      </c>
      <c r="L922" t="s">
        <v>151</v>
      </c>
      <c r="N922" t="s">
        <v>122</v>
      </c>
      <c r="O922" t="s">
        <v>3578</v>
      </c>
      <c r="P922" t="str">
        <f>HYPERLINK("http://vk.com/club47981464")</f>
        <v>http://vk.com/club47981464</v>
      </c>
      <c r="Q922">
        <v>21587</v>
      </c>
      <c r="R922" t="s">
        <v>124</v>
      </c>
      <c r="S922" t="s">
        <v>125</v>
      </c>
      <c r="T922" t="s">
        <v>153</v>
      </c>
      <c r="U922" t="s">
        <v>3579</v>
      </c>
      <c r="AM922" t="s">
        <v>129</v>
      </c>
      <c r="AN922" t="s">
        <v>130</v>
      </c>
      <c r="AP922" t="s">
        <v>41</v>
      </c>
      <c r="AZ922" t="s">
        <v>51</v>
      </c>
      <c r="BA922" t="s">
        <v>52</v>
      </c>
      <c r="BM922" t="s">
        <v>64</v>
      </c>
    </row>
    <row r="923" spans="1:69" x14ac:dyDescent="0.2">
      <c r="A923" t="s">
        <v>3312</v>
      </c>
      <c r="B923" t="s">
        <v>3573</v>
      </c>
      <c r="C923" t="s">
        <v>3574</v>
      </c>
      <c r="D923" t="s">
        <v>3580</v>
      </c>
      <c r="E923" t="s">
        <v>3581</v>
      </c>
      <c r="F923" t="s">
        <v>118</v>
      </c>
      <c r="G923" t="str">
        <f>HYPERLINK("https://vk.com/wall-104292825_852703?reply=853335")</f>
        <v>https://vk.com/wall-104292825_852703?reply=853335</v>
      </c>
      <c r="H923" t="s">
        <v>119</v>
      </c>
      <c r="I923" t="s">
        <v>3582</v>
      </c>
      <c r="J923" t="str">
        <f>HYPERLINK("http://vk.com/id563528062")</f>
        <v>http://vk.com/id563528062</v>
      </c>
      <c r="K923">
        <v>0</v>
      </c>
      <c r="L923" t="s">
        <v>151</v>
      </c>
      <c r="M923">
        <v>31</v>
      </c>
      <c r="N923" t="s">
        <v>122</v>
      </c>
      <c r="O923" t="s">
        <v>3583</v>
      </c>
      <c r="P923" t="str">
        <f>HYPERLINK("http://vk.com/club104292825")</f>
        <v>http://vk.com/club104292825</v>
      </c>
      <c r="Q923">
        <v>27863</v>
      </c>
      <c r="R923" t="s">
        <v>124</v>
      </c>
      <c r="S923" t="s">
        <v>125</v>
      </c>
      <c r="T923" t="s">
        <v>627</v>
      </c>
      <c r="U923" t="s">
        <v>3584</v>
      </c>
      <c r="AM923" t="s">
        <v>129</v>
      </c>
      <c r="AN923" t="s">
        <v>130</v>
      </c>
      <c r="AP923" t="s">
        <v>41</v>
      </c>
      <c r="AT923" t="s">
        <v>45</v>
      </c>
      <c r="AZ923" t="s">
        <v>51</v>
      </c>
      <c r="BA923" t="s">
        <v>52</v>
      </c>
      <c r="BM923" t="s">
        <v>64</v>
      </c>
    </row>
    <row r="924" spans="1:69" x14ac:dyDescent="0.2">
      <c r="A924" t="s">
        <v>3312</v>
      </c>
      <c r="B924" t="s">
        <v>3585</v>
      </c>
      <c r="C924" t="s">
        <v>3586</v>
      </c>
      <c r="D924" t="s">
        <v>204</v>
      </c>
      <c r="E924" t="s">
        <v>3587</v>
      </c>
      <c r="F924" t="s">
        <v>180</v>
      </c>
      <c r="G924" t="str">
        <f>HYPERLINK("https://play.google.com/store/apps/details?id=ru.iflex.android.a3colortv&amp;reviewId=gp:AOqpTOE_fGF99za-TojaR9zuo0mhgRcyxWWEBvT_Z_CIf3mf2LqLgZ0tapeAq3FHHKbV8UvmQPMZjCLcAzRYgQ")</f>
        <v>https://play.google.com/store/apps/details?id=ru.iflex.android.a3colortv&amp;reviewId=gp:AOqpTOE_fGF99za-TojaR9zuo0mhgRcyxWWEBvT_Z_CIf3mf2LqLgZ0tapeAq3FHHKbV8UvmQPMZjCLcAzRYgQ</v>
      </c>
      <c r="H924" t="s">
        <v>181</v>
      </c>
      <c r="I924" t="s">
        <v>3588</v>
      </c>
      <c r="J924" t="str">
        <f>HYPERLINK("https://plus.google.com/115781388536345022679")</f>
        <v>https://plus.google.com/115781388536345022679</v>
      </c>
      <c r="L924" t="s">
        <v>121</v>
      </c>
      <c r="N924" t="s">
        <v>207</v>
      </c>
      <c r="O924" t="s">
        <v>204</v>
      </c>
      <c r="P924" t="str">
        <f>HYPERLINK("https://play.google.com/store/apps/details?id=ru.iflex.android.a3colortv&amp;hl=ru")</f>
        <v>https://play.google.com/store/apps/details?id=ru.iflex.android.a3colortv&amp;hl=ru</v>
      </c>
      <c r="R924" t="s">
        <v>184</v>
      </c>
      <c r="S924" t="s">
        <v>125</v>
      </c>
      <c r="W924">
        <v>0</v>
      </c>
      <c r="X924">
        <v>0</v>
      </c>
      <c r="AH924">
        <v>5</v>
      </c>
      <c r="AM924" t="s">
        <v>129</v>
      </c>
      <c r="AN924" t="s">
        <v>130</v>
      </c>
      <c r="AP924" t="s">
        <v>41</v>
      </c>
      <c r="AY924" t="s">
        <v>50</v>
      </c>
      <c r="AZ924" t="s">
        <v>51</v>
      </c>
      <c r="BA924" t="s">
        <v>52</v>
      </c>
    </row>
    <row r="925" spans="1:69" x14ac:dyDescent="0.2">
      <c r="A925" t="s">
        <v>3312</v>
      </c>
      <c r="B925" t="s">
        <v>3589</v>
      </c>
      <c r="C925" t="s">
        <v>3590</v>
      </c>
      <c r="D925" t="s">
        <v>1398</v>
      </c>
      <c r="E925" t="s">
        <v>3591</v>
      </c>
      <c r="F925" t="s">
        <v>180</v>
      </c>
      <c r="G925" t="str">
        <f>HYPERLINK("https://market.yandex.ru/product/663093307/reviews?id=135168507")</f>
        <v>https://market.yandex.ru/product/663093307/reviews?id=135168507</v>
      </c>
      <c r="H925" t="s">
        <v>119</v>
      </c>
      <c r="I925" t="s">
        <v>3592</v>
      </c>
      <c r="J925" t="str">
        <f>HYPERLINK("https://market.yandex.ru/user/kbnchgu4afh72ad9euu4gku220/reviews")</f>
        <v>https://market.yandex.ru/user/kbnchgu4afh72ad9euu4gku220/reviews</v>
      </c>
      <c r="L925" t="s">
        <v>121</v>
      </c>
      <c r="N925" t="s">
        <v>611</v>
      </c>
      <c r="O925" t="s">
        <v>1398</v>
      </c>
      <c r="P925" t="str">
        <f>HYPERLINK("https://market.yandex.ru/product/663093307")</f>
        <v>https://market.yandex.ru/product/663093307</v>
      </c>
      <c r="R925" t="s">
        <v>184</v>
      </c>
      <c r="S925" t="s">
        <v>125</v>
      </c>
      <c r="T925" t="s">
        <v>169</v>
      </c>
      <c r="U925" t="s">
        <v>169</v>
      </c>
      <c r="W925">
        <v>0</v>
      </c>
      <c r="X925">
        <v>0</v>
      </c>
      <c r="AH925">
        <v>2</v>
      </c>
      <c r="AM925" t="s">
        <v>129</v>
      </c>
      <c r="AN925" t="s">
        <v>130</v>
      </c>
      <c r="AP925" t="s">
        <v>41</v>
      </c>
      <c r="AW925" t="s">
        <v>48</v>
      </c>
      <c r="AZ925" t="s">
        <v>51</v>
      </c>
      <c r="BB925" t="s">
        <v>53</v>
      </c>
      <c r="BL925" t="s">
        <v>63</v>
      </c>
    </row>
    <row r="926" spans="1:69" x14ac:dyDescent="0.2">
      <c r="A926" t="s">
        <v>3312</v>
      </c>
      <c r="B926" t="s">
        <v>3593</v>
      </c>
      <c r="C926" t="s">
        <v>3594</v>
      </c>
      <c r="D926" t="s">
        <v>1568</v>
      </c>
      <c r="E926" t="s">
        <v>3595</v>
      </c>
      <c r="F926" t="s">
        <v>118</v>
      </c>
      <c r="G926" t="str">
        <f>HYPERLINK("https://irecommend.ru/content/bolshoi-otzyv-posle-10-let-ispolzovaniya-k-chemu-nado-byt-gotovym-pri-podklyuchenii-k-trikol#comment-24181801")</f>
        <v>https://irecommend.ru/content/bolshoi-otzyv-posle-10-let-ispolzovaniya-k-chemu-nado-byt-gotovym-pri-podklyuchenii-k-trikol#comment-24181801</v>
      </c>
      <c r="H926" t="s">
        <v>119</v>
      </c>
      <c r="I926" t="s">
        <v>3596</v>
      </c>
      <c r="J926" t="str">
        <f>HYPERLINK("https://irecommend.ru/users/wow-chernika")</f>
        <v>https://irecommend.ru/users/wow-chernika</v>
      </c>
      <c r="N926" t="s">
        <v>1571</v>
      </c>
      <c r="O926" t="s">
        <v>1568</v>
      </c>
      <c r="P926" t="str">
        <f>HYPERLINK("https://irecommend.ru/content/sputnikovoe-televidenie-trikolortv")</f>
        <v>https://irecommend.ru/content/sputnikovoe-televidenie-trikolortv</v>
      </c>
      <c r="R926" t="s">
        <v>184</v>
      </c>
      <c r="S926" t="s">
        <v>125</v>
      </c>
      <c r="AM926" t="s">
        <v>129</v>
      </c>
      <c r="AN926" t="s">
        <v>130</v>
      </c>
      <c r="AP926" t="s">
        <v>41</v>
      </c>
      <c r="AZ926" t="s">
        <v>51</v>
      </c>
      <c r="BA926" t="s">
        <v>52</v>
      </c>
    </row>
    <row r="927" spans="1:69" x14ac:dyDescent="0.2">
      <c r="A927" t="s">
        <v>3597</v>
      </c>
      <c r="B927" t="s">
        <v>138</v>
      </c>
      <c r="C927" t="s">
        <v>3598</v>
      </c>
      <c r="D927" t="s">
        <v>3599</v>
      </c>
      <c r="E927" t="s">
        <v>3600</v>
      </c>
      <c r="F927" t="s">
        <v>118</v>
      </c>
      <c r="G927" t="str">
        <f>HYPERLINK("https://vk.com/wall-16413643_816415?reply=816433&amp;thread=816427")</f>
        <v>https://vk.com/wall-16413643_816415?reply=816433&amp;thread=816427</v>
      </c>
      <c r="H927" t="s">
        <v>119</v>
      </c>
      <c r="I927" t="s">
        <v>3601</v>
      </c>
      <c r="J927" t="str">
        <f>HYPERLINK("http://vk.com/id133237773")</f>
        <v>http://vk.com/id133237773</v>
      </c>
      <c r="K927">
        <v>315</v>
      </c>
      <c r="L927" t="s">
        <v>151</v>
      </c>
      <c r="M927">
        <v>57</v>
      </c>
      <c r="N927" t="s">
        <v>122</v>
      </c>
      <c r="O927" t="s">
        <v>2322</v>
      </c>
      <c r="P927" t="str">
        <f>HYPERLINK("http://vk.com/club16413643")</f>
        <v>http://vk.com/club16413643</v>
      </c>
      <c r="Q927">
        <v>23561</v>
      </c>
      <c r="R927" t="s">
        <v>124</v>
      </c>
      <c r="S927" t="s">
        <v>125</v>
      </c>
      <c r="AM927" t="s">
        <v>129</v>
      </c>
      <c r="AN927" t="s">
        <v>130</v>
      </c>
      <c r="AP927" t="s">
        <v>41</v>
      </c>
      <c r="AZ927" t="s">
        <v>51</v>
      </c>
      <c r="BA927" t="s">
        <v>52</v>
      </c>
      <c r="BL927" t="s">
        <v>63</v>
      </c>
    </row>
    <row r="928" spans="1:69" x14ac:dyDescent="0.2">
      <c r="A928" t="s">
        <v>3597</v>
      </c>
      <c r="B928" t="s">
        <v>1247</v>
      </c>
      <c r="C928" t="s">
        <v>3602</v>
      </c>
      <c r="D928" t="s">
        <v>3603</v>
      </c>
      <c r="E928" t="s">
        <v>3604</v>
      </c>
      <c r="F928" t="s">
        <v>180</v>
      </c>
      <c r="G928" t="str">
        <f>HYPERLINK("https://www.ozon.ru/context/detail/id/240959108/#61832805")</f>
        <v>https://www.ozon.ru/context/detail/id/240959108/#61832805</v>
      </c>
      <c r="H928" t="s">
        <v>181</v>
      </c>
      <c r="I928" t="s">
        <v>3605</v>
      </c>
      <c r="J928" t="str">
        <f>HYPERLINK("https://www.ozon.ru/context/client_opinion/ClientGuid/e4b76a96-e637-4083-a1b5-274260f5e8f1/")</f>
        <v>https://www.ozon.ru/context/client_opinion/ClientGuid/e4b76a96-e637-4083-a1b5-274260f5e8f1/</v>
      </c>
      <c r="L928" t="s">
        <v>121</v>
      </c>
      <c r="N928" t="s">
        <v>183</v>
      </c>
      <c r="O928" t="s">
        <v>3603</v>
      </c>
      <c r="P928" t="str">
        <f>HYPERLINK("https://www.ozon.ru/context/detail/id/240959108/")</f>
        <v>https://www.ozon.ru/context/detail/id/240959108/</v>
      </c>
      <c r="R928" t="s">
        <v>184</v>
      </c>
      <c r="S928" t="s">
        <v>125</v>
      </c>
      <c r="W928">
        <v>0</v>
      </c>
      <c r="X928">
        <v>0</v>
      </c>
      <c r="AH928">
        <v>5</v>
      </c>
      <c r="AM928" t="s">
        <v>129</v>
      </c>
      <c r="AN928" t="s">
        <v>130</v>
      </c>
      <c r="AP928" t="s">
        <v>41</v>
      </c>
      <c r="AZ928" t="s">
        <v>51</v>
      </c>
      <c r="BA928" t="s">
        <v>52</v>
      </c>
      <c r="BK928" t="s">
        <v>62</v>
      </c>
      <c r="BL928" t="s">
        <v>63</v>
      </c>
    </row>
    <row r="929" spans="1:69" x14ac:dyDescent="0.2">
      <c r="A929" t="s">
        <v>3597</v>
      </c>
      <c r="B929" t="s">
        <v>3606</v>
      </c>
      <c r="C929" t="s">
        <v>3607</v>
      </c>
      <c r="D929" t="s">
        <v>3599</v>
      </c>
      <c r="E929" t="s">
        <v>3608</v>
      </c>
      <c r="F929" t="s">
        <v>118</v>
      </c>
      <c r="G929" t="str">
        <f>HYPERLINK("https://vk.com/wall-16413643_816415?reply=816431&amp;thread=816427")</f>
        <v>https://vk.com/wall-16413643_816415?reply=816431&amp;thread=816427</v>
      </c>
      <c r="H929" t="s">
        <v>119</v>
      </c>
      <c r="I929" t="s">
        <v>3609</v>
      </c>
      <c r="J929" t="str">
        <f>HYPERLINK("http://vk.com/id408891698")</f>
        <v>http://vk.com/id408891698</v>
      </c>
      <c r="K929">
        <v>168</v>
      </c>
      <c r="L929" t="s">
        <v>151</v>
      </c>
      <c r="N929" t="s">
        <v>122</v>
      </c>
      <c r="O929" t="s">
        <v>2322</v>
      </c>
      <c r="P929" t="str">
        <f>HYPERLINK("http://vk.com/club16413643")</f>
        <v>http://vk.com/club16413643</v>
      </c>
      <c r="Q929">
        <v>23561</v>
      </c>
      <c r="R929" t="s">
        <v>124</v>
      </c>
      <c r="S929" t="s">
        <v>125</v>
      </c>
      <c r="T929" t="s">
        <v>570</v>
      </c>
      <c r="U929" t="s">
        <v>2323</v>
      </c>
      <c r="AM929" t="s">
        <v>129</v>
      </c>
      <c r="AN929" t="s">
        <v>130</v>
      </c>
      <c r="AP929" t="s">
        <v>41</v>
      </c>
      <c r="AZ929" t="s">
        <v>51</v>
      </c>
      <c r="BA929" t="s">
        <v>52</v>
      </c>
      <c r="BL929" t="s">
        <v>63</v>
      </c>
    </row>
    <row r="930" spans="1:69" x14ac:dyDescent="0.2">
      <c r="A930" t="s">
        <v>3597</v>
      </c>
      <c r="B930" t="s">
        <v>2869</v>
      </c>
      <c r="C930" t="s">
        <v>3610</v>
      </c>
      <c r="D930" t="s">
        <v>2496</v>
      </c>
      <c r="E930" t="s">
        <v>3611</v>
      </c>
      <c r="F930" t="s">
        <v>180</v>
      </c>
      <c r="G930" t="str">
        <f>HYPERLINK("https://www.wildberries.ru/catalog/28310444/detail.aspx?targetUrl=ES#Comments")</f>
        <v>https://www.wildberries.ru/catalog/28310444/detail.aspx?targetUrl=ES#Comments</v>
      </c>
      <c r="H930" t="s">
        <v>119</v>
      </c>
      <c r="I930" t="s">
        <v>3612</v>
      </c>
      <c r="J930" t="str">
        <f>HYPERLINK("https://www.wildberries.ru/profile/w7TDssOkw7PCu8KzwrbCs8K0wrDCs8Kxwrc=")</f>
        <v>https://www.wildberries.ru/profile/w7TDssOkw7PCu8KzwrbCs8K0wrDCs8Kxwrc=</v>
      </c>
      <c r="L930" t="s">
        <v>151</v>
      </c>
      <c r="N930" t="s">
        <v>534</v>
      </c>
      <c r="O930" t="s">
        <v>2496</v>
      </c>
      <c r="P930" t="str">
        <f>HYPERLINK("https://www.wildberries.ru/catalog/20794204/detail.aspx")</f>
        <v>https://www.wildberries.ru/catalog/20794204/detail.aspx</v>
      </c>
      <c r="R930" t="s">
        <v>184</v>
      </c>
      <c r="S930" t="s">
        <v>125</v>
      </c>
      <c r="W930">
        <v>0</v>
      </c>
      <c r="X930">
        <v>0</v>
      </c>
      <c r="AH930">
        <v>1</v>
      </c>
      <c r="AM930" t="s">
        <v>129</v>
      </c>
      <c r="AN930" t="s">
        <v>130</v>
      </c>
      <c r="AP930" t="s">
        <v>41</v>
      </c>
      <c r="AZ930" t="s">
        <v>51</v>
      </c>
      <c r="BA930" t="s">
        <v>52</v>
      </c>
      <c r="BK930" t="s">
        <v>62</v>
      </c>
      <c r="BL930" t="s">
        <v>63</v>
      </c>
    </row>
    <row r="931" spans="1:69" x14ac:dyDescent="0.2">
      <c r="A931" t="s">
        <v>3597</v>
      </c>
      <c r="B931" t="s">
        <v>3613</v>
      </c>
      <c r="C931" t="s">
        <v>3614</v>
      </c>
      <c r="D931" t="s">
        <v>204</v>
      </c>
      <c r="E931" t="s">
        <v>3615</v>
      </c>
      <c r="F931" t="s">
        <v>180</v>
      </c>
      <c r="G931" t="str">
        <f>HYPERLINK("https://play.google.com/store/apps/details?id=ru.iflex.android.a3colortv&amp;reviewId=gp:AOqpTOH4LvLS8ztkpzfDyjlhKwDExiPmOdQF5UZNoz0CdjISJyRMgJKe6RtiVwtdiOqcqEGYqOMwRuX-0vuLhQ")</f>
        <v>https://play.google.com/store/apps/details?id=ru.iflex.android.a3colortv&amp;reviewId=gp:AOqpTOH4LvLS8ztkpzfDyjlhKwDExiPmOdQF5UZNoz0CdjISJyRMgJKe6RtiVwtdiOqcqEGYqOMwRuX-0vuLhQ</v>
      </c>
      <c r="H931" t="s">
        <v>228</v>
      </c>
      <c r="I931" t="s">
        <v>3616</v>
      </c>
      <c r="J931" t="str">
        <f>HYPERLINK("https://plus.google.com/103850447600028495390")</f>
        <v>https://plus.google.com/103850447600028495390</v>
      </c>
      <c r="L931" t="s">
        <v>121</v>
      </c>
      <c r="N931" t="s">
        <v>207</v>
      </c>
      <c r="O931" t="s">
        <v>204</v>
      </c>
      <c r="P931" t="str">
        <f>HYPERLINK("https://play.google.com/store/apps/details?id=ru.iflex.android.a3colortv&amp;hl=ru")</f>
        <v>https://play.google.com/store/apps/details?id=ru.iflex.android.a3colortv&amp;hl=ru</v>
      </c>
      <c r="R931" t="s">
        <v>184</v>
      </c>
      <c r="S931" t="s">
        <v>125</v>
      </c>
      <c r="W931">
        <v>0</v>
      </c>
      <c r="X931">
        <v>0</v>
      </c>
      <c r="AH931">
        <v>1</v>
      </c>
      <c r="AM931" t="s">
        <v>129</v>
      </c>
      <c r="AN931" t="s">
        <v>130</v>
      </c>
      <c r="AP931" t="s">
        <v>41</v>
      </c>
      <c r="AZ931" t="s">
        <v>51</v>
      </c>
      <c r="BA931" t="s">
        <v>52</v>
      </c>
      <c r="BQ931" t="s">
        <v>68</v>
      </c>
    </row>
    <row r="932" spans="1:69" x14ac:dyDescent="0.2">
      <c r="A932" t="s">
        <v>3597</v>
      </c>
      <c r="B932" t="s">
        <v>1261</v>
      </c>
      <c r="C932" t="s">
        <v>3617</v>
      </c>
      <c r="D932" t="s">
        <v>3599</v>
      </c>
      <c r="E932" t="s">
        <v>3618</v>
      </c>
      <c r="F932" t="s">
        <v>118</v>
      </c>
      <c r="G932" t="str">
        <f>HYPERLINK("https://vk.com/wall-16413643_816415?reply=816427")</f>
        <v>https://vk.com/wall-16413643_816415?reply=816427</v>
      </c>
      <c r="H932" t="s">
        <v>119</v>
      </c>
      <c r="I932" t="s">
        <v>3601</v>
      </c>
      <c r="J932" t="str">
        <f>HYPERLINK("http://vk.com/id133237773")</f>
        <v>http://vk.com/id133237773</v>
      </c>
      <c r="K932">
        <v>315</v>
      </c>
      <c r="L932" t="s">
        <v>151</v>
      </c>
      <c r="M932">
        <v>57</v>
      </c>
      <c r="N932" t="s">
        <v>122</v>
      </c>
      <c r="O932" t="s">
        <v>2322</v>
      </c>
      <c r="P932" t="str">
        <f>HYPERLINK("http://vk.com/club16413643")</f>
        <v>http://vk.com/club16413643</v>
      </c>
      <c r="Q932">
        <v>23561</v>
      </c>
      <c r="R932" t="s">
        <v>124</v>
      </c>
      <c r="S932" t="s">
        <v>125</v>
      </c>
      <c r="AM932" t="s">
        <v>129</v>
      </c>
      <c r="AN932" t="s">
        <v>130</v>
      </c>
      <c r="AP932" t="s">
        <v>41</v>
      </c>
      <c r="AZ932" t="s">
        <v>51</v>
      </c>
      <c r="BA932" t="s">
        <v>52</v>
      </c>
      <c r="BL932" t="s">
        <v>63</v>
      </c>
    </row>
    <row r="933" spans="1:69" x14ac:dyDescent="0.2">
      <c r="A933" t="s">
        <v>3597</v>
      </c>
      <c r="B933" t="s">
        <v>791</v>
      </c>
      <c r="C933" t="s">
        <v>3619</v>
      </c>
      <c r="D933" t="s">
        <v>3620</v>
      </c>
      <c r="E933" t="s">
        <v>3621</v>
      </c>
      <c r="F933" t="s">
        <v>118</v>
      </c>
      <c r="G933" t="str">
        <f>HYPERLINK("https://www.youtube.com/watch?v=_D3BAuRnOHk&amp;lc=UgzYvWAI0uSLh8AdikR4AaABAg")</f>
        <v>https://www.youtube.com/watch?v=_D3BAuRnOHk&amp;lc=UgzYvWAI0uSLh8AdikR4AaABAg</v>
      </c>
      <c r="H933" t="s">
        <v>119</v>
      </c>
      <c r="I933" t="s">
        <v>3622</v>
      </c>
      <c r="J933" t="str">
        <f>HYPERLINK("https://www.youtube.com/channel/UC52dIELJ9nX-M3_e68VeI9w")</f>
        <v>https://www.youtube.com/channel/UC52dIELJ9nX-M3_e68VeI9w</v>
      </c>
      <c r="K933">
        <v>0</v>
      </c>
      <c r="L933" t="s">
        <v>121</v>
      </c>
      <c r="N933" t="s">
        <v>248</v>
      </c>
      <c r="O933" t="s">
        <v>3623</v>
      </c>
      <c r="P933" t="str">
        <f>HYPERLINK("https://www.youtube.com/channel/UCu4f9p4p18Gc0z70fbu5ajQ")</f>
        <v>https://www.youtube.com/channel/UCu4f9p4p18Gc0z70fbu5ajQ</v>
      </c>
      <c r="Q933">
        <v>1250</v>
      </c>
      <c r="R933" t="s">
        <v>124</v>
      </c>
      <c r="S933" t="s">
        <v>125</v>
      </c>
      <c r="W933">
        <v>0</v>
      </c>
      <c r="X933">
        <v>0</v>
      </c>
      <c r="AE933">
        <v>0</v>
      </c>
      <c r="AM933" t="s">
        <v>129</v>
      </c>
      <c r="AN933" t="s">
        <v>130</v>
      </c>
      <c r="AP933" t="s">
        <v>41</v>
      </c>
      <c r="AZ933" t="s">
        <v>51</v>
      </c>
      <c r="BA933" t="s">
        <v>52</v>
      </c>
      <c r="BL933" t="s">
        <v>63</v>
      </c>
    </row>
    <row r="934" spans="1:69" x14ac:dyDescent="0.2">
      <c r="A934" t="s">
        <v>3597</v>
      </c>
      <c r="B934" t="s">
        <v>3624</v>
      </c>
      <c r="C934" t="s">
        <v>3625</v>
      </c>
      <c r="D934" t="s">
        <v>3626</v>
      </c>
      <c r="E934" t="s">
        <v>3627</v>
      </c>
      <c r="F934" t="s">
        <v>118</v>
      </c>
      <c r="G934" t="str">
        <f>HYPERLINK("https://vk.com/wall-69240415_127398?reply=127422")</f>
        <v>https://vk.com/wall-69240415_127398?reply=127422</v>
      </c>
      <c r="H934" t="s">
        <v>228</v>
      </c>
      <c r="I934" t="s">
        <v>3628</v>
      </c>
      <c r="J934" t="str">
        <f>HYPERLINK("http://vk.com/id316029")</f>
        <v>http://vk.com/id316029</v>
      </c>
      <c r="K934">
        <v>351</v>
      </c>
      <c r="L934" t="s">
        <v>121</v>
      </c>
      <c r="N934" t="s">
        <v>122</v>
      </c>
      <c r="O934" t="s">
        <v>3629</v>
      </c>
      <c r="P934" t="str">
        <f>HYPERLINK("http://vk.com/club69240415")</f>
        <v>http://vk.com/club69240415</v>
      </c>
      <c r="Q934">
        <v>8097</v>
      </c>
      <c r="R934" t="s">
        <v>124</v>
      </c>
      <c r="S934" t="s">
        <v>125</v>
      </c>
      <c r="T934" t="s">
        <v>137</v>
      </c>
      <c r="U934" t="s">
        <v>137</v>
      </c>
      <c r="AM934" t="s">
        <v>129</v>
      </c>
      <c r="AN934" t="s">
        <v>130</v>
      </c>
      <c r="AP934" t="s">
        <v>41</v>
      </c>
      <c r="AW934" t="s">
        <v>48</v>
      </c>
      <c r="AZ934" t="s">
        <v>51</v>
      </c>
      <c r="BA934" t="s">
        <v>52</v>
      </c>
    </row>
    <row r="935" spans="1:69" x14ac:dyDescent="0.2">
      <c r="A935" t="s">
        <v>3597</v>
      </c>
      <c r="B935" t="s">
        <v>1879</v>
      </c>
      <c r="C935" t="s">
        <v>3630</v>
      </c>
      <c r="D935" t="s">
        <v>129</v>
      </c>
      <c r="E935" t="s">
        <v>3631</v>
      </c>
      <c r="F935" t="s">
        <v>180</v>
      </c>
      <c r="G935" t="str">
        <f>HYPERLINK("https://vk.com/wall-16413643_816415")</f>
        <v>https://vk.com/wall-16413643_816415</v>
      </c>
      <c r="H935" t="s">
        <v>119</v>
      </c>
      <c r="I935" t="s">
        <v>3609</v>
      </c>
      <c r="J935" t="str">
        <f>HYPERLINK("http://vk.com/id408891698")</f>
        <v>http://vk.com/id408891698</v>
      </c>
      <c r="K935">
        <v>168</v>
      </c>
      <c r="L935" t="s">
        <v>151</v>
      </c>
      <c r="N935" t="s">
        <v>122</v>
      </c>
      <c r="O935" t="s">
        <v>2322</v>
      </c>
      <c r="P935" t="str">
        <f>HYPERLINK("http://vk.com/club16413643")</f>
        <v>http://vk.com/club16413643</v>
      </c>
      <c r="Q935">
        <v>23561</v>
      </c>
      <c r="R935" t="s">
        <v>124</v>
      </c>
      <c r="S935" t="s">
        <v>125</v>
      </c>
      <c r="T935" t="s">
        <v>570</v>
      </c>
      <c r="U935" t="s">
        <v>2323</v>
      </c>
      <c r="W935">
        <v>0</v>
      </c>
      <c r="X935">
        <v>0</v>
      </c>
      <c r="AE935">
        <v>4</v>
      </c>
      <c r="AF935">
        <v>1</v>
      </c>
      <c r="AM935" t="s">
        <v>129</v>
      </c>
      <c r="AN935" t="s">
        <v>130</v>
      </c>
      <c r="AP935" t="s">
        <v>41</v>
      </c>
      <c r="AW935" t="s">
        <v>48</v>
      </c>
      <c r="AZ935" t="s">
        <v>51</v>
      </c>
      <c r="BA935" t="s">
        <v>52</v>
      </c>
    </row>
    <row r="936" spans="1:69" x14ac:dyDescent="0.2">
      <c r="A936" t="s">
        <v>3597</v>
      </c>
      <c r="B936" t="s">
        <v>1317</v>
      </c>
      <c r="C936" t="s">
        <v>3632</v>
      </c>
      <c r="D936" t="s">
        <v>129</v>
      </c>
      <c r="E936" t="s">
        <v>3633</v>
      </c>
      <c r="F936" t="s">
        <v>180</v>
      </c>
      <c r="G936" t="str">
        <f>HYPERLINK("https://vk.com/wall-22935147_368659")</f>
        <v>https://vk.com/wall-22935147_368659</v>
      </c>
      <c r="H936" t="s">
        <v>119</v>
      </c>
      <c r="I936" t="s">
        <v>2603</v>
      </c>
      <c r="J936" t="str">
        <f>HYPERLINK("http://vk.com/id414299157")</f>
        <v>http://vk.com/id414299157</v>
      </c>
      <c r="K936">
        <v>1273</v>
      </c>
      <c r="L936" t="s">
        <v>121</v>
      </c>
      <c r="M936">
        <v>22</v>
      </c>
      <c r="N936" t="s">
        <v>122</v>
      </c>
      <c r="O936" t="s">
        <v>1093</v>
      </c>
      <c r="P936" t="str">
        <f>HYPERLINK("http://vk.com/club22935147")</f>
        <v>http://vk.com/club22935147</v>
      </c>
      <c r="Q936">
        <v>8943</v>
      </c>
      <c r="R936" t="s">
        <v>124</v>
      </c>
      <c r="S936" t="s">
        <v>125</v>
      </c>
      <c r="W936">
        <v>8</v>
      </c>
      <c r="X936">
        <v>8</v>
      </c>
      <c r="AE936">
        <v>1</v>
      </c>
      <c r="AF936">
        <v>0</v>
      </c>
      <c r="AG936">
        <v>2092</v>
      </c>
      <c r="AM936" t="s">
        <v>129</v>
      </c>
      <c r="AN936" t="s">
        <v>130</v>
      </c>
      <c r="AP936" t="s">
        <v>41</v>
      </c>
      <c r="AU936" t="s">
        <v>46</v>
      </c>
      <c r="AZ936" t="s">
        <v>51</v>
      </c>
      <c r="BA936" t="s">
        <v>52</v>
      </c>
    </row>
    <row r="937" spans="1:69" x14ac:dyDescent="0.2">
      <c r="A937" t="s">
        <v>3597</v>
      </c>
      <c r="B937" t="s">
        <v>3634</v>
      </c>
      <c r="C937" t="s">
        <v>3635</v>
      </c>
      <c r="D937" t="s">
        <v>129</v>
      </c>
      <c r="E937" t="s">
        <v>3636</v>
      </c>
      <c r="F937" t="s">
        <v>180</v>
      </c>
      <c r="G937" t="str">
        <f>HYPERLINK("https://twitter.com/300394362/status/1418999837924728835")</f>
        <v>https://twitter.com/300394362/status/1418999837924728835</v>
      </c>
      <c r="H937" t="s">
        <v>119</v>
      </c>
      <c r="I937" t="s">
        <v>3637</v>
      </c>
      <c r="J937" t="str">
        <f>HYPERLINK("http://twitter.com/lesnik87__")</f>
        <v>http://twitter.com/lesnik87__</v>
      </c>
      <c r="K937">
        <v>70</v>
      </c>
      <c r="N937" t="s">
        <v>350</v>
      </c>
      <c r="R937" t="s">
        <v>124</v>
      </c>
      <c r="S937" t="s">
        <v>125</v>
      </c>
      <c r="T937" t="s">
        <v>153</v>
      </c>
      <c r="U937" t="s">
        <v>3638</v>
      </c>
      <c r="W937">
        <v>0</v>
      </c>
      <c r="X937">
        <v>0</v>
      </c>
      <c r="AE937">
        <v>2</v>
      </c>
      <c r="AF937">
        <v>0</v>
      </c>
      <c r="AM937" t="s">
        <v>129</v>
      </c>
      <c r="AN937" t="s">
        <v>130</v>
      </c>
      <c r="AP937" t="s">
        <v>41</v>
      </c>
      <c r="AU937" t="s">
        <v>46</v>
      </c>
      <c r="AY937" t="s">
        <v>50</v>
      </c>
      <c r="AZ937" t="s">
        <v>51</v>
      </c>
      <c r="BA937" t="s">
        <v>52</v>
      </c>
    </row>
    <row r="938" spans="1:69" x14ac:dyDescent="0.2">
      <c r="A938" t="s">
        <v>3597</v>
      </c>
      <c r="B938" t="s">
        <v>220</v>
      </c>
      <c r="C938" t="s">
        <v>3639</v>
      </c>
      <c r="D938" t="s">
        <v>3640</v>
      </c>
      <c r="E938" t="s">
        <v>3641</v>
      </c>
      <c r="F938" t="s">
        <v>118</v>
      </c>
      <c r="G938" t="str">
        <f>HYPERLINK("https://vk.com/wall-22935147_367853?reply=368658&amp;thread=367863")</f>
        <v>https://vk.com/wall-22935147_367853?reply=368658&amp;thread=367863</v>
      </c>
      <c r="H938" t="s">
        <v>181</v>
      </c>
      <c r="I938" t="s">
        <v>3642</v>
      </c>
      <c r="J938" t="str">
        <f>HYPERLINK("http://vk.com/id130366507")</f>
        <v>http://vk.com/id130366507</v>
      </c>
      <c r="K938">
        <v>344</v>
      </c>
      <c r="L938" t="s">
        <v>151</v>
      </c>
      <c r="N938" t="s">
        <v>122</v>
      </c>
      <c r="O938" t="s">
        <v>1093</v>
      </c>
      <c r="P938" t="str">
        <f>HYPERLINK("http://vk.com/club22935147")</f>
        <v>http://vk.com/club22935147</v>
      </c>
      <c r="Q938">
        <v>8943</v>
      </c>
      <c r="R938" t="s">
        <v>124</v>
      </c>
      <c r="S938" t="s">
        <v>125</v>
      </c>
      <c r="T938" t="s">
        <v>169</v>
      </c>
      <c r="U938" t="s">
        <v>169</v>
      </c>
      <c r="AM938" t="s">
        <v>129</v>
      </c>
      <c r="AN938" t="s">
        <v>130</v>
      </c>
      <c r="AP938" t="s">
        <v>41</v>
      </c>
      <c r="AU938" t="s">
        <v>46</v>
      </c>
      <c r="AZ938" t="s">
        <v>51</v>
      </c>
      <c r="BA938" t="s">
        <v>52</v>
      </c>
    </row>
    <row r="939" spans="1:69" x14ac:dyDescent="0.2">
      <c r="A939" t="s">
        <v>3597</v>
      </c>
      <c r="B939" t="s">
        <v>2928</v>
      </c>
      <c r="C939" t="s">
        <v>3643</v>
      </c>
      <c r="D939" t="s">
        <v>3644</v>
      </c>
      <c r="E939" t="s">
        <v>3645</v>
      </c>
      <c r="F939" t="s">
        <v>118</v>
      </c>
      <c r="G939" t="str">
        <f>HYPERLINK("https://vk.com/wall-22935147_368652?reply=368657")</f>
        <v>https://vk.com/wall-22935147_368652?reply=368657</v>
      </c>
      <c r="H939" t="s">
        <v>119</v>
      </c>
      <c r="I939" t="s">
        <v>3646</v>
      </c>
      <c r="J939" t="str">
        <f>HYPERLINK("http://vk.com/id300363797")</f>
        <v>http://vk.com/id300363797</v>
      </c>
      <c r="K939">
        <v>279</v>
      </c>
      <c r="L939" t="s">
        <v>121</v>
      </c>
      <c r="N939" t="s">
        <v>122</v>
      </c>
      <c r="O939" t="s">
        <v>1093</v>
      </c>
      <c r="P939" t="str">
        <f>HYPERLINK("http://vk.com/club22935147")</f>
        <v>http://vk.com/club22935147</v>
      </c>
      <c r="Q939">
        <v>8943</v>
      </c>
      <c r="R939" t="s">
        <v>124</v>
      </c>
      <c r="S939" t="s">
        <v>125</v>
      </c>
      <c r="T939" t="s">
        <v>2566</v>
      </c>
      <c r="U939" t="s">
        <v>3647</v>
      </c>
      <c r="W939">
        <v>0</v>
      </c>
      <c r="X939">
        <v>0</v>
      </c>
      <c r="AM939" t="s">
        <v>129</v>
      </c>
      <c r="AN939" t="s">
        <v>130</v>
      </c>
      <c r="AP939" t="s">
        <v>41</v>
      </c>
      <c r="AU939" t="s">
        <v>46</v>
      </c>
      <c r="AZ939" t="s">
        <v>51</v>
      </c>
      <c r="BA939" t="s">
        <v>52</v>
      </c>
    </row>
    <row r="940" spans="1:69" x14ac:dyDescent="0.2">
      <c r="A940" t="s">
        <v>3597</v>
      </c>
      <c r="B940" t="s">
        <v>2363</v>
      </c>
      <c r="C940" t="s">
        <v>3648</v>
      </c>
      <c r="D940" t="s">
        <v>3649</v>
      </c>
      <c r="E940" t="s">
        <v>3650</v>
      </c>
      <c r="F940" t="s">
        <v>118</v>
      </c>
      <c r="G940" t="str">
        <f>HYPERLINK("https://vk.com/wall-22935147_368028?reply=368656&amp;thread=368041")</f>
        <v>https://vk.com/wall-22935147_368028?reply=368656&amp;thread=368041</v>
      </c>
      <c r="H940" t="s">
        <v>119</v>
      </c>
      <c r="I940" t="s">
        <v>3642</v>
      </c>
      <c r="J940" t="str">
        <f>HYPERLINK("http://vk.com/id130366507")</f>
        <v>http://vk.com/id130366507</v>
      </c>
      <c r="K940">
        <v>344</v>
      </c>
      <c r="L940" t="s">
        <v>151</v>
      </c>
      <c r="N940" t="s">
        <v>122</v>
      </c>
      <c r="O940" t="s">
        <v>1093</v>
      </c>
      <c r="P940" t="str">
        <f>HYPERLINK("http://vk.com/club22935147")</f>
        <v>http://vk.com/club22935147</v>
      </c>
      <c r="Q940">
        <v>8943</v>
      </c>
      <c r="R940" t="s">
        <v>124</v>
      </c>
      <c r="S940" t="s">
        <v>125</v>
      </c>
      <c r="T940" t="s">
        <v>169</v>
      </c>
      <c r="U940" t="s">
        <v>169</v>
      </c>
      <c r="AM940" t="s">
        <v>129</v>
      </c>
      <c r="AN940" t="s">
        <v>130</v>
      </c>
      <c r="AP940" t="s">
        <v>41</v>
      </c>
      <c r="AU940" t="s">
        <v>46</v>
      </c>
      <c r="AZ940" t="s">
        <v>51</v>
      </c>
      <c r="BA940" t="s">
        <v>52</v>
      </c>
    </row>
    <row r="941" spans="1:69" x14ac:dyDescent="0.2">
      <c r="A941" t="s">
        <v>3597</v>
      </c>
      <c r="B941" t="s">
        <v>2372</v>
      </c>
      <c r="C941" t="s">
        <v>3651</v>
      </c>
      <c r="D941" t="s">
        <v>129</v>
      </c>
      <c r="E941" t="s">
        <v>3652</v>
      </c>
      <c r="F941" t="s">
        <v>3653</v>
      </c>
      <c r="G941" t="str">
        <f>HYPERLINK("https://vk.com/wall629635_2051")</f>
        <v>https://vk.com/wall629635_2051</v>
      </c>
      <c r="H941" t="s">
        <v>119</v>
      </c>
      <c r="I941" t="s">
        <v>3654</v>
      </c>
      <c r="J941" t="str">
        <f>HYPERLINK("http://vk.com/id629635")</f>
        <v>http://vk.com/id629635</v>
      </c>
      <c r="K941">
        <v>705</v>
      </c>
      <c r="L941" t="s">
        <v>151</v>
      </c>
      <c r="M941">
        <v>42</v>
      </c>
      <c r="N941" t="s">
        <v>122</v>
      </c>
      <c r="O941" t="s">
        <v>3654</v>
      </c>
      <c r="P941" t="str">
        <f>HYPERLINK("http://vk.com/id629635")</f>
        <v>http://vk.com/id629635</v>
      </c>
      <c r="Q941">
        <v>705</v>
      </c>
      <c r="R941" t="s">
        <v>124</v>
      </c>
      <c r="S941" t="s">
        <v>125</v>
      </c>
      <c r="T941" t="s">
        <v>570</v>
      </c>
      <c r="U941" t="s">
        <v>3655</v>
      </c>
      <c r="W941">
        <v>8</v>
      </c>
      <c r="X941">
        <v>8</v>
      </c>
      <c r="AE941">
        <v>0</v>
      </c>
      <c r="AF941">
        <v>0</v>
      </c>
      <c r="AG941">
        <v>116</v>
      </c>
      <c r="AJ941" t="s">
        <v>3656</v>
      </c>
      <c r="AK941" t="s">
        <v>3657</v>
      </c>
      <c r="AL941" t="str">
        <f>HYPERLINK("https://sun9-35.userapi.com/impg/YZmSqloLMAgn8xlZMToi6q8l-qfhY66E6t-GFA/bY8uL1ryDgE.jpg?size=1600x1200&amp;quality=96&amp;sign=f4a2502ce7c755d17103cbdf6b653506&amp;c_uniq_tag=Noaqsdyt2OK1-G84yh2YKj2AEl9lUHz8rf1OlyL3skc&amp;type=album")</f>
        <v>https://sun9-35.userapi.com/impg/YZmSqloLMAgn8xlZMToi6q8l-qfhY66E6t-GFA/bY8uL1ryDgE.jpg?size=1600x1200&amp;quality=96&amp;sign=f4a2502ce7c755d17103cbdf6b653506&amp;c_uniq_tag=Noaqsdyt2OK1-G84yh2YKj2AEl9lUHz8rf1OlyL3skc&amp;type=album</v>
      </c>
      <c r="AM941" t="s">
        <v>129</v>
      </c>
      <c r="AN941" t="s">
        <v>130</v>
      </c>
      <c r="AP941" t="s">
        <v>41</v>
      </c>
      <c r="AW941" t="s">
        <v>48</v>
      </c>
      <c r="AZ941" t="s">
        <v>51</v>
      </c>
      <c r="BB941" t="s">
        <v>53</v>
      </c>
    </row>
    <row r="942" spans="1:69" x14ac:dyDescent="0.2">
      <c r="A942" t="s">
        <v>3597</v>
      </c>
      <c r="B942" t="s">
        <v>2372</v>
      </c>
      <c r="C942" t="s">
        <v>3658</v>
      </c>
      <c r="D942" t="s">
        <v>3659</v>
      </c>
      <c r="E942" t="s">
        <v>3660</v>
      </c>
      <c r="F942" t="s">
        <v>118</v>
      </c>
      <c r="G942" t="str">
        <f>HYPERLINK("https://vk.com/wall-22935147_368227?w=wall-22935147_368227_r368654")</f>
        <v>https://vk.com/wall-22935147_368227?w=wall-22935147_368227_r368654</v>
      </c>
      <c r="H942" t="s">
        <v>119</v>
      </c>
      <c r="I942" t="s">
        <v>3642</v>
      </c>
      <c r="J942" t="str">
        <f>HYPERLINK("http://vk.com/id130366507")</f>
        <v>http://vk.com/id130366507</v>
      </c>
      <c r="K942">
        <v>344</v>
      </c>
      <c r="L942" t="s">
        <v>151</v>
      </c>
      <c r="N942" t="s">
        <v>122</v>
      </c>
      <c r="O942" t="s">
        <v>1093</v>
      </c>
      <c r="P942" t="str">
        <f>HYPERLINK("http://vk.com/club22935147")</f>
        <v>http://vk.com/club22935147</v>
      </c>
      <c r="Q942">
        <v>8943</v>
      </c>
      <c r="R942" t="s">
        <v>124</v>
      </c>
      <c r="S942" t="s">
        <v>125</v>
      </c>
      <c r="T942" t="s">
        <v>169</v>
      </c>
      <c r="U942" t="s">
        <v>169</v>
      </c>
      <c r="W942">
        <v>0</v>
      </c>
      <c r="X942">
        <v>0</v>
      </c>
      <c r="AM942" t="s">
        <v>129</v>
      </c>
      <c r="AN942" t="s">
        <v>130</v>
      </c>
      <c r="AP942" t="s">
        <v>41</v>
      </c>
      <c r="AU942" t="s">
        <v>46</v>
      </c>
      <c r="AZ942" t="s">
        <v>51</v>
      </c>
      <c r="BA942" t="s">
        <v>52</v>
      </c>
    </row>
    <row r="943" spans="1:69" x14ac:dyDescent="0.2">
      <c r="A943" t="s">
        <v>3597</v>
      </c>
      <c r="B943" t="s">
        <v>2372</v>
      </c>
      <c r="C943" t="s">
        <v>3661</v>
      </c>
      <c r="D943" t="s">
        <v>129</v>
      </c>
      <c r="E943" t="s">
        <v>3662</v>
      </c>
      <c r="F943" t="s">
        <v>180</v>
      </c>
      <c r="G943" t="str">
        <f>HYPERLINK("https://vk.com/wall-57146462_1704")</f>
        <v>https://vk.com/wall-57146462_1704</v>
      </c>
      <c r="H943" t="s">
        <v>119</v>
      </c>
      <c r="I943" t="s">
        <v>3663</v>
      </c>
      <c r="J943" t="str">
        <f>HYPERLINK("http://vk.com/club57146462")</f>
        <v>http://vk.com/club57146462</v>
      </c>
      <c r="K943">
        <v>1492</v>
      </c>
      <c r="L943" t="s">
        <v>340</v>
      </c>
      <c r="N943" t="s">
        <v>122</v>
      </c>
      <c r="O943" t="s">
        <v>3663</v>
      </c>
      <c r="P943" t="str">
        <f>HYPERLINK("http://vk.com/club57146462")</f>
        <v>http://vk.com/club57146462</v>
      </c>
      <c r="Q943">
        <v>1492</v>
      </c>
      <c r="R943" t="s">
        <v>124</v>
      </c>
      <c r="S943" t="s">
        <v>125</v>
      </c>
      <c r="T943" t="s">
        <v>570</v>
      </c>
      <c r="U943" t="s">
        <v>3655</v>
      </c>
      <c r="W943">
        <v>60</v>
      </c>
      <c r="X943">
        <v>60</v>
      </c>
      <c r="AE943">
        <v>0</v>
      </c>
      <c r="AF943">
        <v>1</v>
      </c>
      <c r="AG943">
        <v>1254</v>
      </c>
      <c r="AJ943" t="s">
        <v>3656</v>
      </c>
      <c r="AK943" t="s">
        <v>3657</v>
      </c>
      <c r="AL943" t="str">
        <f>HYPERLINK("https://sun9-35.userapi.com/impg/YZmSqloLMAgn8xlZMToi6q8l-qfhY66E6t-GFA/bY8uL1ryDgE.jpg?size=1600x1200&amp;quality=96&amp;sign=f4a2502ce7c755d17103cbdf6b653506&amp;c_uniq_tag=Noaqsdyt2OK1-G84yh2YKj2AEl9lUHz8rf1OlyL3skc&amp;type=album")</f>
        <v>https://sun9-35.userapi.com/impg/YZmSqloLMAgn8xlZMToi6q8l-qfhY66E6t-GFA/bY8uL1ryDgE.jpg?size=1600x1200&amp;quality=96&amp;sign=f4a2502ce7c755d17103cbdf6b653506&amp;c_uniq_tag=Noaqsdyt2OK1-G84yh2YKj2AEl9lUHz8rf1OlyL3skc&amp;type=album</v>
      </c>
      <c r="AM943" t="s">
        <v>129</v>
      </c>
      <c r="AN943" t="s">
        <v>130</v>
      </c>
      <c r="AP943" t="s">
        <v>41</v>
      </c>
      <c r="AW943" t="s">
        <v>48</v>
      </c>
      <c r="AZ943" t="s">
        <v>51</v>
      </c>
      <c r="BB943" t="s">
        <v>53</v>
      </c>
    </row>
    <row r="944" spans="1:69" x14ac:dyDescent="0.2">
      <c r="A944" t="s">
        <v>3597</v>
      </c>
      <c r="B944" t="s">
        <v>3664</v>
      </c>
      <c r="C944" t="s">
        <v>3665</v>
      </c>
      <c r="D944" t="s">
        <v>3666</v>
      </c>
      <c r="E944" t="s">
        <v>3667</v>
      </c>
      <c r="F944" t="s">
        <v>180</v>
      </c>
      <c r="G944" t="str">
        <f>HYPERLINK("https://www.google.com/maps/reviews/data=!4m5!14m4!1m3!1m2!1s106975267671788699049!2s0x0:0x5ce89fbb0645a809?hl=en-NL")</f>
        <v>https://www.google.com/maps/reviews/data=!4m5!14m4!1m3!1m2!1s106975267671788699049!2s0x0:0x5ce89fbb0645a809?hl=en-NL</v>
      </c>
      <c r="H944" t="s">
        <v>181</v>
      </c>
      <c r="I944" t="s">
        <v>3668</v>
      </c>
      <c r="J944" t="str">
        <f>HYPERLINK("https://maps.google.com/maps/contrib/106975267671788699049")</f>
        <v>https://maps.google.com/maps/contrib/106975267671788699049</v>
      </c>
      <c r="L944" t="s">
        <v>121</v>
      </c>
      <c r="N944" t="s">
        <v>673</v>
      </c>
      <c r="O944" t="s">
        <v>3666</v>
      </c>
      <c r="P944" t="str">
        <f>HYPERLINK("https://maps.google.com/maps/place/data=!3m1!4b1!4m5!3m4!1s0x0:0x5ce89fbb0645a809!8m2!3d56.190420!4d36.972230")</f>
        <v>https://maps.google.com/maps/place/data=!3m1!4b1!4m5!3m4!1s0x0:0x5ce89fbb0645a809!8m2!3d56.190420!4d36.972230</v>
      </c>
      <c r="R944" t="s">
        <v>184</v>
      </c>
      <c r="S944" t="s">
        <v>125</v>
      </c>
      <c r="T944" t="s">
        <v>153</v>
      </c>
      <c r="U944" t="s">
        <v>3669</v>
      </c>
      <c r="W944">
        <v>0</v>
      </c>
      <c r="X944">
        <v>0</v>
      </c>
      <c r="AH944">
        <v>5</v>
      </c>
      <c r="AM944" t="s">
        <v>129</v>
      </c>
      <c r="AN944" t="s">
        <v>130</v>
      </c>
      <c r="AP944" t="s">
        <v>41</v>
      </c>
      <c r="AT944" t="s">
        <v>45</v>
      </c>
      <c r="AX944" t="s">
        <v>49</v>
      </c>
      <c r="AY944" t="s">
        <v>50</v>
      </c>
      <c r="AZ944" t="s">
        <v>51</v>
      </c>
      <c r="BA944" t="s">
        <v>52</v>
      </c>
    </row>
    <row r="945" spans="1:69" x14ac:dyDescent="0.2">
      <c r="A945" t="s">
        <v>3597</v>
      </c>
      <c r="B945" t="s">
        <v>3670</v>
      </c>
      <c r="C945" t="s">
        <v>3671</v>
      </c>
      <c r="D945" t="s">
        <v>204</v>
      </c>
      <c r="E945" t="s">
        <v>3672</v>
      </c>
      <c r="F945" t="s">
        <v>180</v>
      </c>
      <c r="G945" t="str">
        <f>HYPERLINK("https://play.google.com/store/apps/details?id=ru.iflex.android.a3colortv&amp;reviewId=gp:AOqpTOG4wIRDBME3SU1dHkDQFAhW8rGSeF4JUEkikSUg8glLh225chTO9jNPhNFI735MJsPrHgQ44-9FTPEVXw")</f>
        <v>https://play.google.com/store/apps/details?id=ru.iflex.android.a3colortv&amp;reviewId=gp:AOqpTOG4wIRDBME3SU1dHkDQFAhW8rGSeF4JUEkikSUg8glLh225chTO9jNPhNFI735MJsPrHgQ44-9FTPEVXw</v>
      </c>
      <c r="H945" t="s">
        <v>181</v>
      </c>
      <c r="I945" t="s">
        <v>3673</v>
      </c>
      <c r="J945" t="str">
        <f>HYPERLINK("https://plus.google.com/103025482658683228021")</f>
        <v>https://plus.google.com/103025482658683228021</v>
      </c>
      <c r="L945" t="s">
        <v>151</v>
      </c>
      <c r="N945" t="s">
        <v>207</v>
      </c>
      <c r="O945" t="s">
        <v>204</v>
      </c>
      <c r="P945" t="str">
        <f>HYPERLINK("https://play.google.com/store/apps/details?id=ru.iflex.android.a3colortv&amp;hl=ru")</f>
        <v>https://play.google.com/store/apps/details?id=ru.iflex.android.a3colortv&amp;hl=ru</v>
      </c>
      <c r="R945" t="s">
        <v>184</v>
      </c>
      <c r="S945" t="s">
        <v>125</v>
      </c>
      <c r="W945">
        <v>0</v>
      </c>
      <c r="X945">
        <v>0</v>
      </c>
      <c r="AH945">
        <v>5</v>
      </c>
      <c r="AM945" t="s">
        <v>129</v>
      </c>
      <c r="AN945" t="s">
        <v>130</v>
      </c>
      <c r="AP945" t="s">
        <v>41</v>
      </c>
      <c r="AZ945" t="s">
        <v>51</v>
      </c>
      <c r="BA945" t="s">
        <v>52</v>
      </c>
      <c r="BQ945" t="s">
        <v>68</v>
      </c>
    </row>
    <row r="946" spans="1:69" x14ac:dyDescent="0.2">
      <c r="A946" t="s">
        <v>3597</v>
      </c>
      <c r="B946" t="s">
        <v>849</v>
      </c>
      <c r="C946" t="s">
        <v>3674</v>
      </c>
      <c r="D946" t="s">
        <v>3675</v>
      </c>
      <c r="E946" t="s">
        <v>3676</v>
      </c>
      <c r="F946" t="s">
        <v>180</v>
      </c>
      <c r="G946" t="str">
        <f>HYPERLINK("https://www.ozon.ru/context/detail/id/228358462/#61796805")</f>
        <v>https://www.ozon.ru/context/detail/id/228358462/#61796805</v>
      </c>
      <c r="H946" t="s">
        <v>181</v>
      </c>
      <c r="I946" t="s">
        <v>3677</v>
      </c>
      <c r="J946" t="str">
        <f>HYPERLINK("https://www.ozon.ru/context/client_opinion/ClientGuid/12676da2-9911-41b9-ad28-a5bae13790c3/")</f>
        <v>https://www.ozon.ru/context/client_opinion/ClientGuid/12676da2-9911-41b9-ad28-a5bae13790c3/</v>
      </c>
      <c r="L946" t="s">
        <v>121</v>
      </c>
      <c r="N946" t="s">
        <v>183</v>
      </c>
      <c r="O946" t="s">
        <v>3675</v>
      </c>
      <c r="P946" t="str">
        <f>HYPERLINK("https://www.ozon.ru/context/detail/id/228358462/")</f>
        <v>https://www.ozon.ru/context/detail/id/228358462/</v>
      </c>
      <c r="R946" t="s">
        <v>184</v>
      </c>
      <c r="S946" t="s">
        <v>125</v>
      </c>
      <c r="W946">
        <v>0</v>
      </c>
      <c r="X946">
        <v>0</v>
      </c>
      <c r="AH946">
        <v>5</v>
      </c>
      <c r="AJ946" t="s">
        <v>3678</v>
      </c>
      <c r="AK946" t="s">
        <v>129</v>
      </c>
      <c r="AL946" t="str">
        <f>HYPERLINK("https://cdn1.ozone.ru/s3/rp-photo-2/62da2a18-cf5d-4614-9e25-b3febdcef537.jpeg")</f>
        <v>https://cdn1.ozone.ru/s3/rp-photo-2/62da2a18-cf5d-4614-9e25-b3febdcef537.jpeg</v>
      </c>
      <c r="AM946" t="s">
        <v>129</v>
      </c>
      <c r="AN946" t="s">
        <v>130</v>
      </c>
      <c r="AP946" t="s">
        <v>41</v>
      </c>
      <c r="AT946" t="s">
        <v>45</v>
      </c>
      <c r="AZ946" t="s">
        <v>51</v>
      </c>
      <c r="BB946" t="s">
        <v>53</v>
      </c>
      <c r="BL946" t="s">
        <v>63</v>
      </c>
    </row>
    <row r="947" spans="1:69" x14ac:dyDescent="0.2">
      <c r="A947" t="s">
        <v>3597</v>
      </c>
      <c r="B947" t="s">
        <v>1403</v>
      </c>
      <c r="C947" t="s">
        <v>3679</v>
      </c>
      <c r="D947" t="s">
        <v>226</v>
      </c>
      <c r="E947" t="s">
        <v>3680</v>
      </c>
      <c r="F947" t="s">
        <v>118</v>
      </c>
      <c r="G947" t="str">
        <f>HYPERLINK("https://ok.ru/group/51085510115462/topic/153469582484870#MTYyNzE0NDIwODI4MTotMzQ1OToxNjI3MTQ0MjA4MjgxOjE1MzQ2OTU4MjQ4NDg3MDox")</f>
        <v>https://ok.ru/group/51085510115462/topic/153469582484870#MTYyNzE0NDIwODI4MTotMzQ1OToxNjI3MTQ0MjA4MjgxOjE1MzQ2OTU4MjQ4NDg3MDox</v>
      </c>
      <c r="H947" t="s">
        <v>119</v>
      </c>
      <c r="I947" t="s">
        <v>3681</v>
      </c>
      <c r="J947" t="str">
        <f>HYPERLINK("https://ok.ru/profile/591365882646")</f>
        <v>https://ok.ru/profile/591365882646</v>
      </c>
      <c r="K947">
        <v>6</v>
      </c>
      <c r="L947" t="s">
        <v>121</v>
      </c>
      <c r="N947" t="s">
        <v>347</v>
      </c>
      <c r="O947" t="s">
        <v>175</v>
      </c>
      <c r="P947" t="str">
        <f>HYPERLINK("https://ok.ru/group/51085510115462")</f>
        <v>https://ok.ru/group/51085510115462</v>
      </c>
      <c r="Q947">
        <v>94768</v>
      </c>
      <c r="R947" t="s">
        <v>124</v>
      </c>
      <c r="S947" t="s">
        <v>125</v>
      </c>
      <c r="T947" t="s">
        <v>3682</v>
      </c>
      <c r="U947" t="s">
        <v>3683</v>
      </c>
      <c r="W947">
        <v>0</v>
      </c>
      <c r="X947">
        <v>0</v>
      </c>
      <c r="AM947" t="s">
        <v>129</v>
      </c>
      <c r="AN947" t="s">
        <v>130</v>
      </c>
      <c r="AP947" t="s">
        <v>41</v>
      </c>
      <c r="AW947" t="s">
        <v>48</v>
      </c>
      <c r="AZ947" t="s">
        <v>51</v>
      </c>
      <c r="BA947" t="s">
        <v>52</v>
      </c>
    </row>
    <row r="948" spans="1:69" x14ac:dyDescent="0.2">
      <c r="A948" t="s">
        <v>3597</v>
      </c>
      <c r="B948" t="s">
        <v>3684</v>
      </c>
      <c r="C948" t="s">
        <v>3685</v>
      </c>
      <c r="D948" t="s">
        <v>3686</v>
      </c>
      <c r="E948" t="s">
        <v>3687</v>
      </c>
      <c r="F948" t="s">
        <v>118</v>
      </c>
      <c r="G948" t="str">
        <f>HYPERLINK("https://telegram.me/cctvcameraroman/111873")</f>
        <v>https://telegram.me/cctvcameraroman/111873</v>
      </c>
      <c r="H948" t="s">
        <v>119</v>
      </c>
      <c r="I948" t="s">
        <v>3688</v>
      </c>
      <c r="J948" t="str">
        <f>HYPERLINK("https://telegram.me/proletarian_alchemist")</f>
        <v>https://telegram.me/proletarian_alchemist</v>
      </c>
      <c r="N948" t="s">
        <v>143</v>
      </c>
      <c r="O948" t="s">
        <v>3689</v>
      </c>
      <c r="P948" t="str">
        <f>HYPERLINK("https://telegram.me/cctvcameraroman")</f>
        <v>https://telegram.me/cctvcameraroman</v>
      </c>
      <c r="Q948">
        <v>2870</v>
      </c>
      <c r="R948" t="s">
        <v>145</v>
      </c>
      <c r="AM948" t="s">
        <v>129</v>
      </c>
      <c r="AN948" t="s">
        <v>130</v>
      </c>
      <c r="AP948" t="s">
        <v>41</v>
      </c>
      <c r="AZ948" t="s">
        <v>51</v>
      </c>
      <c r="BA948" t="s">
        <v>52</v>
      </c>
      <c r="BL948" t="s">
        <v>63</v>
      </c>
    </row>
    <row r="949" spans="1:69" x14ac:dyDescent="0.2">
      <c r="A949" t="s">
        <v>3597</v>
      </c>
      <c r="B949" t="s">
        <v>1414</v>
      </c>
      <c r="C949" t="s">
        <v>3690</v>
      </c>
      <c r="D949" t="s">
        <v>1568</v>
      </c>
      <c r="E949" t="s">
        <v>3691</v>
      </c>
      <c r="F949" t="s">
        <v>118</v>
      </c>
      <c r="G949" t="str">
        <f>HYPERLINK("https://irecommend.ru/content/bolshoi-otzyv-posle-10-let-ispolzovaniya-k-chemu-nado-byt-gotovym-pri-podklyuchenii-k-trikol#comment-24180695")</f>
        <v>https://irecommend.ru/content/bolshoi-otzyv-posle-10-let-ispolzovaniya-k-chemu-nado-byt-gotovym-pri-podklyuchenii-k-trikol#comment-24180695</v>
      </c>
      <c r="H949" t="s">
        <v>119</v>
      </c>
      <c r="I949" t="s">
        <v>3692</v>
      </c>
      <c r="J949" t="str">
        <f>HYPERLINK("https://irecommend.ru/users/annlis")</f>
        <v>https://irecommend.ru/users/annlis</v>
      </c>
      <c r="N949" t="s">
        <v>1571</v>
      </c>
      <c r="O949" t="s">
        <v>1568</v>
      </c>
      <c r="P949" t="str">
        <f>HYPERLINK("https://irecommend.ru/content/sputnikovoe-televidenie-trikolortv")</f>
        <v>https://irecommend.ru/content/sputnikovoe-televidenie-trikolortv</v>
      </c>
      <c r="R949" t="s">
        <v>184</v>
      </c>
      <c r="S949" t="s">
        <v>125</v>
      </c>
      <c r="AM949" t="s">
        <v>129</v>
      </c>
      <c r="AN949" t="s">
        <v>130</v>
      </c>
      <c r="AP949" t="s">
        <v>41</v>
      </c>
      <c r="AZ949" t="s">
        <v>51</v>
      </c>
      <c r="BA949" t="s">
        <v>52</v>
      </c>
    </row>
    <row r="950" spans="1:69" x14ac:dyDescent="0.2">
      <c r="A950" t="s">
        <v>3597</v>
      </c>
      <c r="B950" t="s">
        <v>3693</v>
      </c>
      <c r="C950" t="s">
        <v>3685</v>
      </c>
      <c r="D950" t="s">
        <v>3694</v>
      </c>
      <c r="E950" t="s">
        <v>3695</v>
      </c>
      <c r="F950" t="s">
        <v>118</v>
      </c>
      <c r="G950" t="str">
        <f>HYPERLINK("https://telegram.me/cctvcameraroman/111862")</f>
        <v>https://telegram.me/cctvcameraroman/111862</v>
      </c>
      <c r="H950" t="s">
        <v>119</v>
      </c>
      <c r="I950" t="s">
        <v>3696</v>
      </c>
      <c r="J950" t="str">
        <f>HYPERLINK("https://telegram.me/jamestkirk07")</f>
        <v>https://telegram.me/jamestkirk07</v>
      </c>
      <c r="N950" t="s">
        <v>143</v>
      </c>
      <c r="O950" t="s">
        <v>3689</v>
      </c>
      <c r="P950" t="str">
        <f>HYPERLINK("https://telegram.me/cctvcameraroman")</f>
        <v>https://telegram.me/cctvcameraroman</v>
      </c>
      <c r="Q950">
        <v>2870</v>
      </c>
      <c r="R950" t="s">
        <v>145</v>
      </c>
      <c r="AM950" t="s">
        <v>129</v>
      </c>
      <c r="AN950" t="s">
        <v>130</v>
      </c>
      <c r="AP950" t="s">
        <v>41</v>
      </c>
      <c r="AZ950" t="s">
        <v>51</v>
      </c>
      <c r="BD950" t="s">
        <v>55</v>
      </c>
      <c r="BM950" t="s">
        <v>64</v>
      </c>
    </row>
    <row r="951" spans="1:69" x14ac:dyDescent="0.2">
      <c r="A951" t="s">
        <v>3597</v>
      </c>
      <c r="B951" t="s">
        <v>1425</v>
      </c>
      <c r="C951" t="s">
        <v>3697</v>
      </c>
      <c r="D951" t="s">
        <v>3698</v>
      </c>
      <c r="E951" t="s">
        <v>3699</v>
      </c>
      <c r="F951" t="s">
        <v>118</v>
      </c>
      <c r="G951" t="str">
        <f>HYPERLINK("https://vk.com/topic-204351896_47766892?post=126")</f>
        <v>https://vk.com/topic-204351896_47766892?post=126</v>
      </c>
      <c r="H951" t="s">
        <v>119</v>
      </c>
      <c r="I951" t="s">
        <v>359</v>
      </c>
      <c r="J951" t="str">
        <f>HYPERLINK("http://vk.com/club204351896")</f>
        <v>http://vk.com/club204351896</v>
      </c>
      <c r="K951">
        <v>272</v>
      </c>
      <c r="L951" t="s">
        <v>340</v>
      </c>
      <c r="N951" t="s">
        <v>122</v>
      </c>
      <c r="O951" t="s">
        <v>359</v>
      </c>
      <c r="P951" t="str">
        <f>HYPERLINK("http://vk.com/club204351896")</f>
        <v>http://vk.com/club204351896</v>
      </c>
      <c r="Q951">
        <v>272</v>
      </c>
      <c r="R951" t="s">
        <v>124</v>
      </c>
      <c r="S951" t="s">
        <v>125</v>
      </c>
      <c r="AM951" t="s">
        <v>129</v>
      </c>
      <c r="AN951" t="s">
        <v>130</v>
      </c>
      <c r="AP951" t="s">
        <v>41</v>
      </c>
      <c r="AU951" t="s">
        <v>46</v>
      </c>
      <c r="AZ951" t="s">
        <v>51</v>
      </c>
      <c r="BA951" t="s">
        <v>52</v>
      </c>
    </row>
    <row r="952" spans="1:69" x14ac:dyDescent="0.2">
      <c r="A952" t="s">
        <v>3597</v>
      </c>
      <c r="B952" t="s">
        <v>3700</v>
      </c>
      <c r="C952" t="s">
        <v>3701</v>
      </c>
      <c r="D952" t="s">
        <v>3382</v>
      </c>
      <c r="E952" t="s">
        <v>3702</v>
      </c>
      <c r="F952" t="s">
        <v>180</v>
      </c>
      <c r="G952" t="str">
        <f>HYPERLINK("https://ok.ru/group/51085510115462/topic/153483888534918")</f>
        <v>https://ok.ru/group/51085510115462/topic/153483888534918</v>
      </c>
      <c r="H952" t="s">
        <v>119</v>
      </c>
      <c r="I952" t="s">
        <v>175</v>
      </c>
      <c r="J952" t="str">
        <f>HYPERLINK("https://ok.ru/group/51085510115462")</f>
        <v>https://ok.ru/group/51085510115462</v>
      </c>
      <c r="K952">
        <v>94768</v>
      </c>
      <c r="L952" t="s">
        <v>340</v>
      </c>
      <c r="N952" t="s">
        <v>347</v>
      </c>
      <c r="O952" t="s">
        <v>175</v>
      </c>
      <c r="P952" t="str">
        <f>HYPERLINK("https://ok.ru/group/51085510115462")</f>
        <v>https://ok.ru/group/51085510115462</v>
      </c>
      <c r="Q952">
        <v>94768</v>
      </c>
      <c r="R952" t="s">
        <v>124</v>
      </c>
      <c r="W952">
        <v>15</v>
      </c>
      <c r="X952">
        <v>15</v>
      </c>
      <c r="Y952">
        <v>0</v>
      </c>
      <c r="Z952">
        <v>0</v>
      </c>
      <c r="AA952">
        <v>0</v>
      </c>
      <c r="AB952">
        <v>0</v>
      </c>
      <c r="AE952">
        <v>0</v>
      </c>
      <c r="AF952">
        <v>0</v>
      </c>
      <c r="AJ952" t="s">
        <v>3703</v>
      </c>
      <c r="AK952" t="s">
        <v>129</v>
      </c>
      <c r="AL952" t="str">
        <f>HYPERLINK("https://i.mycdn.me/image?id=918894327942&amp;t=20&amp;plc=API&amp;aid=1131601408&amp;tkn=*smTAQRrKOU-qXRUPpUpXqGgg62o")</f>
        <v>https://i.mycdn.me/image?id=918894327942&amp;t=20&amp;plc=API&amp;aid=1131601408&amp;tkn=*smTAQRrKOU-qXRUPpUpXqGgg62o</v>
      </c>
      <c r="AM952" t="s">
        <v>129</v>
      </c>
      <c r="AN952" t="s">
        <v>130</v>
      </c>
      <c r="BI952" t="s">
        <v>60</v>
      </c>
    </row>
    <row r="953" spans="1:69" x14ac:dyDescent="0.2">
      <c r="A953" t="s">
        <v>3597</v>
      </c>
      <c r="B953" t="s">
        <v>3700</v>
      </c>
      <c r="C953" t="s">
        <v>3639</v>
      </c>
      <c r="D953" t="s">
        <v>129</v>
      </c>
      <c r="E953" t="s">
        <v>3704</v>
      </c>
      <c r="F953" t="s">
        <v>180</v>
      </c>
      <c r="G953" t="str">
        <f>HYPERLINK("https://www.facebook.com/tricolortv/posts/4110685622319010")</f>
        <v>https://www.facebook.com/tricolortv/posts/4110685622319010</v>
      </c>
      <c r="H953" t="s">
        <v>119</v>
      </c>
      <c r="I953" t="s">
        <v>175</v>
      </c>
      <c r="J953" t="str">
        <f>HYPERLINK("https://www.facebook.com/206198386101106")</f>
        <v>https://www.facebook.com/206198386101106</v>
      </c>
      <c r="K953">
        <v>16432</v>
      </c>
      <c r="L953" t="s">
        <v>340</v>
      </c>
      <c r="N953" t="s">
        <v>305</v>
      </c>
      <c r="O953" t="s">
        <v>175</v>
      </c>
      <c r="P953" t="str">
        <f>HYPERLINK("https://www.facebook.com/206198386101106")</f>
        <v>https://www.facebook.com/206198386101106</v>
      </c>
      <c r="Q953">
        <v>16432</v>
      </c>
      <c r="R953" t="s">
        <v>124</v>
      </c>
      <c r="W953">
        <v>1</v>
      </c>
      <c r="X953">
        <v>1</v>
      </c>
      <c r="Y953">
        <v>0</v>
      </c>
      <c r="Z953">
        <v>0</v>
      </c>
      <c r="AA953">
        <v>0</v>
      </c>
      <c r="AB953">
        <v>0</v>
      </c>
      <c r="AC953">
        <v>0</v>
      </c>
      <c r="AE953">
        <v>0</v>
      </c>
      <c r="AF953">
        <v>0</v>
      </c>
      <c r="AJ953" t="s">
        <v>3703</v>
      </c>
      <c r="AK953" t="s">
        <v>129</v>
      </c>
      <c r="AL953" t="s">
        <v>3705</v>
      </c>
      <c r="AM953" t="s">
        <v>129</v>
      </c>
      <c r="AN953" t="s">
        <v>130</v>
      </c>
      <c r="BI953" t="s">
        <v>60</v>
      </c>
    </row>
    <row r="954" spans="1:69" x14ac:dyDescent="0.2">
      <c r="A954" t="s">
        <v>3597</v>
      </c>
      <c r="B954" t="s">
        <v>3700</v>
      </c>
      <c r="C954" t="s">
        <v>3706</v>
      </c>
      <c r="D954" t="s">
        <v>129</v>
      </c>
      <c r="E954" t="s">
        <v>3707</v>
      </c>
      <c r="F954" t="s">
        <v>180</v>
      </c>
      <c r="G954" t="str">
        <f>HYPERLINK("https://twitter.com/360582757/status/1418964197145153537")</f>
        <v>https://twitter.com/360582757/status/1418964197145153537</v>
      </c>
      <c r="H954" t="s">
        <v>119</v>
      </c>
      <c r="I954" t="s">
        <v>175</v>
      </c>
      <c r="J954" t="str">
        <f>HYPERLINK("http://twitter.com/tricolortv")</f>
        <v>http://twitter.com/tricolortv</v>
      </c>
      <c r="K954">
        <v>5663</v>
      </c>
      <c r="N954" t="s">
        <v>350</v>
      </c>
      <c r="R954" t="s">
        <v>124</v>
      </c>
      <c r="S954" t="s">
        <v>125</v>
      </c>
      <c r="T954" t="s">
        <v>137</v>
      </c>
      <c r="U954" t="s">
        <v>137</v>
      </c>
      <c r="W954">
        <v>0</v>
      </c>
      <c r="X954">
        <v>0</v>
      </c>
      <c r="AE954">
        <v>0</v>
      </c>
      <c r="AF954">
        <v>0</v>
      </c>
      <c r="AJ954" t="s">
        <v>3703</v>
      </c>
      <c r="AK954" t="s">
        <v>129</v>
      </c>
      <c r="AL954" t="str">
        <f>HYPERLINK("https://pbs.twimg.com/media/E6_oGRRXEAE1B9s.jpg")</f>
        <v>https://pbs.twimg.com/media/E6_oGRRXEAE1B9s.jpg</v>
      </c>
      <c r="AM954" t="s">
        <v>129</v>
      </c>
      <c r="AN954" t="s">
        <v>130</v>
      </c>
      <c r="BI954" t="s">
        <v>60</v>
      </c>
    </row>
    <row r="955" spans="1:69" x14ac:dyDescent="0.2">
      <c r="A955" t="s">
        <v>3597</v>
      </c>
      <c r="B955" t="s">
        <v>3700</v>
      </c>
      <c r="C955" t="s">
        <v>3708</v>
      </c>
      <c r="D955" t="s">
        <v>129</v>
      </c>
      <c r="E955" t="s">
        <v>3709</v>
      </c>
      <c r="F955" t="s">
        <v>180</v>
      </c>
      <c r="G955" t="str">
        <f>HYPERLINK("https://vk.com/wall-204351896_493")</f>
        <v>https://vk.com/wall-204351896_493</v>
      </c>
      <c r="H955" t="s">
        <v>119</v>
      </c>
      <c r="I955" t="s">
        <v>359</v>
      </c>
      <c r="J955" t="str">
        <f>HYPERLINK("http://vk.com/club204351896")</f>
        <v>http://vk.com/club204351896</v>
      </c>
      <c r="K955">
        <v>272</v>
      </c>
      <c r="L955" t="s">
        <v>340</v>
      </c>
      <c r="N955" t="s">
        <v>122</v>
      </c>
      <c r="O955" t="s">
        <v>359</v>
      </c>
      <c r="P955" t="str">
        <f>HYPERLINK("http://vk.com/club204351896")</f>
        <v>http://vk.com/club204351896</v>
      </c>
      <c r="Q955">
        <v>272</v>
      </c>
      <c r="R955" t="s">
        <v>124</v>
      </c>
      <c r="S955" t="s">
        <v>125</v>
      </c>
      <c r="W955">
        <v>7</v>
      </c>
      <c r="X955">
        <v>7</v>
      </c>
      <c r="AE955">
        <v>1</v>
      </c>
      <c r="AF955">
        <v>1</v>
      </c>
      <c r="AG955">
        <v>475</v>
      </c>
      <c r="AM955" t="s">
        <v>129</v>
      </c>
      <c r="AN955" t="s">
        <v>130</v>
      </c>
      <c r="AP955" t="s">
        <v>41</v>
      </c>
      <c r="AU955" t="s">
        <v>46</v>
      </c>
      <c r="AZ955" t="s">
        <v>51</v>
      </c>
      <c r="BA955" t="s">
        <v>52</v>
      </c>
    </row>
    <row r="956" spans="1:69" x14ac:dyDescent="0.2">
      <c r="A956" t="s">
        <v>3597</v>
      </c>
      <c r="B956" t="s">
        <v>3710</v>
      </c>
      <c r="C956" t="s">
        <v>3708</v>
      </c>
      <c r="D956" t="s">
        <v>226</v>
      </c>
      <c r="E956" t="s">
        <v>3711</v>
      </c>
      <c r="F956" t="s">
        <v>118</v>
      </c>
      <c r="G956" t="str">
        <f>HYPERLINK("https://vk.com/wall-27863223_291992?w=wall-27863223_291992_r292141")</f>
        <v>https://vk.com/wall-27863223_291992?w=wall-27863223_291992_r292141</v>
      </c>
      <c r="H956" t="s">
        <v>228</v>
      </c>
      <c r="I956" t="s">
        <v>3712</v>
      </c>
      <c r="J956" t="str">
        <f>HYPERLINK("http://vk.com/id56014693")</f>
        <v>http://vk.com/id56014693</v>
      </c>
      <c r="K956">
        <v>3</v>
      </c>
      <c r="L956" t="s">
        <v>121</v>
      </c>
      <c r="N956" t="s">
        <v>122</v>
      </c>
      <c r="O956" t="s">
        <v>175</v>
      </c>
      <c r="P956" t="str">
        <f>HYPERLINK("http://vk.com/club27863223")</f>
        <v>http://vk.com/club27863223</v>
      </c>
      <c r="Q956">
        <v>134698</v>
      </c>
      <c r="R956" t="s">
        <v>124</v>
      </c>
      <c r="S956" t="s">
        <v>3713</v>
      </c>
      <c r="T956" t="s">
        <v>3714</v>
      </c>
      <c r="U956" t="s">
        <v>3714</v>
      </c>
      <c r="W956">
        <v>0</v>
      </c>
      <c r="X956">
        <v>0</v>
      </c>
      <c r="AM956" t="s">
        <v>129</v>
      </c>
      <c r="AN956" t="s">
        <v>130</v>
      </c>
      <c r="AP956" t="s">
        <v>41</v>
      </c>
      <c r="AZ956" t="s">
        <v>51</v>
      </c>
      <c r="BD956" t="s">
        <v>55</v>
      </c>
    </row>
    <row r="957" spans="1:69" x14ac:dyDescent="0.2">
      <c r="A957" t="s">
        <v>3597</v>
      </c>
      <c r="B957" t="s">
        <v>3390</v>
      </c>
      <c r="C957" t="s">
        <v>3708</v>
      </c>
      <c r="D957" t="s">
        <v>226</v>
      </c>
      <c r="E957" t="s">
        <v>3715</v>
      </c>
      <c r="F957" t="s">
        <v>118</v>
      </c>
      <c r="G957" t="str">
        <f>HYPERLINK("https://vk.com/wall-27863223_291992?w=wall-27863223_291992_r292139")</f>
        <v>https://vk.com/wall-27863223_291992?w=wall-27863223_291992_r292139</v>
      </c>
      <c r="H957" t="s">
        <v>119</v>
      </c>
      <c r="I957" t="s">
        <v>3716</v>
      </c>
      <c r="J957" t="str">
        <f>HYPERLINK("http://vk.com/id194510547")</f>
        <v>http://vk.com/id194510547</v>
      </c>
      <c r="K957">
        <v>116</v>
      </c>
      <c r="L957" t="s">
        <v>151</v>
      </c>
      <c r="N957" t="s">
        <v>122</v>
      </c>
      <c r="O957" t="s">
        <v>175</v>
      </c>
      <c r="P957" t="str">
        <f>HYPERLINK("http://vk.com/club27863223")</f>
        <v>http://vk.com/club27863223</v>
      </c>
      <c r="Q957">
        <v>134698</v>
      </c>
      <c r="R957" t="s">
        <v>124</v>
      </c>
      <c r="S957" t="s">
        <v>125</v>
      </c>
      <c r="T957" t="s">
        <v>1275</v>
      </c>
      <c r="U957" t="s">
        <v>3717</v>
      </c>
      <c r="W957">
        <v>0</v>
      </c>
      <c r="X957">
        <v>0</v>
      </c>
      <c r="AM957" t="s">
        <v>129</v>
      </c>
      <c r="AN957" t="s">
        <v>130</v>
      </c>
      <c r="AP957" t="s">
        <v>41</v>
      </c>
      <c r="AU957" t="s">
        <v>46</v>
      </c>
      <c r="AZ957" t="s">
        <v>51</v>
      </c>
      <c r="BA957" t="s">
        <v>52</v>
      </c>
    </row>
    <row r="958" spans="1:69" x14ac:dyDescent="0.2">
      <c r="A958" t="s">
        <v>3597</v>
      </c>
      <c r="B958" t="s">
        <v>3718</v>
      </c>
      <c r="C958" t="s">
        <v>3719</v>
      </c>
      <c r="D958" t="s">
        <v>204</v>
      </c>
      <c r="E958" t="s">
        <v>3720</v>
      </c>
      <c r="F958" t="s">
        <v>180</v>
      </c>
      <c r="G958" t="str">
        <f>HYPERLINK("https://play.google.com/store/apps/details?id=ru.iflex.android.a3colortv&amp;reviewId=gp:AOqpTOFIpEEXEcccMStvGSc-J_GSasZUYUR-ec_fZAoXCbb2XW7krmB7RaFmd0kPEoEBoZ2maG6AnJp7z8WxVQ")</f>
        <v>https://play.google.com/store/apps/details?id=ru.iflex.android.a3colortv&amp;reviewId=gp:AOqpTOFIpEEXEcccMStvGSc-J_GSasZUYUR-ec_fZAoXCbb2XW7krmB7RaFmd0kPEoEBoZ2maG6AnJp7z8WxVQ</v>
      </c>
      <c r="H958" t="s">
        <v>181</v>
      </c>
      <c r="I958" t="s">
        <v>3721</v>
      </c>
      <c r="J958" t="str">
        <f>HYPERLINK("https://plus.google.com/115274006965053314133")</f>
        <v>https://plus.google.com/115274006965053314133</v>
      </c>
      <c r="L958" t="s">
        <v>151</v>
      </c>
      <c r="N958" t="s">
        <v>207</v>
      </c>
      <c r="O958" t="s">
        <v>204</v>
      </c>
      <c r="P958" t="str">
        <f>HYPERLINK("https://play.google.com/store/apps/details?id=ru.iflex.android.a3colortv&amp;hl=ru")</f>
        <v>https://play.google.com/store/apps/details?id=ru.iflex.android.a3colortv&amp;hl=ru</v>
      </c>
      <c r="R958" t="s">
        <v>184</v>
      </c>
      <c r="S958" t="s">
        <v>125</v>
      </c>
      <c r="W958">
        <v>0</v>
      </c>
      <c r="X958">
        <v>0</v>
      </c>
      <c r="AH958">
        <v>5</v>
      </c>
      <c r="AM958" t="s">
        <v>129</v>
      </c>
      <c r="AN958" t="s">
        <v>130</v>
      </c>
      <c r="AP958" t="s">
        <v>41</v>
      </c>
      <c r="AU958" t="s">
        <v>46</v>
      </c>
      <c r="BA958" t="s">
        <v>52</v>
      </c>
      <c r="BE958" t="s">
        <v>56</v>
      </c>
    </row>
    <row r="959" spans="1:69" x14ac:dyDescent="0.2">
      <c r="A959" t="s">
        <v>3597</v>
      </c>
      <c r="B959" t="s">
        <v>300</v>
      </c>
      <c r="C959" t="s">
        <v>3722</v>
      </c>
      <c r="D959" t="s">
        <v>226</v>
      </c>
      <c r="E959" t="s">
        <v>3723</v>
      </c>
      <c r="F959" t="s">
        <v>118</v>
      </c>
      <c r="G959" t="str">
        <f>HYPERLINK("https://vk.com/wall-27863223_291992?reply=292137&amp;thread=292006")</f>
        <v>https://vk.com/wall-27863223_291992?reply=292137&amp;thread=292006</v>
      </c>
      <c r="H959" t="s">
        <v>119</v>
      </c>
      <c r="I959" t="s">
        <v>3716</v>
      </c>
      <c r="J959" t="str">
        <f>HYPERLINK("http://vk.com/id194510547")</f>
        <v>http://vk.com/id194510547</v>
      </c>
      <c r="K959">
        <v>116</v>
      </c>
      <c r="L959" t="s">
        <v>151</v>
      </c>
      <c r="N959" t="s">
        <v>122</v>
      </c>
      <c r="O959" t="s">
        <v>175</v>
      </c>
      <c r="P959" t="str">
        <f>HYPERLINK("http://vk.com/club27863223")</f>
        <v>http://vk.com/club27863223</v>
      </c>
      <c r="Q959">
        <v>134698</v>
      </c>
      <c r="R959" t="s">
        <v>124</v>
      </c>
      <c r="S959" t="s">
        <v>125</v>
      </c>
      <c r="T959" t="s">
        <v>1275</v>
      </c>
      <c r="U959" t="s">
        <v>3717</v>
      </c>
      <c r="AM959" t="s">
        <v>129</v>
      </c>
      <c r="AN959" t="s">
        <v>130</v>
      </c>
      <c r="AP959" t="s">
        <v>41</v>
      </c>
      <c r="AY959" t="s">
        <v>50</v>
      </c>
      <c r="AZ959" t="s">
        <v>51</v>
      </c>
      <c r="BA959" t="s">
        <v>52</v>
      </c>
      <c r="BQ959" t="s">
        <v>68</v>
      </c>
    </row>
    <row r="960" spans="1:69" x14ac:dyDescent="0.2">
      <c r="A960" t="s">
        <v>3597</v>
      </c>
      <c r="B960" t="s">
        <v>1433</v>
      </c>
      <c r="C960" t="s">
        <v>3724</v>
      </c>
      <c r="D960" t="s">
        <v>226</v>
      </c>
      <c r="E960" t="s">
        <v>3725</v>
      </c>
      <c r="F960" t="s">
        <v>118</v>
      </c>
      <c r="G960" t="str">
        <f>HYPERLINK("https://vk.com/wall-27863223_291992?w=wall-27863223_291992_r292134")</f>
        <v>https://vk.com/wall-27863223_291992?w=wall-27863223_291992_r292134</v>
      </c>
      <c r="H960" t="s">
        <v>228</v>
      </c>
      <c r="I960" t="s">
        <v>3712</v>
      </c>
      <c r="J960" t="str">
        <f>HYPERLINK("http://vk.com/id56014693")</f>
        <v>http://vk.com/id56014693</v>
      </c>
      <c r="K960">
        <v>3</v>
      </c>
      <c r="L960" t="s">
        <v>121</v>
      </c>
      <c r="N960" t="s">
        <v>122</v>
      </c>
      <c r="O960" t="s">
        <v>175</v>
      </c>
      <c r="P960" t="str">
        <f>HYPERLINK("http://vk.com/club27863223")</f>
        <v>http://vk.com/club27863223</v>
      </c>
      <c r="Q960">
        <v>134698</v>
      </c>
      <c r="R960" t="s">
        <v>124</v>
      </c>
      <c r="S960" t="s">
        <v>3713</v>
      </c>
      <c r="T960" t="s">
        <v>3714</v>
      </c>
      <c r="U960" t="s">
        <v>3714</v>
      </c>
      <c r="W960">
        <v>0</v>
      </c>
      <c r="X960">
        <v>0</v>
      </c>
      <c r="AM960" t="s">
        <v>129</v>
      </c>
      <c r="AN960" t="s">
        <v>130</v>
      </c>
      <c r="AP960" t="s">
        <v>41</v>
      </c>
      <c r="AZ960" t="s">
        <v>51</v>
      </c>
      <c r="BD960" t="s">
        <v>55</v>
      </c>
    </row>
    <row r="961" spans="1:100" x14ac:dyDescent="0.2">
      <c r="A961" t="s">
        <v>3597</v>
      </c>
      <c r="B961" t="s">
        <v>3726</v>
      </c>
      <c r="C961" t="s">
        <v>3724</v>
      </c>
      <c r="D961" t="s">
        <v>3727</v>
      </c>
      <c r="E961" t="s">
        <v>3728</v>
      </c>
      <c r="F961" t="s">
        <v>118</v>
      </c>
      <c r="G961" t="str">
        <f>HYPERLINK("https://vk.com/topic-124657642_35831234?post=4879")</f>
        <v>https://vk.com/topic-124657642_35831234?post=4879</v>
      </c>
      <c r="H961" t="s">
        <v>119</v>
      </c>
      <c r="I961" t="s">
        <v>3729</v>
      </c>
      <c r="J961" t="str">
        <f>HYPERLINK("http://vk.com/id416233697")</f>
        <v>http://vk.com/id416233697</v>
      </c>
      <c r="K961">
        <v>11</v>
      </c>
      <c r="N961" t="s">
        <v>122</v>
      </c>
      <c r="O961" t="s">
        <v>427</v>
      </c>
      <c r="P961" t="str">
        <f>HYPERLINK("http://vk.com/club124657642")</f>
        <v>http://vk.com/club124657642</v>
      </c>
      <c r="Q961">
        <v>15373</v>
      </c>
      <c r="R961" t="s">
        <v>124</v>
      </c>
      <c r="S961" t="s">
        <v>125</v>
      </c>
      <c r="T961" t="s">
        <v>3158</v>
      </c>
      <c r="U961" t="s">
        <v>3730</v>
      </c>
      <c r="AM961" t="s">
        <v>129</v>
      </c>
      <c r="AN961" t="s">
        <v>130</v>
      </c>
      <c r="AP961" t="s">
        <v>41</v>
      </c>
      <c r="AZ961" t="s">
        <v>51</v>
      </c>
      <c r="BA961" t="s">
        <v>52</v>
      </c>
      <c r="BQ961" t="s">
        <v>68</v>
      </c>
    </row>
    <row r="962" spans="1:100" x14ac:dyDescent="0.2">
      <c r="A962" t="s">
        <v>3597</v>
      </c>
      <c r="B962" t="s">
        <v>3731</v>
      </c>
      <c r="C962" t="s">
        <v>3732</v>
      </c>
      <c r="D962" t="s">
        <v>3733</v>
      </c>
      <c r="E962" t="s">
        <v>3734</v>
      </c>
      <c r="F962" t="s">
        <v>118</v>
      </c>
      <c r="G962" t="str">
        <f>HYPERLINK("https://vk.com/wall-179985743_162138?reply=162959&amp;thread=162192")</f>
        <v>https://vk.com/wall-179985743_162138?reply=162959&amp;thread=162192</v>
      </c>
      <c r="H962" t="s">
        <v>181</v>
      </c>
      <c r="I962" t="s">
        <v>3735</v>
      </c>
      <c r="J962" t="str">
        <f>HYPERLINK("http://vk.com/id255217884")</f>
        <v>http://vk.com/id255217884</v>
      </c>
      <c r="K962">
        <v>39</v>
      </c>
      <c r="L962" t="s">
        <v>121</v>
      </c>
      <c r="N962" t="s">
        <v>122</v>
      </c>
      <c r="O962" t="s">
        <v>3736</v>
      </c>
      <c r="P962" t="str">
        <f>HYPERLINK("http://vk.com/club179985743")</f>
        <v>http://vk.com/club179985743</v>
      </c>
      <c r="Q962">
        <v>180913</v>
      </c>
      <c r="R962" t="s">
        <v>124</v>
      </c>
      <c r="S962" t="s">
        <v>125</v>
      </c>
      <c r="AM962" t="s">
        <v>129</v>
      </c>
      <c r="AN962" t="s">
        <v>130</v>
      </c>
      <c r="AP962" t="s">
        <v>41</v>
      </c>
      <c r="AY962" t="s">
        <v>50</v>
      </c>
      <c r="AZ962" t="s">
        <v>51</v>
      </c>
      <c r="BA962" t="s">
        <v>52</v>
      </c>
    </row>
    <row r="963" spans="1:100" x14ac:dyDescent="0.2">
      <c r="A963" t="s">
        <v>3597</v>
      </c>
      <c r="B963" t="s">
        <v>1980</v>
      </c>
      <c r="C963" t="s">
        <v>3737</v>
      </c>
      <c r="D963" t="s">
        <v>3738</v>
      </c>
      <c r="E963" t="s">
        <v>3739</v>
      </c>
      <c r="F963" t="s">
        <v>118</v>
      </c>
      <c r="G963" t="str">
        <f>HYPERLINK("https://ok.ru/group/53408697090174/topic/153112185503870#MTYyNzE0MDI4ODA5NjotNjg2MToxNjI3MTQwMjg4MDk2OjE1MzExMjE4NTUwMzg3MDox")</f>
        <v>https://ok.ru/group/53408697090174/topic/153112185503870#MTYyNzE0MDI4ODA5NjotNjg2MToxNjI3MTQwMjg4MDk2OjE1MzExMjE4NTUwMzg3MDox</v>
      </c>
      <c r="H963" t="s">
        <v>119</v>
      </c>
      <c r="I963" t="s">
        <v>3740</v>
      </c>
      <c r="J963" t="str">
        <f>HYPERLINK("https://ok.ru/profile/506714410756")</f>
        <v>https://ok.ru/profile/506714410756</v>
      </c>
      <c r="K963">
        <v>251</v>
      </c>
      <c r="L963" t="s">
        <v>121</v>
      </c>
      <c r="M963">
        <v>61</v>
      </c>
      <c r="N963" t="s">
        <v>347</v>
      </c>
      <c r="O963" t="s">
        <v>3741</v>
      </c>
      <c r="P963" t="str">
        <f>HYPERLINK("https://ok.ru/group/53408697090174")</f>
        <v>https://ok.ru/group/53408697090174</v>
      </c>
      <c r="Q963">
        <v>692042</v>
      </c>
      <c r="R963" t="s">
        <v>124</v>
      </c>
      <c r="S963" t="s">
        <v>125</v>
      </c>
      <c r="W963">
        <v>0</v>
      </c>
      <c r="X963">
        <v>0</v>
      </c>
      <c r="AM963" t="s">
        <v>129</v>
      </c>
      <c r="AN963" t="s">
        <v>130</v>
      </c>
      <c r="AP963" t="s">
        <v>41</v>
      </c>
      <c r="AT963" t="s">
        <v>45</v>
      </c>
      <c r="AU963" t="s">
        <v>46</v>
      </c>
      <c r="AZ963" t="s">
        <v>51</v>
      </c>
      <c r="BA963" t="s">
        <v>52</v>
      </c>
    </row>
    <row r="964" spans="1:100" x14ac:dyDescent="0.2">
      <c r="A964" t="s">
        <v>3597</v>
      </c>
      <c r="B964" t="s">
        <v>1980</v>
      </c>
      <c r="C964" t="s">
        <v>3724</v>
      </c>
      <c r="D964" t="s">
        <v>226</v>
      </c>
      <c r="E964" t="s">
        <v>3742</v>
      </c>
      <c r="F964" t="s">
        <v>118</v>
      </c>
      <c r="G964" t="str">
        <f>HYPERLINK("https://vk.com/wall-27863223_291992?w=wall-27863223_291992_r292130")</f>
        <v>https://vk.com/wall-27863223_291992?w=wall-27863223_291992_r292130</v>
      </c>
      <c r="H964" t="s">
        <v>228</v>
      </c>
      <c r="I964" t="s">
        <v>3712</v>
      </c>
      <c r="J964" t="str">
        <f>HYPERLINK("http://vk.com/id56014693")</f>
        <v>http://vk.com/id56014693</v>
      </c>
      <c r="K964">
        <v>3</v>
      </c>
      <c r="L964" t="s">
        <v>121</v>
      </c>
      <c r="N964" t="s">
        <v>122</v>
      </c>
      <c r="O964" t="s">
        <v>175</v>
      </c>
      <c r="P964" t="str">
        <f>HYPERLINK("http://vk.com/club27863223")</f>
        <v>http://vk.com/club27863223</v>
      </c>
      <c r="Q964">
        <v>134698</v>
      </c>
      <c r="R964" t="s">
        <v>124</v>
      </c>
      <c r="S964" t="s">
        <v>3713</v>
      </c>
      <c r="T964" t="s">
        <v>3714</v>
      </c>
      <c r="U964" t="s">
        <v>3714</v>
      </c>
      <c r="W964">
        <v>0</v>
      </c>
      <c r="X964">
        <v>0</v>
      </c>
      <c r="AM964" t="s">
        <v>129</v>
      </c>
      <c r="AN964" t="s">
        <v>130</v>
      </c>
      <c r="AP964" t="s">
        <v>41</v>
      </c>
      <c r="AX964" t="s">
        <v>49</v>
      </c>
      <c r="AZ964" t="s">
        <v>51</v>
      </c>
      <c r="BD964" t="s">
        <v>55</v>
      </c>
    </row>
    <row r="965" spans="1:100" x14ac:dyDescent="0.2">
      <c r="A965" t="s">
        <v>3597</v>
      </c>
      <c r="B965" t="s">
        <v>322</v>
      </c>
      <c r="C965" t="s">
        <v>3724</v>
      </c>
      <c r="D965" t="s">
        <v>226</v>
      </c>
      <c r="E965" t="s">
        <v>3743</v>
      </c>
      <c r="F965" t="s">
        <v>118</v>
      </c>
      <c r="G965" t="str">
        <f>HYPERLINK("https://vk.com/wall-27863223_291992?w=wall-27863223_291992_r292128")</f>
        <v>https://vk.com/wall-27863223_291992?w=wall-27863223_291992_r292128</v>
      </c>
      <c r="H965" t="s">
        <v>228</v>
      </c>
      <c r="I965" t="s">
        <v>3712</v>
      </c>
      <c r="J965" t="str">
        <f>HYPERLINK("http://vk.com/id56014693")</f>
        <v>http://vk.com/id56014693</v>
      </c>
      <c r="K965">
        <v>3</v>
      </c>
      <c r="L965" t="s">
        <v>121</v>
      </c>
      <c r="N965" t="s">
        <v>122</v>
      </c>
      <c r="O965" t="s">
        <v>175</v>
      </c>
      <c r="P965" t="str">
        <f>HYPERLINK("http://vk.com/club27863223")</f>
        <v>http://vk.com/club27863223</v>
      </c>
      <c r="Q965">
        <v>134698</v>
      </c>
      <c r="R965" t="s">
        <v>124</v>
      </c>
      <c r="S965" t="s">
        <v>3713</v>
      </c>
      <c r="T965" t="s">
        <v>3714</v>
      </c>
      <c r="U965" t="s">
        <v>3714</v>
      </c>
      <c r="W965">
        <v>0</v>
      </c>
      <c r="X965">
        <v>0</v>
      </c>
      <c r="AM965" t="s">
        <v>129</v>
      </c>
      <c r="AN965" t="s">
        <v>130</v>
      </c>
      <c r="AP965" t="s">
        <v>41</v>
      </c>
      <c r="AX965" t="s">
        <v>49</v>
      </c>
      <c r="AY965" t="s">
        <v>50</v>
      </c>
      <c r="AZ965" t="s">
        <v>51</v>
      </c>
      <c r="BA965" t="s">
        <v>52</v>
      </c>
      <c r="BL965" t="s">
        <v>63</v>
      </c>
    </row>
    <row r="966" spans="1:100" x14ac:dyDescent="0.2">
      <c r="A966" t="s">
        <v>3597</v>
      </c>
      <c r="B966" t="s">
        <v>2993</v>
      </c>
      <c r="C966" t="s">
        <v>3744</v>
      </c>
      <c r="D966" t="s">
        <v>129</v>
      </c>
      <c r="E966" t="s">
        <v>3745</v>
      </c>
      <c r="F966" t="s">
        <v>118</v>
      </c>
      <c r="G966" t="str">
        <f>HYPERLINK("https://vk.com/wall-163759406_3809941?reply=3814381&amp;thread=3809993")</f>
        <v>https://vk.com/wall-163759406_3809941?reply=3814381&amp;thread=3809993</v>
      </c>
      <c r="H966" t="s">
        <v>181</v>
      </c>
      <c r="I966" t="s">
        <v>3746</v>
      </c>
      <c r="J966" t="str">
        <f>HYPERLINK("http://vk.com/id398948106")</f>
        <v>http://vk.com/id398948106</v>
      </c>
      <c r="K966">
        <v>125</v>
      </c>
      <c r="L966" t="s">
        <v>151</v>
      </c>
      <c r="N966" t="s">
        <v>122</v>
      </c>
      <c r="O966" t="s">
        <v>3747</v>
      </c>
      <c r="P966" t="str">
        <f>HYPERLINK("http://vk.com/club163759406")</f>
        <v>http://vk.com/club163759406</v>
      </c>
      <c r="Q966">
        <v>702935</v>
      </c>
      <c r="R966" t="s">
        <v>124</v>
      </c>
      <c r="S966" t="s">
        <v>125</v>
      </c>
      <c r="T966" t="s">
        <v>325</v>
      </c>
      <c r="U966" t="s">
        <v>3748</v>
      </c>
      <c r="AM966" t="s">
        <v>129</v>
      </c>
      <c r="AN966" t="s">
        <v>130</v>
      </c>
      <c r="AP966" t="s">
        <v>41</v>
      </c>
      <c r="AZ966" t="s">
        <v>51</v>
      </c>
      <c r="BA966" t="s">
        <v>52</v>
      </c>
      <c r="BM966" t="s">
        <v>64</v>
      </c>
    </row>
    <row r="967" spans="1:100" x14ac:dyDescent="0.2">
      <c r="A967" t="s">
        <v>3597</v>
      </c>
      <c r="B967" t="s">
        <v>2472</v>
      </c>
      <c r="C967" t="s">
        <v>3749</v>
      </c>
      <c r="D967" t="s">
        <v>226</v>
      </c>
      <c r="E967" t="s">
        <v>3750</v>
      </c>
      <c r="F967" t="s">
        <v>118</v>
      </c>
      <c r="G967" t="str">
        <f>HYPERLINK("https://vk.com/wall-27863223_291992?w=wall-27863223_291992_r292126")</f>
        <v>https://vk.com/wall-27863223_291992?w=wall-27863223_291992_r292126</v>
      </c>
      <c r="H967" t="s">
        <v>228</v>
      </c>
      <c r="I967" t="s">
        <v>3712</v>
      </c>
      <c r="J967" t="str">
        <f>HYPERLINK("http://vk.com/id56014693")</f>
        <v>http://vk.com/id56014693</v>
      </c>
      <c r="K967">
        <v>3</v>
      </c>
      <c r="L967" t="s">
        <v>121</v>
      </c>
      <c r="N967" t="s">
        <v>122</v>
      </c>
      <c r="O967" t="s">
        <v>175</v>
      </c>
      <c r="P967" t="str">
        <f>HYPERLINK("http://vk.com/club27863223")</f>
        <v>http://vk.com/club27863223</v>
      </c>
      <c r="Q967">
        <v>134698</v>
      </c>
      <c r="R967" t="s">
        <v>124</v>
      </c>
      <c r="S967" t="s">
        <v>3713</v>
      </c>
      <c r="T967" t="s">
        <v>3714</v>
      </c>
      <c r="U967" t="s">
        <v>3714</v>
      </c>
      <c r="W967">
        <v>0</v>
      </c>
      <c r="X967">
        <v>0</v>
      </c>
      <c r="AM967" t="s">
        <v>129</v>
      </c>
      <c r="AN967" t="s">
        <v>130</v>
      </c>
      <c r="AP967" t="s">
        <v>41</v>
      </c>
      <c r="AU967" t="s">
        <v>46</v>
      </c>
      <c r="AX967" t="s">
        <v>49</v>
      </c>
      <c r="AZ967" t="s">
        <v>51</v>
      </c>
      <c r="BA967" t="s">
        <v>52</v>
      </c>
      <c r="BL967" t="s">
        <v>63</v>
      </c>
      <c r="BM967" t="s">
        <v>64</v>
      </c>
    </row>
    <row r="968" spans="1:100" x14ac:dyDescent="0.2">
      <c r="A968" t="s">
        <v>3597</v>
      </c>
      <c r="B968" t="s">
        <v>2472</v>
      </c>
      <c r="C968" t="s">
        <v>3570</v>
      </c>
      <c r="D968" t="s">
        <v>3751</v>
      </c>
      <c r="E968" t="s">
        <v>3752</v>
      </c>
      <c r="F968" t="s">
        <v>180</v>
      </c>
      <c r="G968" t="str">
        <f>HYPERLINK("https://www.google.com/maps/reviews/data=!4m5!14m4!1m3!1m2!1s106745409048036138584!2s0x0:0x54c7db919fe3a8ff?hl=en-NL")</f>
        <v>https://www.google.com/maps/reviews/data=!4m5!14m4!1m3!1m2!1s106745409048036138584!2s0x0:0x54c7db919fe3a8ff?hl=en-NL</v>
      </c>
      <c r="H968" t="s">
        <v>181</v>
      </c>
      <c r="I968" t="s">
        <v>3753</v>
      </c>
      <c r="J968" t="str">
        <f>HYPERLINK("https://maps.google.com/maps/contrib/106745409048036138584")</f>
        <v>https://maps.google.com/maps/contrib/106745409048036138584</v>
      </c>
      <c r="L968" t="s">
        <v>121</v>
      </c>
      <c r="N968" t="s">
        <v>673</v>
      </c>
      <c r="O968" t="s">
        <v>3751</v>
      </c>
      <c r="P968" t="str">
        <f>HYPERLINK("https://maps.google.com/maps/place/data=!3m1!4b1!4m5!3m4!1s0x0:0x54c7db919fe3a8ff!8m2!3d55.974700!4d37.906790")</f>
        <v>https://maps.google.com/maps/place/data=!3m1!4b1!4m5!3m4!1s0x0:0x54c7db919fe3a8ff!8m2!3d55.974700!4d37.906790</v>
      </c>
      <c r="R968" t="s">
        <v>184</v>
      </c>
      <c r="S968" t="s">
        <v>125</v>
      </c>
      <c r="T968" t="s">
        <v>153</v>
      </c>
      <c r="U968" t="s">
        <v>3754</v>
      </c>
      <c r="W968">
        <v>0</v>
      </c>
      <c r="X968">
        <v>0</v>
      </c>
      <c r="AH968">
        <v>5</v>
      </c>
      <c r="AM968" t="s">
        <v>129</v>
      </c>
      <c r="AN968" t="s">
        <v>130</v>
      </c>
      <c r="AP968" t="s">
        <v>41</v>
      </c>
      <c r="AX968" t="s">
        <v>49</v>
      </c>
      <c r="AZ968" t="s">
        <v>51</v>
      </c>
      <c r="BA968" t="s">
        <v>52</v>
      </c>
    </row>
    <row r="969" spans="1:100" x14ac:dyDescent="0.2">
      <c r="A969" t="s">
        <v>3597</v>
      </c>
      <c r="B969" t="s">
        <v>3755</v>
      </c>
      <c r="C969" t="s">
        <v>3756</v>
      </c>
      <c r="D969" t="s">
        <v>3757</v>
      </c>
      <c r="E969" t="s">
        <v>3758</v>
      </c>
      <c r="F969" t="s">
        <v>180</v>
      </c>
      <c r="G969" t="str">
        <f>HYPERLINK("https://www.wildberries.ru/catalog/21146944/detail.aspx?targetUrl=ES#Comments")</f>
        <v>https://www.wildberries.ru/catalog/21146944/detail.aspx?targetUrl=ES#Comments</v>
      </c>
      <c r="H969" t="s">
        <v>181</v>
      </c>
      <c r="I969" t="s">
        <v>1347</v>
      </c>
      <c r="J969" t="str">
        <f>HYPERLINK("https://www.wildberries.ru/profile/w7TDssOkw7PCu8KzwrHCtMK1wrfCscKywrk=")</f>
        <v>https://www.wildberries.ru/profile/w7TDssOkw7PCu8KzwrHCtMK1wrfCscKywrk=</v>
      </c>
      <c r="L969" t="s">
        <v>121</v>
      </c>
      <c r="N969" t="s">
        <v>534</v>
      </c>
      <c r="O969" t="s">
        <v>3757</v>
      </c>
      <c r="P969" t="str">
        <f>HYPERLINK("https://www.wildberries.ru/catalog/15084873/detail.aspx")</f>
        <v>https://www.wildberries.ru/catalog/15084873/detail.aspx</v>
      </c>
      <c r="R969" t="s">
        <v>184</v>
      </c>
      <c r="S969" t="s">
        <v>125</v>
      </c>
      <c r="W969">
        <v>0</v>
      </c>
      <c r="X969">
        <v>0</v>
      </c>
      <c r="AH969">
        <v>5</v>
      </c>
      <c r="AM969" t="s">
        <v>129</v>
      </c>
      <c r="AN969" t="s">
        <v>130</v>
      </c>
      <c r="AP969" t="s">
        <v>41</v>
      </c>
      <c r="AT969" t="s">
        <v>45</v>
      </c>
      <c r="AZ969" t="s">
        <v>51</v>
      </c>
      <c r="BA969" t="s">
        <v>52</v>
      </c>
      <c r="BK969" t="s">
        <v>62</v>
      </c>
    </row>
    <row r="970" spans="1:100" x14ac:dyDescent="0.2">
      <c r="A970" t="s">
        <v>3597</v>
      </c>
      <c r="B970" t="s">
        <v>337</v>
      </c>
      <c r="C970" t="s">
        <v>3749</v>
      </c>
      <c r="D970" t="s">
        <v>226</v>
      </c>
      <c r="E970" t="s">
        <v>3759</v>
      </c>
      <c r="F970" t="s">
        <v>118</v>
      </c>
      <c r="G970" t="str">
        <f>HYPERLINK("https://vk.com/wall-27863223_291992?w=wall-27863223_291992_r292124")</f>
        <v>https://vk.com/wall-27863223_291992?w=wall-27863223_291992_r292124</v>
      </c>
      <c r="H970" t="s">
        <v>119</v>
      </c>
      <c r="I970" t="s">
        <v>3712</v>
      </c>
      <c r="J970" t="str">
        <f>HYPERLINK("http://vk.com/id56014693")</f>
        <v>http://vk.com/id56014693</v>
      </c>
      <c r="K970">
        <v>3</v>
      </c>
      <c r="L970" t="s">
        <v>121</v>
      </c>
      <c r="N970" t="s">
        <v>122</v>
      </c>
      <c r="O970" t="s">
        <v>175</v>
      </c>
      <c r="P970" t="str">
        <f>HYPERLINK("http://vk.com/club27863223")</f>
        <v>http://vk.com/club27863223</v>
      </c>
      <c r="Q970">
        <v>134698</v>
      </c>
      <c r="R970" t="s">
        <v>124</v>
      </c>
      <c r="S970" t="s">
        <v>3713</v>
      </c>
      <c r="T970" t="s">
        <v>3714</v>
      </c>
      <c r="U970" t="s">
        <v>3714</v>
      </c>
      <c r="W970">
        <v>0</v>
      </c>
      <c r="X970">
        <v>0</v>
      </c>
      <c r="AM970" t="s">
        <v>129</v>
      </c>
      <c r="AN970" t="s">
        <v>130</v>
      </c>
      <c r="AP970" t="s">
        <v>41</v>
      </c>
      <c r="AZ970" t="s">
        <v>51</v>
      </c>
      <c r="BA970" t="s">
        <v>52</v>
      </c>
      <c r="BL970" t="s">
        <v>63</v>
      </c>
    </row>
    <row r="971" spans="1:100" x14ac:dyDescent="0.2">
      <c r="A971" t="s">
        <v>3597</v>
      </c>
      <c r="B971" t="s">
        <v>2996</v>
      </c>
      <c r="C971" t="s">
        <v>3760</v>
      </c>
      <c r="D971" t="s">
        <v>226</v>
      </c>
      <c r="E971" t="s">
        <v>3761</v>
      </c>
      <c r="F971" t="s">
        <v>118</v>
      </c>
      <c r="G971" t="str">
        <f>HYPERLINK("https://vk.com/wall-27863223_291992?reply=292121")</f>
        <v>https://vk.com/wall-27863223_291992?reply=292121</v>
      </c>
      <c r="H971" t="s">
        <v>228</v>
      </c>
      <c r="I971" t="s">
        <v>3712</v>
      </c>
      <c r="J971" t="str">
        <f>HYPERLINK("http://vk.com/id56014693")</f>
        <v>http://vk.com/id56014693</v>
      </c>
      <c r="K971">
        <v>3</v>
      </c>
      <c r="L971" t="s">
        <v>121</v>
      </c>
      <c r="N971" t="s">
        <v>122</v>
      </c>
      <c r="O971" t="s">
        <v>175</v>
      </c>
      <c r="P971" t="str">
        <f>HYPERLINK("http://vk.com/club27863223")</f>
        <v>http://vk.com/club27863223</v>
      </c>
      <c r="Q971">
        <v>134698</v>
      </c>
      <c r="R971" t="s">
        <v>124</v>
      </c>
      <c r="S971" t="s">
        <v>3713</v>
      </c>
      <c r="T971" t="s">
        <v>3714</v>
      </c>
      <c r="U971" t="s">
        <v>3714</v>
      </c>
      <c r="W971">
        <v>0</v>
      </c>
      <c r="X971">
        <v>0</v>
      </c>
      <c r="AM971" t="s">
        <v>129</v>
      </c>
      <c r="AN971" t="s">
        <v>130</v>
      </c>
      <c r="AP971" t="s">
        <v>41</v>
      </c>
      <c r="AT971" t="s">
        <v>45</v>
      </c>
      <c r="AZ971" t="s">
        <v>51</v>
      </c>
      <c r="BA971" t="s">
        <v>52</v>
      </c>
      <c r="CV971" t="s">
        <v>99</v>
      </c>
    </row>
    <row r="972" spans="1:100" x14ac:dyDescent="0.2">
      <c r="A972" t="s">
        <v>3597</v>
      </c>
      <c r="B972" t="s">
        <v>3762</v>
      </c>
      <c r="C972" t="s">
        <v>3763</v>
      </c>
      <c r="D972" t="s">
        <v>226</v>
      </c>
      <c r="E972" t="s">
        <v>3764</v>
      </c>
      <c r="F972" t="s">
        <v>118</v>
      </c>
      <c r="G972" t="str">
        <f>HYPERLINK("https://vk.com/wall-27863223_291992?reply=292120&amp;thread=292006")</f>
        <v>https://vk.com/wall-27863223_291992?reply=292120&amp;thread=292006</v>
      </c>
      <c r="H972" t="s">
        <v>228</v>
      </c>
      <c r="I972" t="s">
        <v>3765</v>
      </c>
      <c r="J972" t="str">
        <f>HYPERLINK("http://vk.com/id4428994")</f>
        <v>http://vk.com/id4428994</v>
      </c>
      <c r="K972">
        <v>287</v>
      </c>
      <c r="L972" t="s">
        <v>151</v>
      </c>
      <c r="N972" t="s">
        <v>122</v>
      </c>
      <c r="O972" t="s">
        <v>175</v>
      </c>
      <c r="P972" t="str">
        <f>HYPERLINK("http://vk.com/club27863223")</f>
        <v>http://vk.com/club27863223</v>
      </c>
      <c r="Q972">
        <v>134698</v>
      </c>
      <c r="R972" t="s">
        <v>124</v>
      </c>
      <c r="S972" t="s">
        <v>125</v>
      </c>
      <c r="T972" t="s">
        <v>169</v>
      </c>
      <c r="U972" t="s">
        <v>169</v>
      </c>
      <c r="AM972" t="s">
        <v>129</v>
      </c>
      <c r="AN972" t="s">
        <v>130</v>
      </c>
      <c r="AP972" t="s">
        <v>41</v>
      </c>
      <c r="AU972" t="s">
        <v>46</v>
      </c>
      <c r="AY972" t="s">
        <v>50</v>
      </c>
      <c r="AZ972" t="s">
        <v>51</v>
      </c>
      <c r="BA972" t="s">
        <v>52</v>
      </c>
    </row>
    <row r="973" spans="1:100" x14ac:dyDescent="0.2">
      <c r="A973" t="s">
        <v>3597</v>
      </c>
      <c r="B973" t="s">
        <v>360</v>
      </c>
      <c r="C973" t="s">
        <v>3766</v>
      </c>
      <c r="D973" t="s">
        <v>226</v>
      </c>
      <c r="E973" t="s">
        <v>3767</v>
      </c>
      <c r="F973" t="s">
        <v>118</v>
      </c>
      <c r="G973" t="str">
        <f>HYPERLINK("https://vk.com/wall-27863223_291992?reply=292118&amp;thread=292006")</f>
        <v>https://vk.com/wall-27863223_291992?reply=292118&amp;thread=292006</v>
      </c>
      <c r="H973" t="s">
        <v>119</v>
      </c>
      <c r="I973" t="s">
        <v>3765</v>
      </c>
      <c r="J973" t="str">
        <f>HYPERLINK("http://vk.com/id4428994")</f>
        <v>http://vk.com/id4428994</v>
      </c>
      <c r="K973">
        <v>287</v>
      </c>
      <c r="L973" t="s">
        <v>151</v>
      </c>
      <c r="N973" t="s">
        <v>122</v>
      </c>
      <c r="O973" t="s">
        <v>175</v>
      </c>
      <c r="P973" t="str">
        <f>HYPERLINK("http://vk.com/club27863223")</f>
        <v>http://vk.com/club27863223</v>
      </c>
      <c r="Q973">
        <v>134698</v>
      </c>
      <c r="R973" t="s">
        <v>124</v>
      </c>
      <c r="S973" t="s">
        <v>125</v>
      </c>
      <c r="T973" t="s">
        <v>169</v>
      </c>
      <c r="U973" t="s">
        <v>169</v>
      </c>
      <c r="AM973" t="s">
        <v>129</v>
      </c>
      <c r="AN973" t="s">
        <v>130</v>
      </c>
      <c r="AP973" t="s">
        <v>41</v>
      </c>
      <c r="AU973" t="s">
        <v>46</v>
      </c>
      <c r="AZ973" t="s">
        <v>51</v>
      </c>
      <c r="BA973" t="s">
        <v>52</v>
      </c>
    </row>
    <row r="974" spans="1:100" x14ac:dyDescent="0.2">
      <c r="A974" t="s">
        <v>3597</v>
      </c>
      <c r="B974" t="s">
        <v>2494</v>
      </c>
      <c r="C974" t="s">
        <v>3768</v>
      </c>
      <c r="D974" t="s">
        <v>3769</v>
      </c>
      <c r="E974" t="s">
        <v>3770</v>
      </c>
      <c r="F974" t="s">
        <v>118</v>
      </c>
      <c r="G974" t="str">
        <f>HYPERLINK("https://vk.com/wall-132869462_182634?reply=182838&amp;thread=182673")</f>
        <v>https://vk.com/wall-132869462_182634?reply=182838&amp;thread=182673</v>
      </c>
      <c r="H974" t="s">
        <v>119</v>
      </c>
      <c r="I974" t="s">
        <v>3771</v>
      </c>
      <c r="J974" t="str">
        <f>HYPERLINK("http://vk.com/id44281498")</f>
        <v>http://vk.com/id44281498</v>
      </c>
      <c r="K974">
        <v>1165</v>
      </c>
      <c r="L974" t="s">
        <v>121</v>
      </c>
      <c r="N974" t="s">
        <v>122</v>
      </c>
      <c r="O974" t="s">
        <v>843</v>
      </c>
      <c r="P974" t="str">
        <f>HYPERLINK("http://vk.com/club132869462")</f>
        <v>http://vk.com/club132869462</v>
      </c>
      <c r="Q974">
        <v>14644</v>
      </c>
      <c r="R974" t="s">
        <v>124</v>
      </c>
      <c r="S974" t="s">
        <v>125</v>
      </c>
      <c r="T974" t="s">
        <v>314</v>
      </c>
      <c r="U974" t="s">
        <v>315</v>
      </c>
      <c r="AM974" t="s">
        <v>129</v>
      </c>
      <c r="AN974" t="s">
        <v>130</v>
      </c>
      <c r="AP974" t="s">
        <v>41</v>
      </c>
      <c r="AW974" t="s">
        <v>48</v>
      </c>
      <c r="AZ974" t="s">
        <v>51</v>
      </c>
      <c r="BA974" t="s">
        <v>52</v>
      </c>
    </row>
    <row r="975" spans="1:100" x14ac:dyDescent="0.2">
      <c r="A975" t="s">
        <v>3597</v>
      </c>
      <c r="B975" t="s">
        <v>369</v>
      </c>
      <c r="C975" t="s">
        <v>3772</v>
      </c>
      <c r="D975" t="s">
        <v>3773</v>
      </c>
      <c r="E975" t="s">
        <v>3774</v>
      </c>
      <c r="F975" t="s">
        <v>180</v>
      </c>
      <c r="G975" t="str">
        <f>HYPERLINK("https://www.google.com/maps/reviews/data=!4m5!14m4!1m3!1m2!1s111936698921757882988!2s0x0:0x8e10c26df599477e?hl=en-NL")</f>
        <v>https://www.google.com/maps/reviews/data=!4m5!14m4!1m3!1m2!1s111936698921757882988!2s0x0:0x8e10c26df599477e?hl=en-NL</v>
      </c>
      <c r="H975" t="s">
        <v>181</v>
      </c>
      <c r="I975" t="s">
        <v>3775</v>
      </c>
      <c r="J975" t="str">
        <f>HYPERLINK("https://maps.google.com/maps/contrib/111936698921757882988")</f>
        <v>https://maps.google.com/maps/contrib/111936698921757882988</v>
      </c>
      <c r="L975" t="s">
        <v>121</v>
      </c>
      <c r="N975" t="s">
        <v>673</v>
      </c>
      <c r="O975" t="s">
        <v>3773</v>
      </c>
      <c r="P975" t="str">
        <f>HYPERLINK("https://maps.google.com/maps/place/data=!3m1!4b1!4m5!3m4!1s0x0:0x8e10c26df599477e!8m2!3d43.472780!4d43.584410")</f>
        <v>https://maps.google.com/maps/place/data=!3m1!4b1!4m5!3m4!1s0x0:0x8e10c26df599477e!8m2!3d43.472780!4d43.584410</v>
      </c>
      <c r="R975" t="s">
        <v>184</v>
      </c>
      <c r="S975" t="s">
        <v>125</v>
      </c>
      <c r="T975" t="s">
        <v>273</v>
      </c>
      <c r="U975" t="s">
        <v>274</v>
      </c>
      <c r="W975">
        <v>0</v>
      </c>
      <c r="X975">
        <v>0</v>
      </c>
      <c r="AH975">
        <v>5</v>
      </c>
      <c r="AM975" t="s">
        <v>129</v>
      </c>
      <c r="AN975" t="s">
        <v>130</v>
      </c>
      <c r="AP975" t="s">
        <v>41</v>
      </c>
      <c r="AX975" t="s">
        <v>49</v>
      </c>
      <c r="AZ975" t="s">
        <v>51</v>
      </c>
      <c r="BA975" t="s">
        <v>52</v>
      </c>
    </row>
    <row r="976" spans="1:100" x14ac:dyDescent="0.2">
      <c r="A976" t="s">
        <v>3597</v>
      </c>
      <c r="B976" t="s">
        <v>374</v>
      </c>
      <c r="C976" t="s">
        <v>3776</v>
      </c>
      <c r="D976" t="s">
        <v>2001</v>
      </c>
      <c r="E976" t="s">
        <v>3777</v>
      </c>
      <c r="F976" t="s">
        <v>118</v>
      </c>
      <c r="G976" t="str">
        <f>HYPERLINK("https://vk.com/wall-27863223_291925?reply=292116")</f>
        <v>https://vk.com/wall-27863223_291925?reply=292116</v>
      </c>
      <c r="H976" t="s">
        <v>228</v>
      </c>
      <c r="I976" t="s">
        <v>3765</v>
      </c>
      <c r="J976" t="str">
        <f>HYPERLINK("http://vk.com/id4428994")</f>
        <v>http://vk.com/id4428994</v>
      </c>
      <c r="K976">
        <v>287</v>
      </c>
      <c r="L976" t="s">
        <v>151</v>
      </c>
      <c r="N976" t="s">
        <v>122</v>
      </c>
      <c r="O976" t="s">
        <v>175</v>
      </c>
      <c r="P976" t="str">
        <f>HYPERLINK("http://vk.com/club27863223")</f>
        <v>http://vk.com/club27863223</v>
      </c>
      <c r="Q976">
        <v>134698</v>
      </c>
      <c r="R976" t="s">
        <v>124</v>
      </c>
      <c r="S976" t="s">
        <v>125</v>
      </c>
      <c r="T976" t="s">
        <v>169</v>
      </c>
      <c r="U976" t="s">
        <v>169</v>
      </c>
      <c r="AM976" t="s">
        <v>129</v>
      </c>
      <c r="AN976" t="s">
        <v>130</v>
      </c>
      <c r="AP976" t="s">
        <v>41</v>
      </c>
      <c r="AU976" t="s">
        <v>46</v>
      </c>
      <c r="AZ976" t="s">
        <v>51</v>
      </c>
      <c r="BA976" t="s">
        <v>52</v>
      </c>
    </row>
    <row r="977" spans="1:100" x14ac:dyDescent="0.2">
      <c r="A977" t="s">
        <v>3597</v>
      </c>
      <c r="B977" t="s">
        <v>3778</v>
      </c>
      <c r="C977" t="s">
        <v>3719</v>
      </c>
      <c r="D977" t="s">
        <v>1568</v>
      </c>
      <c r="E977" t="s">
        <v>3779</v>
      </c>
      <c r="F977" t="s">
        <v>118</v>
      </c>
      <c r="G977" t="str">
        <f>HYPERLINK("https://irecommend.ru/content/bolshoi-otzyv-posle-10-let-ispolzovaniya-k-chemu-nado-byt-gotovym-pri-podklyuchenii-k-trikol#comment-24180041")</f>
        <v>https://irecommend.ru/content/bolshoi-otzyv-posle-10-let-ispolzovaniya-k-chemu-nado-byt-gotovym-pri-podklyuchenii-k-trikol#comment-24180041</v>
      </c>
      <c r="H977" t="s">
        <v>119</v>
      </c>
      <c r="I977" t="s">
        <v>3780</v>
      </c>
      <c r="J977" t="str">
        <f>HYPERLINK("https://irecommend.ru/users/elzahill")</f>
        <v>https://irecommend.ru/users/elzahill</v>
      </c>
      <c r="N977" t="s">
        <v>1571</v>
      </c>
      <c r="O977" t="s">
        <v>1568</v>
      </c>
      <c r="P977" t="str">
        <f>HYPERLINK("https://irecommend.ru/content/sputnikovoe-televidenie-trikolortv")</f>
        <v>https://irecommend.ru/content/sputnikovoe-televidenie-trikolortv</v>
      </c>
      <c r="R977" t="s">
        <v>184</v>
      </c>
      <c r="S977" t="s">
        <v>125</v>
      </c>
      <c r="AM977" t="s">
        <v>129</v>
      </c>
      <c r="AN977" t="s">
        <v>130</v>
      </c>
      <c r="AP977" t="s">
        <v>41</v>
      </c>
      <c r="AZ977" t="s">
        <v>51</v>
      </c>
      <c r="BA977" t="s">
        <v>52</v>
      </c>
    </row>
    <row r="978" spans="1:100" x14ac:dyDescent="0.2">
      <c r="A978" t="s">
        <v>3597</v>
      </c>
      <c r="B978" t="s">
        <v>3035</v>
      </c>
      <c r="C978" t="s">
        <v>3719</v>
      </c>
      <c r="D978" t="s">
        <v>1568</v>
      </c>
      <c r="E978" t="s">
        <v>3781</v>
      </c>
      <c r="F978" t="s">
        <v>118</v>
      </c>
      <c r="G978" t="str">
        <f>HYPERLINK("https://irecommend.ru/content/bolshoi-otzyv-posle-10-let-ispolzovaniya-k-chemu-nado-byt-gotovym-pri-podklyuchenii-k-trikol#comment-24179986")</f>
        <v>https://irecommend.ru/content/bolshoi-otzyv-posle-10-let-ispolzovaniya-k-chemu-nado-byt-gotovym-pri-podklyuchenii-k-trikol#comment-24179986</v>
      </c>
      <c r="H978" t="s">
        <v>228</v>
      </c>
      <c r="I978" t="s">
        <v>3782</v>
      </c>
      <c r="J978" t="str">
        <f>HYPERLINK("https://irecommend.ru/users/nasaveryanova")</f>
        <v>https://irecommend.ru/users/nasaveryanova</v>
      </c>
      <c r="N978" t="s">
        <v>1571</v>
      </c>
      <c r="O978" t="s">
        <v>1568</v>
      </c>
      <c r="P978" t="str">
        <f>HYPERLINK("https://irecommend.ru/content/sputnikovoe-televidenie-trikolortv")</f>
        <v>https://irecommend.ru/content/sputnikovoe-televidenie-trikolortv</v>
      </c>
      <c r="R978" t="s">
        <v>184</v>
      </c>
      <c r="S978" t="s">
        <v>125</v>
      </c>
      <c r="AM978" t="s">
        <v>129</v>
      </c>
      <c r="AN978" t="s">
        <v>130</v>
      </c>
      <c r="AP978" t="s">
        <v>41</v>
      </c>
      <c r="AT978" t="s">
        <v>45</v>
      </c>
      <c r="AU978" t="s">
        <v>46</v>
      </c>
      <c r="AW978" t="s">
        <v>48</v>
      </c>
      <c r="AZ978" t="s">
        <v>51</v>
      </c>
      <c r="BA978" t="s">
        <v>52</v>
      </c>
      <c r="BL978" t="s">
        <v>63</v>
      </c>
      <c r="CV978" t="s">
        <v>99</v>
      </c>
    </row>
    <row r="979" spans="1:100" x14ac:dyDescent="0.2">
      <c r="A979" t="s">
        <v>3597</v>
      </c>
      <c r="B979" t="s">
        <v>3783</v>
      </c>
      <c r="C979" t="s">
        <v>3784</v>
      </c>
      <c r="D979" t="s">
        <v>1211</v>
      </c>
      <c r="E979" t="s">
        <v>3785</v>
      </c>
      <c r="F979" t="s">
        <v>180</v>
      </c>
      <c r="G979" t="str">
        <f>HYPERLINK("https://www.ozon.ru/context/detail/id/254490633/#61766333")</f>
        <v>https://www.ozon.ru/context/detail/id/254490633/#61766333</v>
      </c>
      <c r="H979" t="s">
        <v>119</v>
      </c>
      <c r="I979" t="s">
        <v>3786</v>
      </c>
      <c r="J979" t="str">
        <f>HYPERLINK("https://www.ozon.ru/context/client_opinion/ClientGuid/969088b4-abf1-43eb-befc-730e09f245b4/")</f>
        <v>https://www.ozon.ru/context/client_opinion/ClientGuid/969088b4-abf1-43eb-befc-730e09f245b4/</v>
      </c>
      <c r="L979" t="s">
        <v>121</v>
      </c>
      <c r="N979" t="s">
        <v>183</v>
      </c>
      <c r="O979" t="s">
        <v>1211</v>
      </c>
      <c r="P979" t="str">
        <f>HYPERLINK("https://www.ozon.ru/context/detail/id/254490633/")</f>
        <v>https://www.ozon.ru/context/detail/id/254490633/</v>
      </c>
      <c r="R979" t="s">
        <v>184</v>
      </c>
      <c r="S979" t="s">
        <v>125</v>
      </c>
      <c r="W979">
        <v>0</v>
      </c>
      <c r="X979">
        <v>0</v>
      </c>
      <c r="AH979">
        <v>4</v>
      </c>
      <c r="AM979" t="s">
        <v>129</v>
      </c>
      <c r="AN979" t="s">
        <v>130</v>
      </c>
      <c r="AP979" t="s">
        <v>41</v>
      </c>
      <c r="AT979" t="s">
        <v>45</v>
      </c>
      <c r="AZ979" t="s">
        <v>51</v>
      </c>
      <c r="BA979" t="s">
        <v>52</v>
      </c>
      <c r="BL979" t="s">
        <v>63</v>
      </c>
    </row>
    <row r="980" spans="1:100" x14ac:dyDescent="0.2">
      <c r="A980" t="s">
        <v>3597</v>
      </c>
      <c r="B980" t="s">
        <v>3787</v>
      </c>
      <c r="C980" t="s">
        <v>3788</v>
      </c>
      <c r="D980" t="s">
        <v>2984</v>
      </c>
      <c r="E980" t="s">
        <v>3789</v>
      </c>
      <c r="F980" t="s">
        <v>118</v>
      </c>
      <c r="G980" t="str">
        <f>HYPERLINK("https://vk.com/wall-64986792_2188228?reply=2188375")</f>
        <v>https://vk.com/wall-64986792_2188228?reply=2188375</v>
      </c>
      <c r="H980" t="s">
        <v>228</v>
      </c>
      <c r="I980" t="s">
        <v>3790</v>
      </c>
      <c r="J980" t="str">
        <f>HYPERLINK("http://vk.com/id3670408")</f>
        <v>http://vk.com/id3670408</v>
      </c>
      <c r="K980">
        <v>113</v>
      </c>
      <c r="L980" t="s">
        <v>121</v>
      </c>
      <c r="M980">
        <v>36</v>
      </c>
      <c r="N980" t="s">
        <v>122</v>
      </c>
      <c r="O980" t="s">
        <v>2986</v>
      </c>
      <c r="P980" t="str">
        <f>HYPERLINK("http://vk.com/club64986792")</f>
        <v>http://vk.com/club64986792</v>
      </c>
      <c r="Q980">
        <v>52847</v>
      </c>
      <c r="R980" t="s">
        <v>124</v>
      </c>
      <c r="S980" t="s">
        <v>125</v>
      </c>
      <c r="T980" t="s">
        <v>2166</v>
      </c>
      <c r="U980" t="s">
        <v>2167</v>
      </c>
      <c r="AM980" t="s">
        <v>129</v>
      </c>
      <c r="AN980" t="s">
        <v>130</v>
      </c>
      <c r="AP980" t="s">
        <v>41</v>
      </c>
      <c r="AX980" t="s">
        <v>49</v>
      </c>
      <c r="AZ980" t="s">
        <v>51</v>
      </c>
      <c r="BD980" t="s">
        <v>55</v>
      </c>
    </row>
    <row r="981" spans="1:100" x14ac:dyDescent="0.2">
      <c r="A981" t="s">
        <v>3597</v>
      </c>
      <c r="B981" t="s">
        <v>3791</v>
      </c>
      <c r="C981" t="s">
        <v>3776</v>
      </c>
      <c r="D981" t="s">
        <v>1568</v>
      </c>
      <c r="E981" t="s">
        <v>3792</v>
      </c>
      <c r="F981" t="s">
        <v>118</v>
      </c>
      <c r="G981" t="str">
        <f>HYPERLINK("https://irecommend.ru/content/bolshoi-otzyv-posle-10-let-ispolzovaniya-k-chemu-nado-byt-gotovym-pri-podklyuchenii-k-trikol#comment-24179939")</f>
        <v>https://irecommend.ru/content/bolshoi-otzyv-posle-10-let-ispolzovaniya-k-chemu-nado-byt-gotovym-pri-podklyuchenii-k-trikol#comment-24179939</v>
      </c>
      <c r="H981" t="s">
        <v>228</v>
      </c>
      <c r="I981" t="s">
        <v>3793</v>
      </c>
      <c r="J981" t="str">
        <f>HYPERLINK("https://irecommend.ru/users/daria5-0")</f>
        <v>https://irecommend.ru/users/daria5-0</v>
      </c>
      <c r="N981" t="s">
        <v>1571</v>
      </c>
      <c r="O981" t="s">
        <v>1568</v>
      </c>
      <c r="P981" t="str">
        <f>HYPERLINK("https://irecommend.ru/content/sputnikovoe-televidenie-trikolortv")</f>
        <v>https://irecommend.ru/content/sputnikovoe-televidenie-trikolortv</v>
      </c>
      <c r="R981" t="s">
        <v>184</v>
      </c>
      <c r="S981" t="s">
        <v>125</v>
      </c>
      <c r="AM981" t="s">
        <v>129</v>
      </c>
      <c r="AN981" t="s">
        <v>130</v>
      </c>
      <c r="AP981" t="s">
        <v>41</v>
      </c>
      <c r="AU981" t="s">
        <v>46</v>
      </c>
      <c r="AW981" t="s">
        <v>48</v>
      </c>
      <c r="AY981" t="s">
        <v>50</v>
      </c>
      <c r="AZ981" t="s">
        <v>51</v>
      </c>
      <c r="BA981" t="s">
        <v>52</v>
      </c>
      <c r="BM981" t="s">
        <v>64</v>
      </c>
    </row>
    <row r="982" spans="1:100" x14ac:dyDescent="0.2">
      <c r="A982" t="s">
        <v>3597</v>
      </c>
      <c r="B982" t="s">
        <v>3794</v>
      </c>
      <c r="C982" t="s">
        <v>3795</v>
      </c>
      <c r="D982" t="s">
        <v>2984</v>
      </c>
      <c r="E982" t="s">
        <v>3796</v>
      </c>
      <c r="F982" t="s">
        <v>118</v>
      </c>
      <c r="G982" t="str">
        <f>HYPERLINK("https://vk.com/wall-64986792_2188228?reply=2188372&amp;thread=2188273")</f>
        <v>https://vk.com/wall-64986792_2188228?reply=2188372&amp;thread=2188273</v>
      </c>
      <c r="H982" t="s">
        <v>181</v>
      </c>
      <c r="I982" t="s">
        <v>3797</v>
      </c>
      <c r="J982" t="str">
        <f>HYPERLINK("http://vk.com/id463951901")</f>
        <v>http://vk.com/id463951901</v>
      </c>
      <c r="K982">
        <v>71</v>
      </c>
      <c r="L982" t="s">
        <v>121</v>
      </c>
      <c r="N982" t="s">
        <v>122</v>
      </c>
      <c r="O982" t="s">
        <v>2986</v>
      </c>
      <c r="P982" t="str">
        <f>HYPERLINK("http://vk.com/club64986792")</f>
        <v>http://vk.com/club64986792</v>
      </c>
      <c r="Q982">
        <v>52847</v>
      </c>
      <c r="R982" t="s">
        <v>124</v>
      </c>
      <c r="S982" t="s">
        <v>125</v>
      </c>
      <c r="AM982" t="s">
        <v>129</v>
      </c>
      <c r="AN982" t="s">
        <v>130</v>
      </c>
      <c r="AP982" t="s">
        <v>41</v>
      </c>
      <c r="AX982" t="s">
        <v>49</v>
      </c>
      <c r="AZ982" t="s">
        <v>51</v>
      </c>
      <c r="BA982" t="s">
        <v>52</v>
      </c>
    </row>
    <row r="983" spans="1:100" x14ac:dyDescent="0.2">
      <c r="A983" t="s">
        <v>3597</v>
      </c>
      <c r="B983" t="s">
        <v>3061</v>
      </c>
      <c r="C983" t="s">
        <v>3798</v>
      </c>
      <c r="D983" t="s">
        <v>3799</v>
      </c>
      <c r="E983" t="s">
        <v>3800</v>
      </c>
      <c r="F983" t="s">
        <v>118</v>
      </c>
      <c r="G983" t="str">
        <f>HYPERLINK("https://vk.com/wall-15330_83279?reply=83297")</f>
        <v>https://vk.com/wall-15330_83279?reply=83297</v>
      </c>
      <c r="H983" t="s">
        <v>228</v>
      </c>
      <c r="I983" t="s">
        <v>3801</v>
      </c>
      <c r="J983" t="str">
        <f>HYPERLINK("http://vk.com/id562938182")</f>
        <v>http://vk.com/id562938182</v>
      </c>
      <c r="K983">
        <v>42</v>
      </c>
      <c r="L983" t="s">
        <v>121</v>
      </c>
      <c r="M983">
        <v>46</v>
      </c>
      <c r="N983" t="s">
        <v>122</v>
      </c>
      <c r="O983" t="s">
        <v>3376</v>
      </c>
      <c r="P983" t="str">
        <f>HYPERLINK("http://vk.com/club15330")</f>
        <v>http://vk.com/club15330</v>
      </c>
      <c r="Q983">
        <v>8707</v>
      </c>
      <c r="R983" t="s">
        <v>124</v>
      </c>
      <c r="S983" t="s">
        <v>125</v>
      </c>
      <c r="T983" t="s">
        <v>570</v>
      </c>
      <c r="U983" t="s">
        <v>3802</v>
      </c>
      <c r="AM983" t="s">
        <v>129</v>
      </c>
      <c r="AN983" t="s">
        <v>130</v>
      </c>
      <c r="AP983" t="s">
        <v>41</v>
      </c>
      <c r="AU983" t="s">
        <v>46</v>
      </c>
      <c r="AY983" t="s">
        <v>50</v>
      </c>
      <c r="AZ983" t="s">
        <v>51</v>
      </c>
      <c r="BA983" t="s">
        <v>52</v>
      </c>
    </row>
    <row r="984" spans="1:100" x14ac:dyDescent="0.2">
      <c r="A984" t="s">
        <v>3597</v>
      </c>
      <c r="B984" t="s">
        <v>948</v>
      </c>
      <c r="C984" t="s">
        <v>3795</v>
      </c>
      <c r="D984" t="s">
        <v>1568</v>
      </c>
      <c r="E984" t="s">
        <v>3803</v>
      </c>
      <c r="F984" t="s">
        <v>180</v>
      </c>
      <c r="G984" t="str">
        <f>HYPERLINK("https://irecommend.ru/content/bolshoi-otzyv-posle-10-let-ispolzovaniya-k-chemu-nado-byt-gotovym-pri-podklyuchenii-k-trikol")</f>
        <v>https://irecommend.ru/content/bolshoi-otzyv-posle-10-let-ispolzovaniya-k-chemu-nado-byt-gotovym-pri-podklyuchenii-k-trikol</v>
      </c>
      <c r="H984" t="s">
        <v>228</v>
      </c>
      <c r="I984" t="s">
        <v>3780</v>
      </c>
      <c r="J984" t="str">
        <f>HYPERLINK("https://irecommend.ru/users/elzahill")</f>
        <v>https://irecommend.ru/users/elzahill</v>
      </c>
      <c r="N984" t="s">
        <v>1571</v>
      </c>
      <c r="O984" t="s">
        <v>1568</v>
      </c>
      <c r="P984" t="str">
        <f>HYPERLINK("https://irecommend.ru/content/sputnikovoe-televidenie-trikolortv")</f>
        <v>https://irecommend.ru/content/sputnikovoe-televidenie-trikolortv</v>
      </c>
      <c r="R984" t="s">
        <v>184</v>
      </c>
      <c r="S984" t="s">
        <v>125</v>
      </c>
      <c r="AE984">
        <v>13</v>
      </c>
      <c r="AH984">
        <v>3</v>
      </c>
      <c r="AJ984" t="s">
        <v>3804</v>
      </c>
      <c r="AK984" t="s">
        <v>129</v>
      </c>
      <c r="AL984" t="str">
        <f>HYPERLINK("https://cdn-irec.r-99.com/sites/default/files/imagecache/copyright1/user-images/1480779/gEfYzs1nEcyT2mBAi5KMg.jpeg")</f>
        <v>https://cdn-irec.r-99.com/sites/default/files/imagecache/copyright1/user-images/1480779/gEfYzs1nEcyT2mBAi5KMg.jpeg</v>
      </c>
      <c r="AM984" t="s">
        <v>129</v>
      </c>
      <c r="AN984" t="s">
        <v>130</v>
      </c>
      <c r="AP984" t="s">
        <v>41</v>
      </c>
      <c r="AT984" t="s">
        <v>45</v>
      </c>
      <c r="AW984" t="s">
        <v>48</v>
      </c>
      <c r="AX984" t="s">
        <v>49</v>
      </c>
      <c r="AY984" t="s">
        <v>50</v>
      </c>
      <c r="AZ984" t="s">
        <v>51</v>
      </c>
      <c r="BA984" t="s">
        <v>52</v>
      </c>
      <c r="BL984" t="s">
        <v>63</v>
      </c>
      <c r="BM984" t="s">
        <v>64</v>
      </c>
      <c r="CV984" t="s">
        <v>99</v>
      </c>
    </row>
    <row r="985" spans="1:100" x14ac:dyDescent="0.2">
      <c r="A985" t="s">
        <v>3597</v>
      </c>
      <c r="B985" t="s">
        <v>3805</v>
      </c>
      <c r="C985" t="s">
        <v>3806</v>
      </c>
      <c r="D985" t="s">
        <v>3807</v>
      </c>
      <c r="E985" t="s">
        <v>3808</v>
      </c>
      <c r="F985" t="s">
        <v>118</v>
      </c>
      <c r="G985" t="str">
        <f>HYPERLINK("https://www.facebook.com/story.php?story_fbid=3980311598763737&amp;id=873103946151200&amp;comment_id=3980819718712925")</f>
        <v>https://www.facebook.com/story.php?story_fbid=3980311598763737&amp;id=873103946151200&amp;comment_id=3980819718712925</v>
      </c>
      <c r="H985" t="s">
        <v>119</v>
      </c>
      <c r="I985" t="s">
        <v>3809</v>
      </c>
      <c r="J985" t="str">
        <f>HYPERLINK("https://www.facebook.com/100001364494589")</f>
        <v>https://www.facebook.com/100001364494589</v>
      </c>
      <c r="K985">
        <v>0</v>
      </c>
      <c r="L985" t="s">
        <v>151</v>
      </c>
      <c r="N985" t="s">
        <v>305</v>
      </c>
      <c r="O985" t="s">
        <v>3810</v>
      </c>
      <c r="P985" t="str">
        <f>HYPERLINK("https://www.facebook.com/873103946151200")</f>
        <v>https://www.facebook.com/873103946151200</v>
      </c>
      <c r="Q985">
        <v>11696</v>
      </c>
      <c r="R985" t="s">
        <v>124</v>
      </c>
      <c r="S985" t="s">
        <v>125</v>
      </c>
      <c r="T985" t="s">
        <v>1283</v>
      </c>
      <c r="U985" t="s">
        <v>3811</v>
      </c>
      <c r="W985">
        <v>0</v>
      </c>
      <c r="X985">
        <v>0</v>
      </c>
      <c r="AE985">
        <v>0</v>
      </c>
      <c r="AM985" t="s">
        <v>129</v>
      </c>
      <c r="AN985" t="s">
        <v>130</v>
      </c>
      <c r="AP985" t="s">
        <v>41</v>
      </c>
      <c r="AU985" t="s">
        <v>46</v>
      </c>
      <c r="AZ985" t="s">
        <v>51</v>
      </c>
      <c r="BB985" t="s">
        <v>53</v>
      </c>
    </row>
    <row r="986" spans="1:100" x14ac:dyDescent="0.2">
      <c r="A986" t="s">
        <v>3597</v>
      </c>
      <c r="B986" t="s">
        <v>3812</v>
      </c>
      <c r="C986" t="s">
        <v>3813</v>
      </c>
      <c r="D986" t="s">
        <v>3799</v>
      </c>
      <c r="E986" t="s">
        <v>3814</v>
      </c>
      <c r="F986" t="s">
        <v>118</v>
      </c>
      <c r="G986" t="str">
        <f>HYPERLINK("https://vk.com/wall-15330_83279?reply=83281")</f>
        <v>https://vk.com/wall-15330_83279?reply=83281</v>
      </c>
      <c r="H986" t="s">
        <v>119</v>
      </c>
      <c r="I986" t="s">
        <v>3815</v>
      </c>
      <c r="J986" t="str">
        <f>HYPERLINK("http://vk.com/id1688215")</f>
        <v>http://vk.com/id1688215</v>
      </c>
      <c r="K986">
        <v>222</v>
      </c>
      <c r="L986" t="s">
        <v>121</v>
      </c>
      <c r="M986">
        <v>46</v>
      </c>
      <c r="N986" t="s">
        <v>122</v>
      </c>
      <c r="O986" t="s">
        <v>3376</v>
      </c>
      <c r="P986" t="str">
        <f>HYPERLINK("http://vk.com/club15330")</f>
        <v>http://vk.com/club15330</v>
      </c>
      <c r="Q986">
        <v>8707</v>
      </c>
      <c r="R986" t="s">
        <v>124</v>
      </c>
      <c r="S986" t="s">
        <v>125</v>
      </c>
      <c r="T986" t="s">
        <v>137</v>
      </c>
      <c r="U986" t="s">
        <v>137</v>
      </c>
      <c r="AM986" t="s">
        <v>129</v>
      </c>
      <c r="AN986" t="s">
        <v>130</v>
      </c>
      <c r="AP986" t="s">
        <v>41</v>
      </c>
      <c r="AZ986" t="s">
        <v>51</v>
      </c>
      <c r="BA986" t="s">
        <v>52</v>
      </c>
      <c r="BL986" t="s">
        <v>63</v>
      </c>
      <c r="BM986" t="s">
        <v>64</v>
      </c>
    </row>
    <row r="987" spans="1:100" x14ac:dyDescent="0.2">
      <c r="A987" t="s">
        <v>3597</v>
      </c>
      <c r="B987" t="s">
        <v>2056</v>
      </c>
      <c r="C987" t="s">
        <v>3816</v>
      </c>
      <c r="D987" t="s">
        <v>3817</v>
      </c>
      <c r="E987" t="s">
        <v>3818</v>
      </c>
      <c r="F987" t="s">
        <v>118</v>
      </c>
      <c r="G987" t="str">
        <f>HYPERLINK("https://www.youtube.com/watch?v=SM3JFLoWGRU&amp;lc=UgxhygwMdfekdWYsuJ94AaABAg")</f>
        <v>https://www.youtube.com/watch?v=SM3JFLoWGRU&amp;lc=UgxhygwMdfekdWYsuJ94AaABAg</v>
      </c>
      <c r="H987" t="s">
        <v>119</v>
      </c>
      <c r="I987" t="s">
        <v>3819</v>
      </c>
      <c r="J987" t="str">
        <f>HYPERLINK("https://www.youtube.com/channel/UCDQxpl10Z4MpNK-UEiWl7OA")</f>
        <v>https://www.youtube.com/channel/UCDQxpl10Z4MpNK-UEiWl7OA</v>
      </c>
      <c r="K987">
        <v>0</v>
      </c>
      <c r="N987" t="s">
        <v>248</v>
      </c>
      <c r="O987" t="s">
        <v>3820</v>
      </c>
      <c r="P987" t="str">
        <f>HYPERLINK("https://www.youtube.com/channel/UC9IPWOWrEOO05EDxyQAdvPg")</f>
        <v>https://www.youtube.com/channel/UC9IPWOWrEOO05EDxyQAdvPg</v>
      </c>
      <c r="Q987">
        <v>18100</v>
      </c>
      <c r="R987" t="s">
        <v>124</v>
      </c>
      <c r="S987" t="s">
        <v>125</v>
      </c>
      <c r="W987">
        <v>0</v>
      </c>
      <c r="X987">
        <v>0</v>
      </c>
      <c r="AE987">
        <v>0</v>
      </c>
      <c r="AM987" t="s">
        <v>129</v>
      </c>
      <c r="AN987" t="s">
        <v>130</v>
      </c>
      <c r="AP987" t="s">
        <v>41</v>
      </c>
      <c r="AU987" t="s">
        <v>46</v>
      </c>
      <c r="AZ987" t="s">
        <v>51</v>
      </c>
      <c r="BA987" t="s">
        <v>52</v>
      </c>
    </row>
    <row r="988" spans="1:100" x14ac:dyDescent="0.2">
      <c r="A988" t="s">
        <v>3597</v>
      </c>
      <c r="B988" t="s">
        <v>2596</v>
      </c>
      <c r="C988" t="s">
        <v>3821</v>
      </c>
      <c r="D988" t="s">
        <v>3822</v>
      </c>
      <c r="E988" t="s">
        <v>3823</v>
      </c>
      <c r="F988" t="s">
        <v>118</v>
      </c>
      <c r="G988" t="str">
        <f>HYPERLINK("https://vk.com/wall-22935147_368647?reply=368648")</f>
        <v>https://vk.com/wall-22935147_368647?reply=368648</v>
      </c>
      <c r="H988" t="s">
        <v>119</v>
      </c>
      <c r="I988" t="s">
        <v>2906</v>
      </c>
      <c r="J988" t="str">
        <f>HYPERLINK("http://vk.com/id72308876")</f>
        <v>http://vk.com/id72308876</v>
      </c>
      <c r="K988">
        <v>466</v>
      </c>
      <c r="L988" t="s">
        <v>121</v>
      </c>
      <c r="M988">
        <v>36</v>
      </c>
      <c r="N988" t="s">
        <v>122</v>
      </c>
      <c r="O988" t="s">
        <v>1093</v>
      </c>
      <c r="P988" t="str">
        <f>HYPERLINK("http://vk.com/club22935147")</f>
        <v>http://vk.com/club22935147</v>
      </c>
      <c r="Q988">
        <v>8943</v>
      </c>
      <c r="R988" t="s">
        <v>124</v>
      </c>
      <c r="S988" t="s">
        <v>125</v>
      </c>
      <c r="T988" t="s">
        <v>1365</v>
      </c>
      <c r="U988" t="s">
        <v>2907</v>
      </c>
      <c r="W988">
        <v>0</v>
      </c>
      <c r="X988">
        <v>0</v>
      </c>
      <c r="AM988" t="s">
        <v>129</v>
      </c>
      <c r="AN988" t="s">
        <v>130</v>
      </c>
      <c r="AP988" t="s">
        <v>41</v>
      </c>
      <c r="AZ988" t="s">
        <v>51</v>
      </c>
      <c r="BA988" t="s">
        <v>52</v>
      </c>
      <c r="BQ988" t="s">
        <v>68</v>
      </c>
    </row>
    <row r="989" spans="1:100" x14ac:dyDescent="0.2">
      <c r="A989" t="s">
        <v>3597</v>
      </c>
      <c r="B989" t="s">
        <v>1592</v>
      </c>
      <c r="C989" t="s">
        <v>3824</v>
      </c>
      <c r="D989" t="s">
        <v>3825</v>
      </c>
      <c r="E989" t="s">
        <v>3826</v>
      </c>
      <c r="F989" t="s">
        <v>180</v>
      </c>
      <c r="G989" t="str">
        <f>HYPERLINK("https://www.google.com/maps/reviews/data=!4m5!14m4!1m3!1m2!1s109555147226940533863!2s0x0:0xfb8088db2bd0e700?hl=en-NL")</f>
        <v>https://www.google.com/maps/reviews/data=!4m5!14m4!1m3!1m2!1s109555147226940533863!2s0x0:0xfb8088db2bd0e700?hl=en-NL</v>
      </c>
      <c r="H989" t="s">
        <v>119</v>
      </c>
      <c r="I989" t="s">
        <v>3827</v>
      </c>
      <c r="J989" t="str">
        <f>HYPERLINK("https://maps.google.com/maps/contrib/109555147226940533863")</f>
        <v>https://maps.google.com/maps/contrib/109555147226940533863</v>
      </c>
      <c r="L989" t="s">
        <v>151</v>
      </c>
      <c r="N989" t="s">
        <v>673</v>
      </c>
      <c r="O989" t="s">
        <v>3825</v>
      </c>
      <c r="P989" t="str">
        <f>HYPERLINK("https://maps.google.com/maps/place/data=!3m1!4b1!4m5!3m4!1s0x0:0xfb8088db2bd0e700!8m2!3d64.551510!4d40.571780")</f>
        <v>https://maps.google.com/maps/place/data=!3m1!4b1!4m5!3m4!1s0x0:0xfb8088db2bd0e700!8m2!3d64.551510!4d40.571780</v>
      </c>
      <c r="R989" t="s">
        <v>184</v>
      </c>
      <c r="S989" t="s">
        <v>125</v>
      </c>
      <c r="T989" t="s">
        <v>1229</v>
      </c>
      <c r="U989" t="s">
        <v>3413</v>
      </c>
      <c r="W989">
        <v>0</v>
      </c>
      <c r="X989">
        <v>0</v>
      </c>
      <c r="AH989">
        <v>4</v>
      </c>
      <c r="AM989" t="s">
        <v>129</v>
      </c>
      <c r="AN989" t="s">
        <v>130</v>
      </c>
      <c r="AP989" t="s">
        <v>41</v>
      </c>
      <c r="AX989" t="s">
        <v>49</v>
      </c>
      <c r="AZ989" t="s">
        <v>51</v>
      </c>
      <c r="BA989" t="s">
        <v>52</v>
      </c>
    </row>
    <row r="990" spans="1:100" x14ac:dyDescent="0.2">
      <c r="A990" t="s">
        <v>3597</v>
      </c>
      <c r="B990" t="s">
        <v>3828</v>
      </c>
      <c r="C990" t="s">
        <v>2614</v>
      </c>
      <c r="D990" t="s">
        <v>3829</v>
      </c>
      <c r="E990" t="s">
        <v>3830</v>
      </c>
      <c r="F990" t="s">
        <v>180</v>
      </c>
      <c r="G990" t="str">
        <f>HYPERLINK("https://www.wildberries.ru/catalog/19433352/detail.aspx?targetUrl=ES#Comments")</f>
        <v>https://www.wildberries.ru/catalog/19433352/detail.aspx?targetUrl=ES#Comments</v>
      </c>
      <c r="H990" t="s">
        <v>181</v>
      </c>
      <c r="I990" t="s">
        <v>3831</v>
      </c>
      <c r="J990" t="str">
        <f>HYPERLINK("https://www.wildberries.ru/profile/w7TDssOkw7PCu8K0wrXCucKzwrPCtcK2wrg=")</f>
        <v>https://www.wildberries.ru/profile/w7TDssOkw7PCu8K0wrXCucKzwrPCtcK2wrg=</v>
      </c>
      <c r="L990" t="s">
        <v>121</v>
      </c>
      <c r="N990" t="s">
        <v>534</v>
      </c>
      <c r="O990" t="s">
        <v>3829</v>
      </c>
      <c r="P990" t="str">
        <f>HYPERLINK("https://www.wildberries.ru/catalog/14417500/detail.aspx")</f>
        <v>https://www.wildberries.ru/catalog/14417500/detail.aspx</v>
      </c>
      <c r="R990" t="s">
        <v>184</v>
      </c>
      <c r="S990" t="s">
        <v>125</v>
      </c>
      <c r="W990">
        <v>0</v>
      </c>
      <c r="X990">
        <v>0</v>
      </c>
      <c r="AH990">
        <v>5</v>
      </c>
      <c r="AM990" t="s">
        <v>129</v>
      </c>
      <c r="AN990" t="s">
        <v>130</v>
      </c>
      <c r="AP990" t="s">
        <v>41</v>
      </c>
      <c r="AT990" t="s">
        <v>45</v>
      </c>
      <c r="AZ990" t="s">
        <v>51</v>
      </c>
      <c r="BA990" t="s">
        <v>52</v>
      </c>
      <c r="BL990" t="s">
        <v>63</v>
      </c>
    </row>
    <row r="991" spans="1:100" x14ac:dyDescent="0.2">
      <c r="A991" t="s">
        <v>3597</v>
      </c>
      <c r="B991" t="s">
        <v>3832</v>
      </c>
      <c r="C991" t="s">
        <v>3833</v>
      </c>
      <c r="D991" t="s">
        <v>3834</v>
      </c>
      <c r="E991" t="s">
        <v>3835</v>
      </c>
      <c r="F991" t="s">
        <v>180</v>
      </c>
      <c r="G991" t="str">
        <f>HYPERLINK("https://www.ozon.ru/context/detail/id/283650516/#61724066")</f>
        <v>https://www.ozon.ru/context/detail/id/283650516/#61724066</v>
      </c>
      <c r="H991" t="s">
        <v>181</v>
      </c>
      <c r="I991" t="s">
        <v>3836</v>
      </c>
      <c r="J991" t="str">
        <f>HYPERLINK("https://www.ozon.ru/context/client_opinion/ClientGuid/6d771af6-e85e-44dc-a009-51cf039eae3b/")</f>
        <v>https://www.ozon.ru/context/client_opinion/ClientGuid/6d771af6-e85e-44dc-a009-51cf039eae3b/</v>
      </c>
      <c r="L991" t="s">
        <v>121</v>
      </c>
      <c r="N991" t="s">
        <v>183</v>
      </c>
      <c r="O991" t="s">
        <v>3834</v>
      </c>
      <c r="P991" t="str">
        <f>HYPERLINK("https://www.ozon.ru/context/detail/id/283650516/")</f>
        <v>https://www.ozon.ru/context/detail/id/283650516/</v>
      </c>
      <c r="R991" t="s">
        <v>184</v>
      </c>
      <c r="S991" t="s">
        <v>125</v>
      </c>
      <c r="W991">
        <v>0</v>
      </c>
      <c r="X991">
        <v>0</v>
      </c>
      <c r="AH991">
        <v>5</v>
      </c>
      <c r="AM991" t="s">
        <v>129</v>
      </c>
      <c r="AN991" t="s">
        <v>130</v>
      </c>
      <c r="AP991" t="s">
        <v>41</v>
      </c>
      <c r="AU991" t="s">
        <v>46</v>
      </c>
      <c r="AZ991" t="s">
        <v>51</v>
      </c>
      <c r="BA991" t="s">
        <v>52</v>
      </c>
      <c r="BL991" t="s">
        <v>63</v>
      </c>
    </row>
    <row r="992" spans="1:100" x14ac:dyDescent="0.2">
      <c r="A992" t="s">
        <v>3597</v>
      </c>
      <c r="B992" t="s">
        <v>3837</v>
      </c>
      <c r="C992" t="s">
        <v>3838</v>
      </c>
      <c r="D992" t="s">
        <v>3839</v>
      </c>
      <c r="E992" t="s">
        <v>3840</v>
      </c>
      <c r="F992" t="s">
        <v>118</v>
      </c>
      <c r="G992" t="str">
        <f>HYPERLINK("https://vk.com/wall-3001581_272834?reply=272855&amp;thread=272853")</f>
        <v>https://vk.com/wall-3001581_272834?reply=272855&amp;thread=272853</v>
      </c>
      <c r="H992" t="s">
        <v>119</v>
      </c>
      <c r="I992" t="s">
        <v>3841</v>
      </c>
      <c r="J992" t="str">
        <f>HYPERLINK("http://vk.com/id184844874")</f>
        <v>http://vk.com/id184844874</v>
      </c>
      <c r="K992">
        <v>503</v>
      </c>
      <c r="L992" t="s">
        <v>121</v>
      </c>
      <c r="M992">
        <v>21</v>
      </c>
      <c r="N992" t="s">
        <v>122</v>
      </c>
      <c r="O992" t="s">
        <v>3842</v>
      </c>
      <c r="P992" t="str">
        <f>HYPERLINK("http://vk.com/club3001581")</f>
        <v>http://vk.com/club3001581</v>
      </c>
      <c r="Q992">
        <v>46254</v>
      </c>
      <c r="R992" t="s">
        <v>124</v>
      </c>
      <c r="S992" t="s">
        <v>125</v>
      </c>
      <c r="T992" t="s">
        <v>1045</v>
      </c>
      <c r="U992" t="s">
        <v>3843</v>
      </c>
      <c r="AM992" t="s">
        <v>129</v>
      </c>
      <c r="AN992" t="s">
        <v>130</v>
      </c>
      <c r="AP992" t="s">
        <v>41</v>
      </c>
      <c r="AZ992" t="s">
        <v>51</v>
      </c>
      <c r="BA992" t="s">
        <v>52</v>
      </c>
      <c r="BQ992" t="s">
        <v>68</v>
      </c>
    </row>
    <row r="993" spans="1:69" x14ac:dyDescent="0.2">
      <c r="A993" t="s">
        <v>3597</v>
      </c>
      <c r="B993" t="s">
        <v>3844</v>
      </c>
      <c r="C993" t="s">
        <v>944</v>
      </c>
      <c r="D993" t="s">
        <v>3845</v>
      </c>
      <c r="E993" t="s">
        <v>3846</v>
      </c>
      <c r="F993" t="s">
        <v>180</v>
      </c>
      <c r="G993" t="str">
        <f>HYPERLINK("https://www.ozon.ru/context/detail/id/253438267/#61722495")</f>
        <v>https://www.ozon.ru/context/detail/id/253438267/#61722495</v>
      </c>
      <c r="H993" t="s">
        <v>181</v>
      </c>
      <c r="I993" t="s">
        <v>512</v>
      </c>
      <c r="J993" t="str">
        <f>HYPERLINK("https://www.ozon.ru/context/client_opinion/ClientGuid//")</f>
        <v>https://www.ozon.ru/context/client_opinion/ClientGuid//</v>
      </c>
      <c r="N993" t="s">
        <v>183</v>
      </c>
      <c r="O993" t="s">
        <v>3845</v>
      </c>
      <c r="P993" t="str">
        <f>HYPERLINK("https://www.ozon.ru/context/detail/id/253438267/")</f>
        <v>https://www.ozon.ru/context/detail/id/253438267/</v>
      </c>
      <c r="R993" t="s">
        <v>184</v>
      </c>
      <c r="S993" t="s">
        <v>125</v>
      </c>
      <c r="W993">
        <v>0</v>
      </c>
      <c r="X993">
        <v>0</v>
      </c>
      <c r="AH993">
        <v>5</v>
      </c>
      <c r="AM993" t="s">
        <v>129</v>
      </c>
      <c r="AN993" t="s">
        <v>130</v>
      </c>
      <c r="AP993" t="s">
        <v>41</v>
      </c>
      <c r="AU993" t="s">
        <v>46</v>
      </c>
      <c r="AZ993" t="s">
        <v>51</v>
      </c>
      <c r="BA993" t="s">
        <v>52</v>
      </c>
      <c r="BL993" t="s">
        <v>63</v>
      </c>
    </row>
    <row r="994" spans="1:69" x14ac:dyDescent="0.2">
      <c r="A994" t="s">
        <v>3597</v>
      </c>
      <c r="B994" t="s">
        <v>496</v>
      </c>
      <c r="C994" t="s">
        <v>3847</v>
      </c>
      <c r="D994" t="s">
        <v>3848</v>
      </c>
      <c r="E994" t="s">
        <v>3849</v>
      </c>
      <c r="F994" t="s">
        <v>180</v>
      </c>
      <c r="G994" t="str">
        <f>HYPERLINK("https://www.wildberries.ru/catalog/14118787/detail.aspx?targetUrl=ES#Comments")</f>
        <v>https://www.wildberries.ru/catalog/14118787/detail.aspx?targetUrl=ES#Comments</v>
      </c>
      <c r="H994" t="s">
        <v>181</v>
      </c>
      <c r="I994" t="s">
        <v>924</v>
      </c>
      <c r="J994" t="str">
        <f>HYPERLINK("https://www.wildberries.ru/profile/w7TDssOkw7PCu8KzwrDCscKwwrbCtcK2wrg=")</f>
        <v>https://www.wildberries.ru/profile/w7TDssOkw7PCu8KzwrDCscKwwrbCtcK2wrg=</v>
      </c>
      <c r="L994" t="s">
        <v>121</v>
      </c>
      <c r="N994" t="s">
        <v>534</v>
      </c>
      <c r="O994" t="s">
        <v>3848</v>
      </c>
      <c r="P994" t="str">
        <f>HYPERLINK("https://www.wildberries.ru/catalog/10561443/detail.aspx")</f>
        <v>https://www.wildberries.ru/catalog/10561443/detail.aspx</v>
      </c>
      <c r="R994" t="s">
        <v>184</v>
      </c>
      <c r="S994" t="s">
        <v>125</v>
      </c>
      <c r="W994">
        <v>0</v>
      </c>
      <c r="X994">
        <v>0</v>
      </c>
      <c r="AH994">
        <v>5</v>
      </c>
      <c r="AM994" t="s">
        <v>129</v>
      </c>
      <c r="AN994" t="s">
        <v>130</v>
      </c>
      <c r="AP994" t="s">
        <v>41</v>
      </c>
      <c r="AT994" t="s">
        <v>45</v>
      </c>
      <c r="AZ994" t="s">
        <v>51</v>
      </c>
      <c r="BA994" t="s">
        <v>52</v>
      </c>
    </row>
    <row r="995" spans="1:69" x14ac:dyDescent="0.2">
      <c r="A995" t="s">
        <v>3597</v>
      </c>
      <c r="B995" t="s">
        <v>500</v>
      </c>
      <c r="C995" t="s">
        <v>3108</v>
      </c>
      <c r="D995" t="s">
        <v>3109</v>
      </c>
      <c r="E995" t="s">
        <v>3850</v>
      </c>
      <c r="F995" t="s">
        <v>180</v>
      </c>
      <c r="G995" t="str">
        <f>HYPERLINK("https://market.yandex.ru/product/965124214/reviews?id=135137769")</f>
        <v>https://market.yandex.ru/product/965124214/reviews?id=135137769</v>
      </c>
      <c r="H995" t="s">
        <v>119</v>
      </c>
      <c r="I995" t="s">
        <v>3175</v>
      </c>
      <c r="J995" t="str">
        <f>HYPERLINK("https://market.yandex.ru/user/q9vg2h7rphb3rk6bb332cvqtqg/reviews")</f>
        <v>https://market.yandex.ru/user/q9vg2h7rphb3rk6bb332cvqtqg/reviews</v>
      </c>
      <c r="L995" t="s">
        <v>121</v>
      </c>
      <c r="N995" t="s">
        <v>611</v>
      </c>
      <c r="O995" t="s">
        <v>3109</v>
      </c>
      <c r="P995" t="str">
        <f>HYPERLINK("https://market.yandex.ru/product/965124214")</f>
        <v>https://market.yandex.ru/product/965124214</v>
      </c>
      <c r="R995" t="s">
        <v>184</v>
      </c>
      <c r="S995" t="s">
        <v>125</v>
      </c>
      <c r="T995" t="s">
        <v>1365</v>
      </c>
      <c r="U995" t="s">
        <v>1366</v>
      </c>
      <c r="W995">
        <v>0</v>
      </c>
      <c r="X995">
        <v>0</v>
      </c>
      <c r="AH995">
        <v>4</v>
      </c>
      <c r="AJ995" t="s">
        <v>3851</v>
      </c>
      <c r="AK995" t="s">
        <v>3852</v>
      </c>
      <c r="AL995" t="str">
        <f>HYPERLINK("https://avatars.mds.yandex.net/get-market-ugc/1540738/2a0000017ad7f66c5d1a4391df47764ae6e3/1920-1920")</f>
        <v>https://avatars.mds.yandex.net/get-market-ugc/1540738/2a0000017ad7f66c5d1a4391df47764ae6e3/1920-1920</v>
      </c>
      <c r="AM995" t="s">
        <v>129</v>
      </c>
      <c r="AN995" t="s">
        <v>130</v>
      </c>
      <c r="AP995" t="s">
        <v>41</v>
      </c>
      <c r="AT995" t="s">
        <v>45</v>
      </c>
      <c r="AU995" t="s">
        <v>46</v>
      </c>
      <c r="AY995" t="s">
        <v>50</v>
      </c>
      <c r="AZ995" t="s">
        <v>51</v>
      </c>
      <c r="BB995" t="s">
        <v>53</v>
      </c>
      <c r="BL995" t="s">
        <v>63</v>
      </c>
    </row>
    <row r="996" spans="1:69" x14ac:dyDescent="0.2">
      <c r="A996" t="s">
        <v>3597</v>
      </c>
      <c r="B996" t="s">
        <v>3853</v>
      </c>
      <c r="C996" t="s">
        <v>3854</v>
      </c>
      <c r="D996" t="s">
        <v>3415</v>
      </c>
      <c r="E996" t="s">
        <v>3855</v>
      </c>
      <c r="F996" t="s">
        <v>118</v>
      </c>
      <c r="G996" t="str">
        <f>HYPERLINK("https://vk.com/wall-39596867_631092?reply=631116")</f>
        <v>https://vk.com/wall-39596867_631092?reply=631116</v>
      </c>
      <c r="H996" t="s">
        <v>119</v>
      </c>
      <c r="I996" t="s">
        <v>3856</v>
      </c>
      <c r="J996" t="str">
        <f>HYPERLINK("http://vk.com/id61688519")</f>
        <v>http://vk.com/id61688519</v>
      </c>
      <c r="K996">
        <v>132</v>
      </c>
      <c r="L996" t="s">
        <v>121</v>
      </c>
      <c r="N996" t="s">
        <v>122</v>
      </c>
      <c r="O996" t="s">
        <v>3418</v>
      </c>
      <c r="P996" t="str">
        <f>HYPERLINK("http://vk.com/club39596867")</f>
        <v>http://vk.com/club39596867</v>
      </c>
      <c r="Q996">
        <v>32738</v>
      </c>
      <c r="R996" t="s">
        <v>124</v>
      </c>
      <c r="S996" t="s">
        <v>125</v>
      </c>
      <c r="T996" t="s">
        <v>3857</v>
      </c>
      <c r="U996" t="s">
        <v>3858</v>
      </c>
      <c r="AM996" t="s">
        <v>129</v>
      </c>
      <c r="AN996" t="s">
        <v>130</v>
      </c>
      <c r="AP996" t="s">
        <v>41</v>
      </c>
      <c r="AT996" t="s">
        <v>45</v>
      </c>
      <c r="AZ996" t="s">
        <v>51</v>
      </c>
      <c r="BA996" t="s">
        <v>52</v>
      </c>
      <c r="BL996" t="s">
        <v>63</v>
      </c>
    </row>
    <row r="997" spans="1:69" x14ac:dyDescent="0.2">
      <c r="A997" t="s">
        <v>3597</v>
      </c>
      <c r="B997" t="s">
        <v>3859</v>
      </c>
      <c r="C997" t="s">
        <v>3860</v>
      </c>
      <c r="D997" t="s">
        <v>3861</v>
      </c>
      <c r="E997" t="s">
        <v>3862</v>
      </c>
      <c r="F997" t="s">
        <v>180</v>
      </c>
      <c r="G997" t="str">
        <f>HYPERLINK("https://ok.ru/group/51085510115462/topic/153482926269830")</f>
        <v>https://ok.ru/group/51085510115462/topic/153482926269830</v>
      </c>
      <c r="H997" t="s">
        <v>119</v>
      </c>
      <c r="I997" t="s">
        <v>175</v>
      </c>
      <c r="J997" t="str">
        <f>HYPERLINK("https://ok.ru/group/51085510115462")</f>
        <v>https://ok.ru/group/51085510115462</v>
      </c>
      <c r="K997">
        <v>94768</v>
      </c>
      <c r="L997" t="s">
        <v>340</v>
      </c>
      <c r="N997" t="s">
        <v>347</v>
      </c>
      <c r="O997" t="s">
        <v>175</v>
      </c>
      <c r="P997" t="str">
        <f>HYPERLINK("https://ok.ru/group/51085510115462")</f>
        <v>https://ok.ru/group/51085510115462</v>
      </c>
      <c r="Q997">
        <v>94768</v>
      </c>
      <c r="R997" t="s">
        <v>124</v>
      </c>
      <c r="W997">
        <v>5</v>
      </c>
      <c r="X997">
        <v>5</v>
      </c>
      <c r="Y997">
        <v>0</v>
      </c>
      <c r="Z997">
        <v>0</v>
      </c>
      <c r="AA997">
        <v>0</v>
      </c>
      <c r="AB997">
        <v>0</v>
      </c>
      <c r="AE997">
        <v>0</v>
      </c>
      <c r="AF997">
        <v>0</v>
      </c>
      <c r="AJ997" t="s">
        <v>3863</v>
      </c>
      <c r="AK997" t="s">
        <v>3864</v>
      </c>
      <c r="AL997" t="str">
        <f>HYPERLINK("https://i.mycdn.me/image?id=918893783942&amp;t=20&amp;plc=API&amp;aid=1131601408&amp;tkn=*2mNsBRcSN8JLOctFGf5Uit3hXAg")</f>
        <v>https://i.mycdn.me/image?id=918893783942&amp;t=20&amp;plc=API&amp;aid=1131601408&amp;tkn=*2mNsBRcSN8JLOctFGf5Uit3hXAg</v>
      </c>
      <c r="AM997" t="s">
        <v>129</v>
      </c>
      <c r="AN997" t="s">
        <v>130</v>
      </c>
      <c r="BI997" t="s">
        <v>60</v>
      </c>
    </row>
    <row r="998" spans="1:69" x14ac:dyDescent="0.2">
      <c r="A998" t="s">
        <v>3597</v>
      </c>
      <c r="B998" t="s">
        <v>3859</v>
      </c>
      <c r="C998" t="s">
        <v>3865</v>
      </c>
      <c r="D998" t="s">
        <v>129</v>
      </c>
      <c r="E998" t="s">
        <v>3866</v>
      </c>
      <c r="F998" t="s">
        <v>180</v>
      </c>
      <c r="G998" t="str">
        <f>HYPERLINK("https://twitter.com/360582757/status/1418873599197388809")</f>
        <v>https://twitter.com/360582757/status/1418873599197388809</v>
      </c>
      <c r="H998" t="s">
        <v>119</v>
      </c>
      <c r="I998" t="s">
        <v>175</v>
      </c>
      <c r="J998" t="str">
        <f>HYPERLINK("http://twitter.com/tricolortv")</f>
        <v>http://twitter.com/tricolortv</v>
      </c>
      <c r="K998">
        <v>5663</v>
      </c>
      <c r="N998" t="s">
        <v>350</v>
      </c>
      <c r="R998" t="s">
        <v>124</v>
      </c>
      <c r="S998" t="s">
        <v>125</v>
      </c>
      <c r="T998" t="s">
        <v>137</v>
      </c>
      <c r="U998" t="s">
        <v>137</v>
      </c>
      <c r="W998">
        <v>0</v>
      </c>
      <c r="X998">
        <v>0</v>
      </c>
      <c r="AE998">
        <v>0</v>
      </c>
      <c r="AF998">
        <v>0</v>
      </c>
      <c r="AJ998" t="s">
        <v>3863</v>
      </c>
      <c r="AK998" t="s">
        <v>3864</v>
      </c>
      <c r="AL998" t="str">
        <f>HYPERLINK("https://pbs.twimg.com/media/E6_kGraWEAkZy2f.jpg")</f>
        <v>https://pbs.twimg.com/media/E6_kGraWEAkZy2f.jpg</v>
      </c>
      <c r="AM998" t="s">
        <v>129</v>
      </c>
      <c r="AN998" t="s">
        <v>130</v>
      </c>
      <c r="BI998" t="s">
        <v>60</v>
      </c>
    </row>
    <row r="999" spans="1:69" x14ac:dyDescent="0.2">
      <c r="A999" t="s">
        <v>3597</v>
      </c>
      <c r="B999" t="s">
        <v>3859</v>
      </c>
      <c r="C999" t="s">
        <v>3639</v>
      </c>
      <c r="D999" t="s">
        <v>129</v>
      </c>
      <c r="E999" t="s">
        <v>3867</v>
      </c>
      <c r="F999" t="s">
        <v>180</v>
      </c>
      <c r="G999" t="str">
        <f>HYPERLINK("https://www.facebook.com/tricolortv/posts/4110645458989693")</f>
        <v>https://www.facebook.com/tricolortv/posts/4110645458989693</v>
      </c>
      <c r="H999" t="s">
        <v>119</v>
      </c>
      <c r="I999" t="s">
        <v>175</v>
      </c>
      <c r="J999" t="str">
        <f>HYPERLINK("https://www.facebook.com/206198386101106")</f>
        <v>https://www.facebook.com/206198386101106</v>
      </c>
      <c r="K999">
        <v>16432</v>
      </c>
      <c r="L999" t="s">
        <v>340</v>
      </c>
      <c r="N999" t="s">
        <v>305</v>
      </c>
      <c r="O999" t="s">
        <v>175</v>
      </c>
      <c r="P999" t="str">
        <f>HYPERLINK("https://www.facebook.com/206198386101106")</f>
        <v>https://www.facebook.com/206198386101106</v>
      </c>
      <c r="Q999">
        <v>16432</v>
      </c>
      <c r="R999" t="s">
        <v>124</v>
      </c>
      <c r="W999">
        <v>2</v>
      </c>
      <c r="X999">
        <v>2</v>
      </c>
      <c r="Y999">
        <v>0</v>
      </c>
      <c r="Z999">
        <v>0</v>
      </c>
      <c r="AA999">
        <v>0</v>
      </c>
      <c r="AB999">
        <v>0</v>
      </c>
      <c r="AC999">
        <v>0</v>
      </c>
      <c r="AE999">
        <v>0</v>
      </c>
      <c r="AF999">
        <v>0</v>
      </c>
      <c r="AJ999" t="s">
        <v>3863</v>
      </c>
      <c r="AK999" t="s">
        <v>3864</v>
      </c>
      <c r="AL999" t="s">
        <v>3868</v>
      </c>
      <c r="AM999" t="s">
        <v>129</v>
      </c>
      <c r="AN999" t="s">
        <v>130</v>
      </c>
      <c r="BI999" t="s">
        <v>60</v>
      </c>
    </row>
    <row r="1000" spans="1:69" x14ac:dyDescent="0.2">
      <c r="A1000" t="s">
        <v>3597</v>
      </c>
      <c r="B1000" t="s">
        <v>1638</v>
      </c>
      <c r="C1000" t="s">
        <v>3869</v>
      </c>
      <c r="D1000" t="s">
        <v>3870</v>
      </c>
      <c r="E1000" t="s">
        <v>3871</v>
      </c>
      <c r="F1000" t="s">
        <v>118</v>
      </c>
      <c r="G1000" t="str">
        <f>HYPERLINK("https://vk.com/wall-353784_389972?reply=389982&amp;thread=389979")</f>
        <v>https://vk.com/wall-353784_389972?reply=389982&amp;thread=389979</v>
      </c>
      <c r="H1000" t="s">
        <v>181</v>
      </c>
      <c r="I1000" t="s">
        <v>3872</v>
      </c>
      <c r="J1000" t="str">
        <f>HYPERLINK("http://vk.com/id13796515")</f>
        <v>http://vk.com/id13796515</v>
      </c>
      <c r="K1000">
        <v>261</v>
      </c>
      <c r="L1000" t="s">
        <v>121</v>
      </c>
      <c r="N1000" t="s">
        <v>122</v>
      </c>
      <c r="O1000" t="s">
        <v>3873</v>
      </c>
      <c r="P1000" t="str">
        <f>HYPERLINK("http://vk.com/club353784")</f>
        <v>http://vk.com/club353784</v>
      </c>
      <c r="Q1000">
        <v>49315</v>
      </c>
      <c r="R1000" t="s">
        <v>124</v>
      </c>
      <c r="S1000" t="s">
        <v>125</v>
      </c>
      <c r="T1000" t="s">
        <v>523</v>
      </c>
      <c r="U1000" t="s">
        <v>3874</v>
      </c>
      <c r="AM1000" t="s">
        <v>129</v>
      </c>
      <c r="AN1000" t="s">
        <v>130</v>
      </c>
      <c r="AP1000" t="s">
        <v>41</v>
      </c>
      <c r="AZ1000" t="s">
        <v>51</v>
      </c>
      <c r="BA1000" t="s">
        <v>52</v>
      </c>
    </row>
    <row r="1001" spans="1:69" x14ac:dyDescent="0.2">
      <c r="A1001" t="s">
        <v>3597</v>
      </c>
      <c r="B1001" t="s">
        <v>3875</v>
      </c>
      <c r="C1001" t="s">
        <v>3876</v>
      </c>
      <c r="D1001" t="s">
        <v>1697</v>
      </c>
      <c r="E1001" t="s">
        <v>3877</v>
      </c>
      <c r="F1001" t="s">
        <v>180</v>
      </c>
      <c r="G1001" t="str">
        <f>HYPERLINK("https://apps.apple.com/ru/app/мой-триколор/id1204321194#7612110653")</f>
        <v>https://apps.apple.com/ru/app/мой-триколор/id1204321194#7612110653</v>
      </c>
      <c r="H1001" t="s">
        <v>119</v>
      </c>
      <c r="I1001" t="s">
        <v>3878</v>
      </c>
      <c r="J1001" t="str">
        <f>HYPERLINK("https://itunes.apple.com/reviews?userProfileId=364161771")</f>
        <v>https://itunes.apple.com/reviews?userProfileId=364161771</v>
      </c>
      <c r="N1001" t="s">
        <v>1411</v>
      </c>
      <c r="O1001" t="s">
        <v>1697</v>
      </c>
      <c r="P1001" t="str">
        <f>HYPERLINK("https://apps.apple.com/ru/app/мой-триколор/id1204321194")</f>
        <v>https://apps.apple.com/ru/app/мой-триколор/id1204321194</v>
      </c>
      <c r="R1001" t="s">
        <v>184</v>
      </c>
      <c r="S1001" t="s">
        <v>125</v>
      </c>
      <c r="AH1001">
        <v>4</v>
      </c>
      <c r="AM1001" t="s">
        <v>129</v>
      </c>
      <c r="AN1001" t="s">
        <v>130</v>
      </c>
      <c r="AP1001" t="s">
        <v>41</v>
      </c>
      <c r="AZ1001" t="s">
        <v>51</v>
      </c>
      <c r="BA1001" t="s">
        <v>52</v>
      </c>
      <c r="BQ1001" t="s">
        <v>68</v>
      </c>
    </row>
    <row r="1002" spans="1:69" x14ac:dyDescent="0.2">
      <c r="A1002" t="s">
        <v>3597</v>
      </c>
      <c r="B1002" t="s">
        <v>3879</v>
      </c>
      <c r="C1002" t="s">
        <v>3880</v>
      </c>
      <c r="D1002" t="s">
        <v>3769</v>
      </c>
      <c r="E1002" t="s">
        <v>3881</v>
      </c>
      <c r="F1002" t="s">
        <v>118</v>
      </c>
      <c r="G1002" t="str">
        <f>HYPERLINK("https://vk.com/wall-132869462_182634?reply=182719&amp;thread=182673")</f>
        <v>https://vk.com/wall-132869462_182634?reply=182719&amp;thread=182673</v>
      </c>
      <c r="H1002" t="s">
        <v>119</v>
      </c>
      <c r="I1002" t="s">
        <v>3882</v>
      </c>
      <c r="J1002" t="str">
        <f>HYPERLINK("http://vk.com/id423577477")</f>
        <v>http://vk.com/id423577477</v>
      </c>
      <c r="K1002">
        <v>40</v>
      </c>
      <c r="L1002" t="s">
        <v>121</v>
      </c>
      <c r="M1002">
        <v>53</v>
      </c>
      <c r="N1002" t="s">
        <v>122</v>
      </c>
      <c r="O1002" t="s">
        <v>843</v>
      </c>
      <c r="P1002" t="str">
        <f>HYPERLINK("http://vk.com/club132869462")</f>
        <v>http://vk.com/club132869462</v>
      </c>
      <c r="Q1002">
        <v>14644</v>
      </c>
      <c r="R1002" t="s">
        <v>124</v>
      </c>
      <c r="S1002" t="s">
        <v>125</v>
      </c>
      <c r="T1002" t="s">
        <v>314</v>
      </c>
      <c r="U1002" t="s">
        <v>3883</v>
      </c>
      <c r="AM1002" t="s">
        <v>129</v>
      </c>
      <c r="AN1002" t="s">
        <v>130</v>
      </c>
      <c r="AP1002" t="s">
        <v>41</v>
      </c>
      <c r="AU1002" t="s">
        <v>46</v>
      </c>
      <c r="AZ1002" t="s">
        <v>51</v>
      </c>
      <c r="BA1002" t="s">
        <v>52</v>
      </c>
    </row>
    <row r="1003" spans="1:69" x14ac:dyDescent="0.2">
      <c r="A1003" t="s">
        <v>3597</v>
      </c>
      <c r="B1003" t="s">
        <v>1665</v>
      </c>
      <c r="C1003" t="s">
        <v>3884</v>
      </c>
      <c r="D1003" t="s">
        <v>3415</v>
      </c>
      <c r="E1003" t="s">
        <v>3885</v>
      </c>
      <c r="F1003" t="s">
        <v>118</v>
      </c>
      <c r="G1003" t="str">
        <f>HYPERLINK("https://vk.com/wall-39596867_631092?reply=631112")</f>
        <v>https://vk.com/wall-39596867_631092?reply=631112</v>
      </c>
      <c r="H1003" t="s">
        <v>119</v>
      </c>
      <c r="I1003" t="s">
        <v>3886</v>
      </c>
      <c r="J1003" t="str">
        <f>HYPERLINK("http://vk.com/id14204920")</f>
        <v>http://vk.com/id14204920</v>
      </c>
      <c r="K1003">
        <v>429</v>
      </c>
      <c r="L1003" t="s">
        <v>121</v>
      </c>
      <c r="N1003" t="s">
        <v>122</v>
      </c>
      <c r="O1003" t="s">
        <v>3418</v>
      </c>
      <c r="P1003" t="str">
        <f>HYPERLINK("http://vk.com/club39596867")</f>
        <v>http://vk.com/club39596867</v>
      </c>
      <c r="Q1003">
        <v>32738</v>
      </c>
      <c r="R1003" t="s">
        <v>124</v>
      </c>
      <c r="S1003" t="s">
        <v>125</v>
      </c>
      <c r="T1003" t="s">
        <v>3857</v>
      </c>
      <c r="U1003" t="s">
        <v>3858</v>
      </c>
      <c r="AM1003" t="s">
        <v>129</v>
      </c>
      <c r="AN1003" t="s">
        <v>130</v>
      </c>
      <c r="AP1003" t="s">
        <v>41</v>
      </c>
      <c r="AT1003" t="s">
        <v>45</v>
      </c>
      <c r="AZ1003" t="s">
        <v>51</v>
      </c>
      <c r="BA1003" t="s">
        <v>52</v>
      </c>
    </row>
    <row r="1004" spans="1:69" x14ac:dyDescent="0.2">
      <c r="A1004" t="s">
        <v>3597</v>
      </c>
      <c r="B1004" t="s">
        <v>1666</v>
      </c>
      <c r="C1004" t="s">
        <v>3887</v>
      </c>
      <c r="D1004" t="s">
        <v>3807</v>
      </c>
      <c r="E1004" t="s">
        <v>3888</v>
      </c>
      <c r="F1004" t="s">
        <v>118</v>
      </c>
      <c r="G1004" t="str">
        <f>HYPERLINK("https://www.facebook.com/story.php?story_fbid=3980311598763737&amp;id=873103946151200&amp;comment_id=3980427128752184")</f>
        <v>https://www.facebook.com/story.php?story_fbid=3980311598763737&amp;id=873103946151200&amp;comment_id=3980427128752184</v>
      </c>
      <c r="H1004" t="s">
        <v>119</v>
      </c>
      <c r="I1004" t="s">
        <v>3889</v>
      </c>
      <c r="J1004" t="str">
        <f>HYPERLINK("https://www.facebook.com/100007969459311")</f>
        <v>https://www.facebook.com/100007969459311</v>
      </c>
      <c r="K1004">
        <v>2336</v>
      </c>
      <c r="L1004" t="s">
        <v>151</v>
      </c>
      <c r="N1004" t="s">
        <v>305</v>
      </c>
      <c r="O1004" t="s">
        <v>3810</v>
      </c>
      <c r="P1004" t="str">
        <f>HYPERLINK("https://www.facebook.com/873103946151200")</f>
        <v>https://www.facebook.com/873103946151200</v>
      </c>
      <c r="Q1004">
        <v>11696</v>
      </c>
      <c r="R1004" t="s">
        <v>124</v>
      </c>
      <c r="S1004" t="s">
        <v>125</v>
      </c>
      <c r="T1004" t="s">
        <v>3890</v>
      </c>
      <c r="U1004" t="s">
        <v>3891</v>
      </c>
      <c r="W1004">
        <v>2</v>
      </c>
      <c r="X1004">
        <v>2</v>
      </c>
      <c r="AE1004">
        <v>1</v>
      </c>
      <c r="AM1004" t="s">
        <v>129</v>
      </c>
      <c r="AN1004" t="s">
        <v>130</v>
      </c>
      <c r="AP1004" t="s">
        <v>41</v>
      </c>
      <c r="AT1004" t="s">
        <v>45</v>
      </c>
      <c r="AU1004" t="s">
        <v>46</v>
      </c>
      <c r="AZ1004" t="s">
        <v>51</v>
      </c>
      <c r="BA1004" t="s">
        <v>52</v>
      </c>
    </row>
    <row r="1005" spans="1:69" x14ac:dyDescent="0.2">
      <c r="A1005" t="s">
        <v>3597</v>
      </c>
      <c r="B1005" t="s">
        <v>545</v>
      </c>
      <c r="C1005" t="s">
        <v>3892</v>
      </c>
      <c r="D1005" t="s">
        <v>3870</v>
      </c>
      <c r="E1005" t="s">
        <v>3893</v>
      </c>
      <c r="F1005" t="s">
        <v>118</v>
      </c>
      <c r="G1005" t="str">
        <f>HYPERLINK("https://vk.com/wall-353784_389972?reply=389980&amp;thread=389979")</f>
        <v>https://vk.com/wall-353784_389972?reply=389980&amp;thread=389979</v>
      </c>
      <c r="H1005" t="s">
        <v>119</v>
      </c>
      <c r="I1005" t="s">
        <v>3894</v>
      </c>
      <c r="J1005" t="str">
        <f>HYPERLINK("http://vk.com/id265475783")</f>
        <v>http://vk.com/id265475783</v>
      </c>
      <c r="K1005">
        <v>155</v>
      </c>
      <c r="L1005" t="s">
        <v>121</v>
      </c>
      <c r="N1005" t="s">
        <v>122</v>
      </c>
      <c r="O1005" t="s">
        <v>3873</v>
      </c>
      <c r="P1005" t="str">
        <f>HYPERLINK("http://vk.com/club353784")</f>
        <v>http://vk.com/club353784</v>
      </c>
      <c r="Q1005">
        <v>49315</v>
      </c>
      <c r="R1005" t="s">
        <v>124</v>
      </c>
      <c r="S1005" t="s">
        <v>125</v>
      </c>
      <c r="T1005" t="s">
        <v>523</v>
      </c>
      <c r="U1005" t="s">
        <v>3874</v>
      </c>
      <c r="AM1005" t="s">
        <v>129</v>
      </c>
      <c r="AN1005" t="s">
        <v>130</v>
      </c>
      <c r="AP1005" t="s">
        <v>41</v>
      </c>
      <c r="AZ1005" t="s">
        <v>51</v>
      </c>
      <c r="BB1005" t="s">
        <v>53</v>
      </c>
      <c r="BQ1005" t="s">
        <v>68</v>
      </c>
    </row>
    <row r="1006" spans="1:69" x14ac:dyDescent="0.2">
      <c r="A1006" t="s">
        <v>3597</v>
      </c>
      <c r="B1006" t="s">
        <v>3895</v>
      </c>
      <c r="C1006" t="s">
        <v>3833</v>
      </c>
      <c r="D1006" t="s">
        <v>381</v>
      </c>
      <c r="E1006" t="s">
        <v>3896</v>
      </c>
      <c r="F1006" t="s">
        <v>180</v>
      </c>
      <c r="G1006" t="str">
        <f>HYPERLINK("https://www.ozon.ru/context/detail/id/220479377/#61702197")</f>
        <v>https://www.ozon.ru/context/detail/id/220479377/#61702197</v>
      </c>
      <c r="H1006" t="s">
        <v>181</v>
      </c>
      <c r="I1006" t="s">
        <v>3897</v>
      </c>
      <c r="J1006" t="str">
        <f>HYPERLINK("https://www.ozon.ru/context/client_opinion/ClientGuid/ae530512-d758-421d-a56e-79d25948b0ed/")</f>
        <v>https://www.ozon.ru/context/client_opinion/ClientGuid/ae530512-d758-421d-a56e-79d25948b0ed/</v>
      </c>
      <c r="L1006" t="s">
        <v>151</v>
      </c>
      <c r="N1006" t="s">
        <v>183</v>
      </c>
      <c r="O1006" t="s">
        <v>384</v>
      </c>
      <c r="P1006" t="str">
        <f>HYPERLINK("https://www.ozon.ru/context/detail/id/220479377/")</f>
        <v>https://www.ozon.ru/context/detail/id/220479377/</v>
      </c>
      <c r="R1006" t="s">
        <v>184</v>
      </c>
      <c r="S1006" t="s">
        <v>125</v>
      </c>
      <c r="W1006">
        <v>0</v>
      </c>
      <c r="X1006">
        <v>0</v>
      </c>
      <c r="AH1006">
        <v>5</v>
      </c>
      <c r="AM1006" t="s">
        <v>129</v>
      </c>
      <c r="AN1006" t="s">
        <v>130</v>
      </c>
      <c r="AP1006" t="s">
        <v>41</v>
      </c>
      <c r="AT1006" t="s">
        <v>45</v>
      </c>
      <c r="AW1006" t="s">
        <v>48</v>
      </c>
      <c r="AZ1006" t="s">
        <v>51</v>
      </c>
      <c r="BA1006" t="s">
        <v>52</v>
      </c>
    </row>
    <row r="1007" spans="1:69" x14ac:dyDescent="0.2">
      <c r="A1007" t="s">
        <v>3597</v>
      </c>
      <c r="B1007" t="s">
        <v>556</v>
      </c>
      <c r="C1007" t="s">
        <v>3898</v>
      </c>
      <c r="D1007" t="s">
        <v>3899</v>
      </c>
      <c r="E1007" t="s">
        <v>3900</v>
      </c>
      <c r="F1007" t="s">
        <v>118</v>
      </c>
      <c r="G1007" t="str">
        <f>HYPERLINK("https://vk.com/wall-26469243_233822?reply=233877")</f>
        <v>https://vk.com/wall-26469243_233822?reply=233877</v>
      </c>
      <c r="H1007" t="s">
        <v>119</v>
      </c>
      <c r="I1007" t="s">
        <v>3901</v>
      </c>
      <c r="J1007" t="str">
        <f>HYPERLINK("http://vk.com/id2933644")</f>
        <v>http://vk.com/id2933644</v>
      </c>
      <c r="K1007">
        <v>117</v>
      </c>
      <c r="L1007" t="s">
        <v>121</v>
      </c>
      <c r="N1007" t="s">
        <v>122</v>
      </c>
      <c r="O1007" t="s">
        <v>3902</v>
      </c>
      <c r="P1007" t="str">
        <f>HYPERLINK("http://vk.com/club26469243")</f>
        <v>http://vk.com/club26469243</v>
      </c>
      <c r="Q1007">
        <v>9944</v>
      </c>
      <c r="R1007" t="s">
        <v>124</v>
      </c>
      <c r="S1007" t="s">
        <v>125</v>
      </c>
      <c r="T1007" t="s">
        <v>169</v>
      </c>
      <c r="U1007" t="s">
        <v>169</v>
      </c>
      <c r="AM1007" t="s">
        <v>129</v>
      </c>
      <c r="AN1007" t="s">
        <v>130</v>
      </c>
      <c r="AP1007" t="s">
        <v>41</v>
      </c>
      <c r="AU1007" t="s">
        <v>46</v>
      </c>
      <c r="AY1007" t="s">
        <v>50</v>
      </c>
      <c r="AZ1007" t="s">
        <v>51</v>
      </c>
      <c r="BA1007" t="s">
        <v>52</v>
      </c>
      <c r="BL1007" t="s">
        <v>63</v>
      </c>
    </row>
    <row r="1008" spans="1:69" x14ac:dyDescent="0.2">
      <c r="A1008" t="s">
        <v>3597</v>
      </c>
      <c r="B1008" t="s">
        <v>3903</v>
      </c>
      <c r="C1008" t="s">
        <v>3904</v>
      </c>
      <c r="D1008" t="s">
        <v>531</v>
      </c>
      <c r="E1008" t="s">
        <v>3905</v>
      </c>
      <c r="F1008" t="s">
        <v>180</v>
      </c>
      <c r="G1008" t="str">
        <f>HYPERLINK("https://www.wildberries.ru/catalog/13884511/detail.aspx?targetUrl=ES#Comments")</f>
        <v>https://www.wildberries.ru/catalog/13884511/detail.aspx?targetUrl=ES#Comments</v>
      </c>
      <c r="H1008" t="s">
        <v>181</v>
      </c>
      <c r="I1008" t="s">
        <v>3906</v>
      </c>
      <c r="J1008" t="str">
        <f>HYPERLINK("https://www.wildberries.ru/profile/w7TDssOkw7PCu8K0wrTCucKywrfCs8K3wrc=")</f>
        <v>https://www.wildberries.ru/profile/w7TDssOkw7PCu8K0wrTCucKywrfCs8K3wrc=</v>
      </c>
      <c r="L1008" t="s">
        <v>121</v>
      </c>
      <c r="N1008" t="s">
        <v>534</v>
      </c>
      <c r="O1008" t="s">
        <v>531</v>
      </c>
      <c r="P1008" t="str">
        <f>HYPERLINK("https://www.wildberries.ru/catalog/10388939/detail.aspx")</f>
        <v>https://www.wildberries.ru/catalog/10388939/detail.aspx</v>
      </c>
      <c r="R1008" t="s">
        <v>184</v>
      </c>
      <c r="S1008" t="s">
        <v>125</v>
      </c>
      <c r="W1008">
        <v>0</v>
      </c>
      <c r="X1008">
        <v>0</v>
      </c>
      <c r="AH1008">
        <v>5</v>
      </c>
      <c r="AM1008" t="s">
        <v>129</v>
      </c>
      <c r="AN1008" t="s">
        <v>130</v>
      </c>
      <c r="AP1008" t="s">
        <v>41</v>
      </c>
      <c r="AZ1008" t="s">
        <v>51</v>
      </c>
      <c r="BA1008" t="s">
        <v>52</v>
      </c>
      <c r="BK1008" t="s">
        <v>62</v>
      </c>
      <c r="BL1008" t="s">
        <v>63</v>
      </c>
    </row>
    <row r="1009" spans="1:77" x14ac:dyDescent="0.2">
      <c r="A1009" t="s">
        <v>3597</v>
      </c>
      <c r="B1009" t="s">
        <v>1109</v>
      </c>
      <c r="C1009" t="s">
        <v>3907</v>
      </c>
      <c r="D1009" t="s">
        <v>3870</v>
      </c>
      <c r="E1009" t="s">
        <v>3908</v>
      </c>
      <c r="F1009" t="s">
        <v>118</v>
      </c>
      <c r="G1009" t="str">
        <f>HYPERLINK("https://vk.com/wall-353784_389972?reply=389979")</f>
        <v>https://vk.com/wall-353784_389972?reply=389979</v>
      </c>
      <c r="H1009" t="s">
        <v>119</v>
      </c>
      <c r="I1009" t="s">
        <v>3909</v>
      </c>
      <c r="J1009" t="str">
        <f>HYPERLINK("http://vk.com/id355894798")</f>
        <v>http://vk.com/id355894798</v>
      </c>
      <c r="K1009">
        <v>102</v>
      </c>
      <c r="L1009" t="s">
        <v>121</v>
      </c>
      <c r="N1009" t="s">
        <v>122</v>
      </c>
      <c r="O1009" t="s">
        <v>3873</v>
      </c>
      <c r="P1009" t="str">
        <f>HYPERLINK("http://vk.com/club353784")</f>
        <v>http://vk.com/club353784</v>
      </c>
      <c r="Q1009">
        <v>49315</v>
      </c>
      <c r="R1009" t="s">
        <v>124</v>
      </c>
      <c r="S1009" t="s">
        <v>125</v>
      </c>
      <c r="T1009" t="s">
        <v>523</v>
      </c>
      <c r="U1009" t="s">
        <v>3874</v>
      </c>
      <c r="AM1009" t="s">
        <v>129</v>
      </c>
      <c r="AN1009" t="s">
        <v>130</v>
      </c>
      <c r="AP1009" t="s">
        <v>41</v>
      </c>
      <c r="AZ1009" t="s">
        <v>51</v>
      </c>
      <c r="BA1009" t="s">
        <v>52</v>
      </c>
      <c r="BM1009" t="s">
        <v>64</v>
      </c>
      <c r="BQ1009" t="s">
        <v>68</v>
      </c>
    </row>
    <row r="1010" spans="1:77" x14ac:dyDescent="0.2">
      <c r="A1010" t="s">
        <v>3597</v>
      </c>
      <c r="B1010" t="s">
        <v>580</v>
      </c>
      <c r="C1010" t="s">
        <v>3910</v>
      </c>
      <c r="D1010" t="s">
        <v>2984</v>
      </c>
      <c r="E1010" t="s">
        <v>3911</v>
      </c>
      <c r="F1010" t="s">
        <v>118</v>
      </c>
      <c r="G1010" t="str">
        <f>HYPERLINK("https://vk.com/wall-64986792_2188228?reply=2188231")</f>
        <v>https://vk.com/wall-64986792_2188228?reply=2188231</v>
      </c>
      <c r="H1010" t="s">
        <v>228</v>
      </c>
      <c r="I1010" t="s">
        <v>3912</v>
      </c>
      <c r="J1010" t="str">
        <f>HYPERLINK("http://vk.com/id643068157")</f>
        <v>http://vk.com/id643068157</v>
      </c>
      <c r="K1010">
        <v>15</v>
      </c>
      <c r="L1010" t="s">
        <v>121</v>
      </c>
      <c r="M1010">
        <v>37</v>
      </c>
      <c r="N1010" t="s">
        <v>122</v>
      </c>
      <c r="O1010" t="s">
        <v>2986</v>
      </c>
      <c r="P1010" t="str">
        <f>HYPERLINK("http://vk.com/club64986792")</f>
        <v>http://vk.com/club64986792</v>
      </c>
      <c r="Q1010">
        <v>52847</v>
      </c>
      <c r="R1010" t="s">
        <v>124</v>
      </c>
      <c r="S1010" t="s">
        <v>125</v>
      </c>
      <c r="T1010" t="s">
        <v>2166</v>
      </c>
      <c r="U1010" t="s">
        <v>3206</v>
      </c>
      <c r="AM1010" t="s">
        <v>129</v>
      </c>
      <c r="AN1010" t="s">
        <v>130</v>
      </c>
      <c r="AP1010" t="s">
        <v>41</v>
      </c>
      <c r="AW1010" t="s">
        <v>48</v>
      </c>
      <c r="AY1010" t="s">
        <v>50</v>
      </c>
      <c r="AZ1010" t="s">
        <v>51</v>
      </c>
      <c r="BA1010" t="s">
        <v>52</v>
      </c>
      <c r="BL1010" t="s">
        <v>63</v>
      </c>
    </row>
    <row r="1011" spans="1:77" x14ac:dyDescent="0.2">
      <c r="A1011" t="s">
        <v>3597</v>
      </c>
      <c r="B1011" t="s">
        <v>3913</v>
      </c>
      <c r="C1011" t="s">
        <v>3914</v>
      </c>
      <c r="D1011" t="s">
        <v>129</v>
      </c>
      <c r="E1011" t="s">
        <v>3915</v>
      </c>
      <c r="F1011" t="s">
        <v>180</v>
      </c>
      <c r="G1011" t="str">
        <f>HYPERLINK("https://vk.com/wall-64986792_2188228")</f>
        <v>https://vk.com/wall-64986792_2188228</v>
      </c>
      <c r="H1011" t="s">
        <v>228</v>
      </c>
      <c r="I1011" t="s">
        <v>3205</v>
      </c>
      <c r="J1011" t="str">
        <f>HYPERLINK("http://vk.com/id36192399")</f>
        <v>http://vk.com/id36192399</v>
      </c>
      <c r="K1011">
        <v>613</v>
      </c>
      <c r="L1011" t="s">
        <v>121</v>
      </c>
      <c r="M1011">
        <v>43</v>
      </c>
      <c r="N1011" t="s">
        <v>122</v>
      </c>
      <c r="O1011" t="s">
        <v>2986</v>
      </c>
      <c r="P1011" t="str">
        <f>HYPERLINK("http://vk.com/club64986792")</f>
        <v>http://vk.com/club64986792</v>
      </c>
      <c r="Q1011">
        <v>52847</v>
      </c>
      <c r="R1011" t="s">
        <v>124</v>
      </c>
      <c r="S1011" t="s">
        <v>125</v>
      </c>
      <c r="T1011" t="s">
        <v>2166</v>
      </c>
      <c r="U1011" t="s">
        <v>3206</v>
      </c>
      <c r="W1011">
        <v>42</v>
      </c>
      <c r="X1011">
        <v>42</v>
      </c>
      <c r="AE1011">
        <v>52</v>
      </c>
      <c r="AF1011">
        <v>8</v>
      </c>
      <c r="AM1011" t="s">
        <v>129</v>
      </c>
      <c r="AN1011" t="s">
        <v>130</v>
      </c>
      <c r="AP1011" t="s">
        <v>41</v>
      </c>
      <c r="AT1011" t="s">
        <v>45</v>
      </c>
      <c r="AX1011" t="s">
        <v>49</v>
      </c>
      <c r="AY1011" t="s">
        <v>50</v>
      </c>
      <c r="AZ1011" t="s">
        <v>51</v>
      </c>
      <c r="BA1011" t="s">
        <v>52</v>
      </c>
    </row>
    <row r="1012" spans="1:77" x14ac:dyDescent="0.2">
      <c r="A1012" t="s">
        <v>3597</v>
      </c>
      <c r="B1012" t="s">
        <v>2154</v>
      </c>
      <c r="C1012" t="s">
        <v>3916</v>
      </c>
      <c r="D1012" t="s">
        <v>175</v>
      </c>
      <c r="E1012" t="s">
        <v>3917</v>
      </c>
      <c r="F1012" t="s">
        <v>180</v>
      </c>
      <c r="G1012" t="str">
        <f>HYPERLINK("https://yandex.ru/maps/org/1930784358#5kNFWoLvq0cco2gpDWamEZ9OlA7wIcb")</f>
        <v>https://yandex.ru/maps/org/1930784358#5kNFWoLvq0cco2gpDWamEZ9OlA7wIcb</v>
      </c>
      <c r="H1012" t="s">
        <v>181</v>
      </c>
      <c r="I1012" t="s">
        <v>3918</v>
      </c>
      <c r="J1012" t="str">
        <f>HYPERLINK("https://yandex.ru/user/jewk5wcccpv2nf1au0bx4r85am")</f>
        <v>https://yandex.ru/user/jewk5wcccpv2nf1au0bx4r85am</v>
      </c>
      <c r="L1012" t="s">
        <v>121</v>
      </c>
      <c r="N1012" t="s">
        <v>236</v>
      </c>
      <c r="O1012" t="s">
        <v>175</v>
      </c>
      <c r="P1012" t="str">
        <f>HYPERLINK("https://yandex.ru/maps/org/1930784358")</f>
        <v>https://yandex.ru/maps/org/1930784358</v>
      </c>
      <c r="R1012" t="s">
        <v>184</v>
      </c>
      <c r="S1012" t="s">
        <v>125</v>
      </c>
      <c r="T1012" t="s">
        <v>3158</v>
      </c>
      <c r="U1012" t="s">
        <v>3159</v>
      </c>
      <c r="W1012">
        <v>0</v>
      </c>
      <c r="X1012">
        <v>0</v>
      </c>
      <c r="AH1012">
        <v>5</v>
      </c>
      <c r="AM1012" t="s">
        <v>129</v>
      </c>
      <c r="AN1012" t="s">
        <v>130</v>
      </c>
      <c r="AP1012" t="s">
        <v>41</v>
      </c>
      <c r="AX1012" t="s">
        <v>49</v>
      </c>
      <c r="AZ1012" t="s">
        <v>51</v>
      </c>
      <c r="BD1012" t="s">
        <v>55</v>
      </c>
    </row>
    <row r="1013" spans="1:77" x14ac:dyDescent="0.2">
      <c r="A1013" t="s">
        <v>3597</v>
      </c>
      <c r="B1013" t="s">
        <v>3919</v>
      </c>
      <c r="C1013" t="s">
        <v>3920</v>
      </c>
      <c r="D1013" t="s">
        <v>3921</v>
      </c>
      <c r="E1013" t="s">
        <v>3922</v>
      </c>
      <c r="F1013" t="s">
        <v>118</v>
      </c>
      <c r="G1013" t="str">
        <f>HYPERLINK("https://telegram.me/edemtvchat/214248")</f>
        <v>https://telegram.me/edemtvchat/214248</v>
      </c>
      <c r="H1013" t="s">
        <v>119</v>
      </c>
      <c r="I1013" t="s">
        <v>3923</v>
      </c>
      <c r="J1013" t="str">
        <f>HYPERLINK("https://telegram.me/anton18g")</f>
        <v>https://telegram.me/anton18g</v>
      </c>
      <c r="L1013" t="s">
        <v>121</v>
      </c>
      <c r="N1013" t="s">
        <v>143</v>
      </c>
      <c r="O1013" t="s">
        <v>3924</v>
      </c>
      <c r="P1013" t="str">
        <f>HYPERLINK("https://telegram.me/edemtvchat")</f>
        <v>https://telegram.me/edemtvchat</v>
      </c>
      <c r="Q1013">
        <v>5087</v>
      </c>
      <c r="R1013" t="s">
        <v>145</v>
      </c>
      <c r="AM1013" t="s">
        <v>129</v>
      </c>
      <c r="AN1013" t="s">
        <v>130</v>
      </c>
      <c r="AP1013" t="s">
        <v>41</v>
      </c>
      <c r="AU1013" t="s">
        <v>46</v>
      </c>
      <c r="AZ1013" t="s">
        <v>51</v>
      </c>
      <c r="BA1013" t="s">
        <v>52</v>
      </c>
    </row>
    <row r="1014" spans="1:77" x14ac:dyDescent="0.2">
      <c r="A1014" t="s">
        <v>3597</v>
      </c>
      <c r="B1014" t="s">
        <v>1725</v>
      </c>
      <c r="C1014" t="s">
        <v>3925</v>
      </c>
      <c r="D1014" t="s">
        <v>3926</v>
      </c>
      <c r="E1014" t="s">
        <v>3927</v>
      </c>
      <c r="F1014" t="s">
        <v>180</v>
      </c>
      <c r="G1014" t="str">
        <f>HYPERLINK("https://market.yandex.ru/product/817474257/reviews?id=135129511")</f>
        <v>https://market.yandex.ru/product/817474257/reviews?id=135129511</v>
      </c>
      <c r="H1014" t="s">
        <v>181</v>
      </c>
      <c r="I1014" t="s">
        <v>3928</v>
      </c>
      <c r="J1014" t="str">
        <f>HYPERLINK("https://market.yandex.ru/user/q7ah21d61hz7kxrvpnmuyqtvb8/reviews")</f>
        <v>https://market.yandex.ru/user/q7ah21d61hz7kxrvpnmuyqtvb8/reviews</v>
      </c>
      <c r="L1014" t="s">
        <v>151</v>
      </c>
      <c r="N1014" t="s">
        <v>611</v>
      </c>
      <c r="O1014" t="s">
        <v>3926</v>
      </c>
      <c r="P1014" t="str">
        <f>HYPERLINK("https://market.yandex.ru/product/817474257")</f>
        <v>https://market.yandex.ru/product/817474257</v>
      </c>
      <c r="R1014" t="s">
        <v>184</v>
      </c>
      <c r="S1014" t="s">
        <v>125</v>
      </c>
      <c r="W1014">
        <v>0</v>
      </c>
      <c r="X1014">
        <v>0</v>
      </c>
      <c r="AH1014">
        <v>5</v>
      </c>
      <c r="AJ1014" t="s">
        <v>129</v>
      </c>
      <c r="AK1014" t="s">
        <v>129</v>
      </c>
      <c r="AL1014" t="str">
        <f>HYPERLINK("https://avatars.mds.yandex.net/get-market-ugc/223176/2a0000017ad781193b409d8747e06895b67d/1920-1920")</f>
        <v>https://avatars.mds.yandex.net/get-market-ugc/223176/2a0000017ad781193b409d8747e06895b67d/1920-1920</v>
      </c>
      <c r="AM1014" t="s">
        <v>129</v>
      </c>
      <c r="AN1014" t="s">
        <v>130</v>
      </c>
      <c r="AP1014" t="s">
        <v>41</v>
      </c>
      <c r="AT1014" t="s">
        <v>45</v>
      </c>
      <c r="AZ1014" t="s">
        <v>51</v>
      </c>
      <c r="BA1014" t="s">
        <v>52</v>
      </c>
      <c r="BL1014" t="s">
        <v>63</v>
      </c>
    </row>
    <row r="1015" spans="1:77" x14ac:dyDescent="0.2">
      <c r="A1015" t="s">
        <v>3597</v>
      </c>
      <c r="B1015" t="s">
        <v>2743</v>
      </c>
      <c r="C1015" t="s">
        <v>3929</v>
      </c>
      <c r="D1015" t="s">
        <v>3930</v>
      </c>
      <c r="E1015" t="s">
        <v>2680</v>
      </c>
      <c r="F1015" t="s">
        <v>118</v>
      </c>
      <c r="G1015" t="str">
        <f>HYPERLINK("https://www.wildberries.ru/catalog/30852005/detail.aspx?targetUrl=ES#Comments")</f>
        <v>https://www.wildberries.ru/catalog/30852005/detail.aspx?targetUrl=ES#Comments</v>
      </c>
      <c r="H1015" t="s">
        <v>119</v>
      </c>
      <c r="I1015" t="s">
        <v>3023</v>
      </c>
      <c r="J1015" t="str">
        <f>HYPERLINK("https://www.wildberries.ru/brands/trikolor")</f>
        <v>https://www.wildberries.ru/brands/trikolor</v>
      </c>
      <c r="L1015" t="s">
        <v>340</v>
      </c>
      <c r="N1015" t="s">
        <v>534</v>
      </c>
      <c r="O1015" t="s">
        <v>3930</v>
      </c>
      <c r="P1015" t="str">
        <f>HYPERLINK("https://www.wildberries.ru/catalog/22941588/detail.aspx")</f>
        <v>https://www.wildberries.ru/catalog/22941588/detail.aspx</v>
      </c>
      <c r="R1015" t="s">
        <v>184</v>
      </c>
      <c r="S1015" t="s">
        <v>125</v>
      </c>
      <c r="AM1015" t="s">
        <v>129</v>
      </c>
      <c r="AN1015" t="s">
        <v>130</v>
      </c>
      <c r="BI1015" t="s">
        <v>60</v>
      </c>
    </row>
    <row r="1016" spans="1:77" x14ac:dyDescent="0.2">
      <c r="A1016" t="s">
        <v>3597</v>
      </c>
      <c r="B1016" t="s">
        <v>2743</v>
      </c>
      <c r="C1016" t="s">
        <v>3931</v>
      </c>
      <c r="D1016" t="s">
        <v>3932</v>
      </c>
      <c r="E1016" t="s">
        <v>3933</v>
      </c>
      <c r="F1016" t="s">
        <v>180</v>
      </c>
      <c r="G1016" t="str">
        <f>HYPERLINK("https://www.wildberries.ru/catalog/30852005/detail.aspx?targetUrl=ES#Comments")</f>
        <v>https://www.wildberries.ru/catalog/30852005/detail.aspx?targetUrl=ES#Comments</v>
      </c>
      <c r="H1016" t="s">
        <v>181</v>
      </c>
      <c r="I1016" t="s">
        <v>3934</v>
      </c>
      <c r="J1016" t="str">
        <f>HYPERLINK("https://www.wildberries.ru/profile/w7TDssOkw7PCu8KzwrjCsMK4wrjCt8Kywrk=")</f>
        <v>https://www.wildberries.ru/profile/w7TDssOkw7PCu8KzwrjCsMK4wrjCt8Kywrk=</v>
      </c>
      <c r="L1016" t="s">
        <v>121</v>
      </c>
      <c r="N1016" t="s">
        <v>534</v>
      </c>
      <c r="O1016" t="s">
        <v>3930</v>
      </c>
      <c r="P1016" t="str">
        <f>HYPERLINK("https://www.wildberries.ru/catalog/22941588/detail.aspx")</f>
        <v>https://www.wildberries.ru/catalog/22941588/detail.aspx</v>
      </c>
      <c r="R1016" t="s">
        <v>184</v>
      </c>
      <c r="S1016" t="s">
        <v>125</v>
      </c>
      <c r="W1016">
        <v>0</v>
      </c>
      <c r="X1016">
        <v>0</v>
      </c>
      <c r="AH1016">
        <v>5</v>
      </c>
      <c r="AJ1016" t="s">
        <v>3935</v>
      </c>
      <c r="AK1016" t="s">
        <v>129</v>
      </c>
      <c r="AL1016" t="str">
        <f>HYPERLINK("http://feedbackphotos.wbstatic.net/feedbacks/2294/22941588/bf1be326-3b14-459f-b6b0-2d1cbd469ceb_fs.jpg")</f>
        <v>http://feedbackphotos.wbstatic.net/feedbacks/2294/22941588/bf1be326-3b14-459f-b6b0-2d1cbd469ceb_fs.jpg</v>
      </c>
      <c r="AM1016" t="s">
        <v>129</v>
      </c>
      <c r="AN1016" t="s">
        <v>130</v>
      </c>
      <c r="AP1016" t="s">
        <v>41</v>
      </c>
      <c r="AT1016" t="s">
        <v>45</v>
      </c>
      <c r="AZ1016" t="s">
        <v>51</v>
      </c>
      <c r="BA1016" t="s">
        <v>52</v>
      </c>
    </row>
    <row r="1017" spans="1:77" x14ac:dyDescent="0.2">
      <c r="A1017" t="s">
        <v>3597</v>
      </c>
      <c r="B1017" t="s">
        <v>3936</v>
      </c>
      <c r="C1017" t="s">
        <v>3937</v>
      </c>
      <c r="D1017" t="s">
        <v>3415</v>
      </c>
      <c r="E1017" t="s">
        <v>3938</v>
      </c>
      <c r="F1017" t="s">
        <v>118</v>
      </c>
      <c r="G1017" t="str">
        <f>HYPERLINK("https://vk.com/wall-39596867_631092?reply=631098")</f>
        <v>https://vk.com/wall-39596867_631092?reply=631098</v>
      </c>
      <c r="H1017" t="s">
        <v>119</v>
      </c>
      <c r="I1017" t="s">
        <v>3939</v>
      </c>
      <c r="J1017" t="str">
        <f>HYPERLINK("http://vk.com/id474573451")</f>
        <v>http://vk.com/id474573451</v>
      </c>
      <c r="K1017">
        <v>92</v>
      </c>
      <c r="L1017" t="s">
        <v>121</v>
      </c>
      <c r="M1017">
        <v>47</v>
      </c>
      <c r="N1017" t="s">
        <v>122</v>
      </c>
      <c r="O1017" t="s">
        <v>3418</v>
      </c>
      <c r="P1017" t="str">
        <f>HYPERLINK("http://vk.com/club39596867")</f>
        <v>http://vk.com/club39596867</v>
      </c>
      <c r="Q1017">
        <v>32738</v>
      </c>
      <c r="R1017" t="s">
        <v>124</v>
      </c>
      <c r="AM1017" t="s">
        <v>129</v>
      </c>
      <c r="AN1017" t="s">
        <v>130</v>
      </c>
      <c r="AP1017" t="s">
        <v>41</v>
      </c>
      <c r="AZ1017" t="s">
        <v>51</v>
      </c>
      <c r="BA1017" t="s">
        <v>52</v>
      </c>
      <c r="BL1017" t="s">
        <v>63</v>
      </c>
    </row>
    <row r="1018" spans="1:77" x14ac:dyDescent="0.2">
      <c r="A1018" t="s">
        <v>3597</v>
      </c>
      <c r="B1018" t="s">
        <v>647</v>
      </c>
      <c r="C1018" t="s">
        <v>3940</v>
      </c>
      <c r="D1018" t="s">
        <v>3941</v>
      </c>
      <c r="E1018" t="s">
        <v>3942</v>
      </c>
      <c r="F1018" t="s">
        <v>118</v>
      </c>
      <c r="G1018" t="str">
        <f>HYPERLINK("https://vk.com/wall-27863223_292082?reply=292106")</f>
        <v>https://vk.com/wall-27863223_292082?reply=292106</v>
      </c>
      <c r="H1018" t="s">
        <v>119</v>
      </c>
      <c r="I1018" t="s">
        <v>254</v>
      </c>
      <c r="J1018" t="str">
        <f>HYPERLINK("http://vk.com/id286061518")</f>
        <v>http://vk.com/id286061518</v>
      </c>
      <c r="K1018">
        <v>5170</v>
      </c>
      <c r="L1018" t="s">
        <v>121</v>
      </c>
      <c r="M1018">
        <v>34</v>
      </c>
      <c r="N1018" t="s">
        <v>122</v>
      </c>
      <c r="O1018" t="s">
        <v>175</v>
      </c>
      <c r="P1018" t="str">
        <f>HYPERLINK("http://vk.com/club27863223")</f>
        <v>http://vk.com/club27863223</v>
      </c>
      <c r="Q1018">
        <v>134698</v>
      </c>
      <c r="R1018" t="s">
        <v>124</v>
      </c>
      <c r="S1018" t="s">
        <v>125</v>
      </c>
      <c r="T1018" t="s">
        <v>256</v>
      </c>
      <c r="U1018" t="s">
        <v>257</v>
      </c>
      <c r="AM1018" t="s">
        <v>129</v>
      </c>
      <c r="AN1018" t="s">
        <v>130</v>
      </c>
      <c r="AP1018" t="s">
        <v>41</v>
      </c>
      <c r="AZ1018" t="s">
        <v>51</v>
      </c>
      <c r="BA1018" t="s">
        <v>52</v>
      </c>
      <c r="BY1018" t="s">
        <v>76</v>
      </c>
    </row>
    <row r="1019" spans="1:77" x14ac:dyDescent="0.2">
      <c r="A1019" t="s">
        <v>3597</v>
      </c>
      <c r="B1019" t="s">
        <v>647</v>
      </c>
      <c r="C1019" t="s">
        <v>3940</v>
      </c>
      <c r="D1019" t="s">
        <v>3941</v>
      </c>
      <c r="E1019" t="s">
        <v>3943</v>
      </c>
      <c r="F1019" t="s">
        <v>118</v>
      </c>
      <c r="G1019" t="str">
        <f>HYPERLINK("https://vk.com/wall-27863223_292082?reply=292105")</f>
        <v>https://vk.com/wall-27863223_292082?reply=292105</v>
      </c>
      <c r="H1019" t="s">
        <v>181</v>
      </c>
      <c r="I1019" t="s">
        <v>254</v>
      </c>
      <c r="J1019" t="str">
        <f>HYPERLINK("http://vk.com/id286061518")</f>
        <v>http://vk.com/id286061518</v>
      </c>
      <c r="K1019">
        <v>5170</v>
      </c>
      <c r="L1019" t="s">
        <v>121</v>
      </c>
      <c r="M1019">
        <v>34</v>
      </c>
      <c r="N1019" t="s">
        <v>122</v>
      </c>
      <c r="O1019" t="s">
        <v>175</v>
      </c>
      <c r="P1019" t="str">
        <f>HYPERLINK("http://vk.com/club27863223")</f>
        <v>http://vk.com/club27863223</v>
      </c>
      <c r="Q1019">
        <v>134698</v>
      </c>
      <c r="R1019" t="s">
        <v>124</v>
      </c>
      <c r="S1019" t="s">
        <v>125</v>
      </c>
      <c r="T1019" t="s">
        <v>256</v>
      </c>
      <c r="U1019" t="s">
        <v>257</v>
      </c>
      <c r="AM1019" t="s">
        <v>129</v>
      </c>
      <c r="AN1019" t="s">
        <v>130</v>
      </c>
      <c r="AU1019" t="s">
        <v>46</v>
      </c>
      <c r="AZ1019" t="s">
        <v>51</v>
      </c>
      <c r="BA1019" t="s">
        <v>52</v>
      </c>
      <c r="BE1019" t="s">
        <v>56</v>
      </c>
      <c r="BY1019" t="s">
        <v>76</v>
      </c>
    </row>
    <row r="1020" spans="1:77" x14ac:dyDescent="0.2">
      <c r="A1020" t="s">
        <v>3597</v>
      </c>
      <c r="B1020" t="s">
        <v>655</v>
      </c>
      <c r="C1020" t="s">
        <v>3944</v>
      </c>
      <c r="D1020" t="s">
        <v>3945</v>
      </c>
      <c r="E1020" t="s">
        <v>3946</v>
      </c>
      <c r="F1020" t="s">
        <v>118</v>
      </c>
      <c r="G1020" t="str">
        <f>HYPERLINK("https://vk.com/wall-80149142_347304?reply=347323&amp;thread=347315")</f>
        <v>https://vk.com/wall-80149142_347304?reply=347323&amp;thread=347315</v>
      </c>
      <c r="H1020" t="s">
        <v>228</v>
      </c>
      <c r="I1020" t="s">
        <v>3947</v>
      </c>
      <c r="J1020" t="str">
        <f>HYPERLINK("http://vk.com/id479395709")</f>
        <v>http://vk.com/id479395709</v>
      </c>
      <c r="K1020">
        <v>372</v>
      </c>
      <c r="L1020" t="s">
        <v>151</v>
      </c>
      <c r="M1020">
        <v>24</v>
      </c>
      <c r="N1020" t="s">
        <v>122</v>
      </c>
      <c r="O1020" t="s">
        <v>1076</v>
      </c>
      <c r="P1020" t="str">
        <f>HYPERLINK("http://vk.com/club80149142")</f>
        <v>http://vk.com/club80149142</v>
      </c>
      <c r="Q1020">
        <v>59466</v>
      </c>
      <c r="R1020" t="s">
        <v>124</v>
      </c>
      <c r="S1020" t="s">
        <v>125</v>
      </c>
      <c r="AM1020" t="s">
        <v>129</v>
      </c>
      <c r="AN1020" t="s">
        <v>130</v>
      </c>
      <c r="AP1020" t="s">
        <v>41</v>
      </c>
      <c r="AZ1020" t="s">
        <v>51</v>
      </c>
      <c r="BB1020" t="s">
        <v>53</v>
      </c>
    </row>
    <row r="1021" spans="1:77" x14ac:dyDescent="0.2">
      <c r="A1021" t="s">
        <v>3597</v>
      </c>
      <c r="B1021" t="s">
        <v>3948</v>
      </c>
      <c r="C1021" t="s">
        <v>3949</v>
      </c>
      <c r="D1021" t="s">
        <v>3950</v>
      </c>
      <c r="E1021" t="s">
        <v>3951</v>
      </c>
      <c r="F1021" t="s">
        <v>180</v>
      </c>
      <c r="G1021" t="str">
        <f>HYPERLINK("https://www.wildberries.ru/catalog/7398236/detail.aspx?targetUrl=ES#Comments")</f>
        <v>https://www.wildberries.ru/catalog/7398236/detail.aspx?targetUrl=ES#Comments</v>
      </c>
      <c r="H1021" t="s">
        <v>181</v>
      </c>
      <c r="I1021" t="s">
        <v>3082</v>
      </c>
      <c r="J1021" t="str">
        <f>HYPERLINK("https://www.wildberries.ru/profile/w7TDssOkw7PCu8KwwrnCtcK2wrHCuMK3wrI=")</f>
        <v>https://www.wildberries.ru/profile/w7TDssOkw7PCu8KwwrnCtcK2wrHCuMK3wrI=</v>
      </c>
      <c r="L1021" t="s">
        <v>151</v>
      </c>
      <c r="N1021" t="s">
        <v>534</v>
      </c>
      <c r="O1021" t="s">
        <v>3950</v>
      </c>
      <c r="P1021" t="str">
        <f>HYPERLINK("https://www.wildberries.ru/catalog/5794144/detail.aspx")</f>
        <v>https://www.wildberries.ru/catalog/5794144/detail.aspx</v>
      </c>
      <c r="R1021" t="s">
        <v>184</v>
      </c>
      <c r="S1021" t="s">
        <v>125</v>
      </c>
      <c r="W1021">
        <v>0</v>
      </c>
      <c r="X1021">
        <v>0</v>
      </c>
      <c r="AH1021">
        <v>5</v>
      </c>
      <c r="AM1021" t="s">
        <v>129</v>
      </c>
      <c r="AN1021" t="s">
        <v>130</v>
      </c>
      <c r="AP1021" t="s">
        <v>41</v>
      </c>
      <c r="AT1021" t="s">
        <v>45</v>
      </c>
      <c r="AZ1021" t="s">
        <v>51</v>
      </c>
      <c r="BA1021" t="s">
        <v>52</v>
      </c>
      <c r="BL1021" t="s">
        <v>63</v>
      </c>
    </row>
    <row r="1022" spans="1:77" x14ac:dyDescent="0.2">
      <c r="A1022" t="s">
        <v>3597</v>
      </c>
      <c r="B1022" t="s">
        <v>1136</v>
      </c>
      <c r="C1022" t="s">
        <v>3639</v>
      </c>
      <c r="D1022" t="s">
        <v>129</v>
      </c>
      <c r="E1022" t="s">
        <v>3952</v>
      </c>
      <c r="F1022" t="s">
        <v>180</v>
      </c>
      <c r="G1022" t="str">
        <f>HYPERLINK("https://www.facebook.com/tricolortv/posts/4110250595695846")</f>
        <v>https://www.facebook.com/tricolortv/posts/4110250595695846</v>
      </c>
      <c r="H1022" t="s">
        <v>119</v>
      </c>
      <c r="I1022" t="s">
        <v>175</v>
      </c>
      <c r="J1022" t="str">
        <f>HYPERLINK("https://www.facebook.com/206198386101106")</f>
        <v>https://www.facebook.com/206198386101106</v>
      </c>
      <c r="K1022">
        <v>16432</v>
      </c>
      <c r="L1022" t="s">
        <v>340</v>
      </c>
      <c r="N1022" t="s">
        <v>305</v>
      </c>
      <c r="O1022" t="s">
        <v>175</v>
      </c>
      <c r="P1022" t="str">
        <f>HYPERLINK("https://www.facebook.com/206198386101106")</f>
        <v>https://www.facebook.com/206198386101106</v>
      </c>
      <c r="Q1022">
        <v>16432</v>
      </c>
      <c r="R1022" t="s">
        <v>124</v>
      </c>
      <c r="W1022">
        <v>9</v>
      </c>
      <c r="X1022">
        <v>9</v>
      </c>
      <c r="Y1022">
        <v>0</v>
      </c>
      <c r="Z1022">
        <v>0</v>
      </c>
      <c r="AA1022">
        <v>0</v>
      </c>
      <c r="AB1022">
        <v>0</v>
      </c>
      <c r="AC1022">
        <v>0</v>
      </c>
      <c r="AE1022">
        <v>0</v>
      </c>
      <c r="AF1022">
        <v>1</v>
      </c>
      <c r="AJ1022" t="s">
        <v>3953</v>
      </c>
      <c r="AK1022" t="s">
        <v>129</v>
      </c>
      <c r="AL1022" t="s">
        <v>3954</v>
      </c>
      <c r="AM1022" t="s">
        <v>129</v>
      </c>
      <c r="AN1022" t="s">
        <v>130</v>
      </c>
      <c r="BI1022" t="s">
        <v>60</v>
      </c>
    </row>
    <row r="1023" spans="1:77" x14ac:dyDescent="0.2">
      <c r="A1023" t="s">
        <v>3597</v>
      </c>
      <c r="B1023" t="s">
        <v>1136</v>
      </c>
      <c r="C1023" t="s">
        <v>3955</v>
      </c>
      <c r="D1023" t="s">
        <v>3956</v>
      </c>
      <c r="E1023" t="s">
        <v>3957</v>
      </c>
      <c r="F1023" t="s">
        <v>180</v>
      </c>
      <c r="G1023" t="str">
        <f>HYPERLINK("https://ok.ru/group/51085510115462/topic/153482441434502")</f>
        <v>https://ok.ru/group/51085510115462/topic/153482441434502</v>
      </c>
      <c r="H1023" t="s">
        <v>119</v>
      </c>
      <c r="I1023" t="s">
        <v>175</v>
      </c>
      <c r="J1023" t="str">
        <f>HYPERLINK("https://ok.ru/group/51085510115462")</f>
        <v>https://ok.ru/group/51085510115462</v>
      </c>
      <c r="K1023">
        <v>94768</v>
      </c>
      <c r="L1023" t="s">
        <v>340</v>
      </c>
      <c r="N1023" t="s">
        <v>347</v>
      </c>
      <c r="O1023" t="s">
        <v>175</v>
      </c>
      <c r="P1023" t="str">
        <f>HYPERLINK("https://ok.ru/group/51085510115462")</f>
        <v>https://ok.ru/group/51085510115462</v>
      </c>
      <c r="Q1023">
        <v>94768</v>
      </c>
      <c r="R1023" t="s">
        <v>124</v>
      </c>
      <c r="W1023">
        <v>141</v>
      </c>
      <c r="X1023">
        <v>141</v>
      </c>
      <c r="Y1023">
        <v>0</v>
      </c>
      <c r="Z1023">
        <v>0</v>
      </c>
      <c r="AA1023">
        <v>0</v>
      </c>
      <c r="AB1023">
        <v>0</v>
      </c>
      <c r="AE1023">
        <v>10</v>
      </c>
      <c r="AF1023">
        <v>7</v>
      </c>
      <c r="AJ1023" t="s">
        <v>3953</v>
      </c>
      <c r="AK1023" t="s">
        <v>129</v>
      </c>
      <c r="AL1023" t="str">
        <f>HYPERLINK("https://i.mycdn.me/image?id=918889000582&amp;t=20&amp;plc=API&amp;aid=1131601408&amp;tkn=*V09K4-gVBG58rQWPFoFenwA6Nl8")</f>
        <v>https://i.mycdn.me/image?id=918889000582&amp;t=20&amp;plc=API&amp;aid=1131601408&amp;tkn=*V09K4-gVBG58rQWPFoFenwA6Nl8</v>
      </c>
      <c r="AM1023" t="s">
        <v>129</v>
      </c>
      <c r="AN1023" t="s">
        <v>130</v>
      </c>
      <c r="BI1023" t="s">
        <v>60</v>
      </c>
    </row>
    <row r="1024" spans="1:77" x14ac:dyDescent="0.2">
      <c r="A1024" t="s">
        <v>3597</v>
      </c>
      <c r="B1024" t="s">
        <v>1136</v>
      </c>
      <c r="C1024" t="s">
        <v>3958</v>
      </c>
      <c r="D1024" t="s">
        <v>129</v>
      </c>
      <c r="E1024" t="s">
        <v>3959</v>
      </c>
      <c r="F1024" t="s">
        <v>180</v>
      </c>
      <c r="G1024" t="str">
        <f>HYPERLINK("https://twitter.com/360582757/status/1418828293072211970")</f>
        <v>https://twitter.com/360582757/status/1418828293072211970</v>
      </c>
      <c r="H1024" t="s">
        <v>119</v>
      </c>
      <c r="I1024" t="s">
        <v>175</v>
      </c>
      <c r="J1024" t="str">
        <f>HYPERLINK("http://twitter.com/tricolortv")</f>
        <v>http://twitter.com/tricolortv</v>
      </c>
      <c r="K1024">
        <v>5663</v>
      </c>
      <c r="N1024" t="s">
        <v>350</v>
      </c>
      <c r="R1024" t="s">
        <v>124</v>
      </c>
      <c r="S1024" t="s">
        <v>125</v>
      </c>
      <c r="T1024" t="s">
        <v>137</v>
      </c>
      <c r="U1024" t="s">
        <v>137</v>
      </c>
      <c r="W1024">
        <v>2</v>
      </c>
      <c r="X1024">
        <v>2</v>
      </c>
      <c r="AE1024">
        <v>0</v>
      </c>
      <c r="AF1024">
        <v>0</v>
      </c>
      <c r="AJ1024" t="s">
        <v>3953</v>
      </c>
      <c r="AK1024" t="s">
        <v>129</v>
      </c>
      <c r="AL1024" t="str">
        <f>HYPERLINK("https://pbs.twimg.com/media/E6_FiSTXIAEMy2p.jpg")</f>
        <v>https://pbs.twimg.com/media/E6_FiSTXIAEMy2p.jpg</v>
      </c>
      <c r="AM1024" t="s">
        <v>129</v>
      </c>
      <c r="AN1024" t="s">
        <v>130</v>
      </c>
      <c r="BI1024" t="s">
        <v>60</v>
      </c>
    </row>
    <row r="1025" spans="1:89" x14ac:dyDescent="0.2">
      <c r="A1025" t="s">
        <v>3597</v>
      </c>
      <c r="B1025" t="s">
        <v>3960</v>
      </c>
      <c r="C1025" t="s">
        <v>3961</v>
      </c>
      <c r="D1025" t="s">
        <v>175</v>
      </c>
      <c r="E1025" t="s">
        <v>3962</v>
      </c>
      <c r="F1025" t="s">
        <v>180</v>
      </c>
      <c r="G1025" t="str">
        <f>HYPERLINK("https://yandex.ru/maps/org/129757974868#MJfoLJODCbGP6iurhi1Gtwve_a6bdhV")</f>
        <v>https://yandex.ru/maps/org/129757974868#MJfoLJODCbGP6iurhi1Gtwve_a6bdhV</v>
      </c>
      <c r="H1025" t="s">
        <v>228</v>
      </c>
      <c r="I1025" t="s">
        <v>3963</v>
      </c>
      <c r="J1025" t="str">
        <f>HYPERLINK("https://yandex.ru/user/c29nxcyz434fxdbe8a33aywe60")</f>
        <v>https://yandex.ru/user/c29nxcyz434fxdbe8a33aywe60</v>
      </c>
      <c r="N1025" t="s">
        <v>236</v>
      </c>
      <c r="O1025" t="s">
        <v>175</v>
      </c>
      <c r="P1025" t="str">
        <f>HYPERLINK("https://yandex.ru/maps/org/129757974868")</f>
        <v>https://yandex.ru/maps/org/129757974868</v>
      </c>
      <c r="R1025" t="s">
        <v>184</v>
      </c>
      <c r="S1025" t="s">
        <v>125</v>
      </c>
      <c r="T1025" t="s">
        <v>1027</v>
      </c>
      <c r="U1025" t="s">
        <v>1028</v>
      </c>
      <c r="W1025">
        <v>0</v>
      </c>
      <c r="X1025">
        <v>0</v>
      </c>
      <c r="AH1025">
        <v>1</v>
      </c>
      <c r="AM1025" t="s">
        <v>129</v>
      </c>
      <c r="AN1025" t="s">
        <v>130</v>
      </c>
      <c r="AP1025" t="s">
        <v>41</v>
      </c>
      <c r="AX1025" t="s">
        <v>49</v>
      </c>
      <c r="BD1025" t="s">
        <v>55</v>
      </c>
      <c r="BF1025" t="s">
        <v>57</v>
      </c>
      <c r="CK1025" t="s">
        <v>88</v>
      </c>
    </row>
    <row r="1026" spans="1:89" x14ac:dyDescent="0.2">
      <c r="A1026" t="s">
        <v>3597</v>
      </c>
      <c r="B1026" t="s">
        <v>2184</v>
      </c>
      <c r="C1026" t="s">
        <v>3833</v>
      </c>
      <c r="D1026" t="s">
        <v>3455</v>
      </c>
      <c r="E1026" t="s">
        <v>3964</v>
      </c>
      <c r="F1026" t="s">
        <v>180</v>
      </c>
      <c r="G1026" t="str">
        <f>HYPERLINK("https://www.ozon.ru/context/detail/id/256678501/#61666852")</f>
        <v>https://www.ozon.ru/context/detail/id/256678501/#61666852</v>
      </c>
      <c r="H1026" t="s">
        <v>181</v>
      </c>
      <c r="I1026" t="s">
        <v>947</v>
      </c>
      <c r="J1026" t="str">
        <f>HYPERLINK("https://www.ozon.ru/context/client_opinion/ClientGuid/7a926a44-c3bd-4fb6-934b-7d412a8d7ee6/")</f>
        <v>https://www.ozon.ru/context/client_opinion/ClientGuid/7a926a44-c3bd-4fb6-934b-7d412a8d7ee6/</v>
      </c>
      <c r="L1026" t="s">
        <v>121</v>
      </c>
      <c r="N1026" t="s">
        <v>183</v>
      </c>
      <c r="O1026" t="s">
        <v>3455</v>
      </c>
      <c r="P1026" t="str">
        <f>HYPERLINK("https://www.ozon.ru/context/detail/id/256678501/")</f>
        <v>https://www.ozon.ru/context/detail/id/256678501/</v>
      </c>
      <c r="R1026" t="s">
        <v>184</v>
      </c>
      <c r="S1026" t="s">
        <v>125</v>
      </c>
      <c r="W1026">
        <v>0</v>
      </c>
      <c r="X1026">
        <v>0</v>
      </c>
      <c r="AH1026">
        <v>5</v>
      </c>
      <c r="AM1026" t="s">
        <v>129</v>
      </c>
      <c r="AN1026" t="s">
        <v>130</v>
      </c>
      <c r="AP1026" t="s">
        <v>41</v>
      </c>
      <c r="AT1026" t="s">
        <v>45</v>
      </c>
      <c r="AW1026" t="s">
        <v>48</v>
      </c>
      <c r="AZ1026" t="s">
        <v>51</v>
      </c>
      <c r="BA1026" t="s">
        <v>52</v>
      </c>
    </row>
    <row r="1027" spans="1:89" x14ac:dyDescent="0.2">
      <c r="A1027" t="s">
        <v>3597</v>
      </c>
      <c r="B1027" t="s">
        <v>2217</v>
      </c>
      <c r="C1027" t="s">
        <v>3965</v>
      </c>
      <c r="D1027" t="s">
        <v>129</v>
      </c>
      <c r="E1027" t="s">
        <v>3966</v>
      </c>
      <c r="F1027" t="s">
        <v>180</v>
      </c>
      <c r="G1027" t="str">
        <f>HYPERLINK("https://vk.com/wall-136872234_11556")</f>
        <v>https://vk.com/wall-136872234_11556</v>
      </c>
      <c r="H1027" t="s">
        <v>228</v>
      </c>
      <c r="I1027" t="s">
        <v>3967</v>
      </c>
      <c r="J1027" t="str">
        <f>HYPERLINK("http://vk.com/club136872234")</f>
        <v>http://vk.com/club136872234</v>
      </c>
      <c r="K1027">
        <v>2136</v>
      </c>
      <c r="L1027" t="s">
        <v>340</v>
      </c>
      <c r="N1027" t="s">
        <v>122</v>
      </c>
      <c r="O1027" t="s">
        <v>3967</v>
      </c>
      <c r="P1027" t="str">
        <f>HYPERLINK("http://vk.com/club136872234")</f>
        <v>http://vk.com/club136872234</v>
      </c>
      <c r="Q1027">
        <v>2136</v>
      </c>
      <c r="R1027" t="s">
        <v>124</v>
      </c>
      <c r="S1027" t="s">
        <v>125</v>
      </c>
      <c r="T1027" t="s">
        <v>153</v>
      </c>
      <c r="U1027" t="s">
        <v>3968</v>
      </c>
      <c r="W1027">
        <v>9</v>
      </c>
      <c r="X1027">
        <v>9</v>
      </c>
      <c r="AE1027">
        <v>7</v>
      </c>
      <c r="AF1027">
        <v>0</v>
      </c>
      <c r="AG1027">
        <v>473</v>
      </c>
      <c r="AJ1027" t="s">
        <v>3969</v>
      </c>
      <c r="AK1027" t="s">
        <v>1983</v>
      </c>
      <c r="AL1027" t="str">
        <f>HYPERLINK("https://sun9-39.userapi.com/impg/x8nFVVtpmEdV9Z5vxNEdTxxBm7MXt5iitDzW2w/gf62dpe9yGY.jpg?size=700x393&amp;quality=96&amp;sign=78429b5683eb7172b4eaae73fdf7ba23&amp;c_uniq_tag=vEVZoYWscVF_MuiYEj9cn70VTT62ML1DvXulD2hJI-M&amp;type=album")</f>
        <v>https://sun9-39.userapi.com/impg/x8nFVVtpmEdV9Z5vxNEdTxxBm7MXt5iitDzW2w/gf62dpe9yGY.jpg?size=700x393&amp;quality=96&amp;sign=78429b5683eb7172b4eaae73fdf7ba23&amp;c_uniq_tag=vEVZoYWscVF_MuiYEj9cn70VTT62ML1DvXulD2hJI-M&amp;type=album</v>
      </c>
      <c r="AM1027" t="s">
        <v>129</v>
      </c>
      <c r="AN1027" t="s">
        <v>130</v>
      </c>
      <c r="AP1027" t="s">
        <v>41</v>
      </c>
      <c r="AX1027" t="s">
        <v>49</v>
      </c>
      <c r="AY1027" t="s">
        <v>50</v>
      </c>
      <c r="AZ1027" t="s">
        <v>51</v>
      </c>
      <c r="BA1027" t="s">
        <v>52</v>
      </c>
    </row>
    <row r="1028" spans="1:89" x14ac:dyDescent="0.2">
      <c r="A1028" t="s">
        <v>3597</v>
      </c>
      <c r="B1028" t="s">
        <v>1151</v>
      </c>
      <c r="C1028" t="s">
        <v>3970</v>
      </c>
      <c r="D1028" t="s">
        <v>129</v>
      </c>
      <c r="E1028" t="s">
        <v>3971</v>
      </c>
      <c r="F1028" t="s">
        <v>180</v>
      </c>
      <c r="G1028" t="str">
        <f>HYPERLINK("https://telegram.me/coolprices/1538389")</f>
        <v>https://telegram.me/coolprices/1538389</v>
      </c>
      <c r="H1028" t="s">
        <v>119</v>
      </c>
      <c r="I1028" t="s">
        <v>3972</v>
      </c>
      <c r="J1028" t="str">
        <f>HYPERLINK("https://telegram.me/oplaus")</f>
        <v>https://telegram.me/oplaus</v>
      </c>
      <c r="N1028" t="s">
        <v>143</v>
      </c>
      <c r="O1028" t="s">
        <v>3973</v>
      </c>
      <c r="P1028" t="str">
        <f>HYPERLINK("https://telegram.me/coolprices")</f>
        <v>https://telegram.me/coolprices</v>
      </c>
      <c r="Q1028">
        <v>692</v>
      </c>
      <c r="R1028" t="s">
        <v>145</v>
      </c>
      <c r="AM1028" t="s">
        <v>129</v>
      </c>
      <c r="AN1028" t="s">
        <v>130</v>
      </c>
      <c r="AP1028" t="s">
        <v>41</v>
      </c>
      <c r="AT1028" t="s">
        <v>45</v>
      </c>
      <c r="AZ1028" t="s">
        <v>51</v>
      </c>
      <c r="BA1028" t="s">
        <v>52</v>
      </c>
      <c r="BL1028" t="s">
        <v>63</v>
      </c>
    </row>
    <row r="1029" spans="1:89" x14ac:dyDescent="0.2">
      <c r="A1029" t="s">
        <v>3597</v>
      </c>
      <c r="B1029" t="s">
        <v>2227</v>
      </c>
      <c r="C1029" t="s">
        <v>3974</v>
      </c>
      <c r="D1029" t="s">
        <v>3975</v>
      </c>
      <c r="E1029" t="s">
        <v>3976</v>
      </c>
      <c r="F1029" t="s">
        <v>180</v>
      </c>
      <c r="G1029" t="str">
        <f>HYPERLINK("https://www.ozon.ru/context/detail/id/251893830/#61657241")</f>
        <v>https://www.ozon.ru/context/detail/id/251893830/#61657241</v>
      </c>
      <c r="H1029" t="s">
        <v>181</v>
      </c>
      <c r="I1029" t="s">
        <v>3977</v>
      </c>
      <c r="J1029" t="str">
        <f>HYPERLINK("https://www.ozon.ru/context/client_opinion/ClientGuid/e388620e-52fe-40fb-be6e-050c91dc23b9/")</f>
        <v>https://www.ozon.ru/context/client_opinion/ClientGuid/e388620e-52fe-40fb-be6e-050c91dc23b9/</v>
      </c>
      <c r="L1029" t="s">
        <v>151</v>
      </c>
      <c r="N1029" t="s">
        <v>183</v>
      </c>
      <c r="O1029" t="s">
        <v>3975</v>
      </c>
      <c r="P1029" t="str">
        <f>HYPERLINK("https://www.ozon.ru/context/detail/id/251893830/")</f>
        <v>https://www.ozon.ru/context/detail/id/251893830/</v>
      </c>
      <c r="R1029" t="s">
        <v>184</v>
      </c>
      <c r="S1029" t="s">
        <v>125</v>
      </c>
      <c r="W1029">
        <v>0</v>
      </c>
      <c r="X1029">
        <v>0</v>
      </c>
      <c r="AH1029">
        <v>5</v>
      </c>
      <c r="AM1029" t="s">
        <v>129</v>
      </c>
      <c r="AN1029" t="s">
        <v>130</v>
      </c>
      <c r="AP1029" t="s">
        <v>41</v>
      </c>
      <c r="AT1029" t="s">
        <v>45</v>
      </c>
      <c r="AZ1029" t="s">
        <v>51</v>
      </c>
      <c r="BA1029" t="s">
        <v>52</v>
      </c>
      <c r="BL1029" t="s">
        <v>63</v>
      </c>
    </row>
    <row r="1030" spans="1:89" x14ac:dyDescent="0.2">
      <c r="A1030" t="s">
        <v>3597</v>
      </c>
      <c r="B1030" t="s">
        <v>3978</v>
      </c>
      <c r="C1030" t="s">
        <v>3469</v>
      </c>
      <c r="D1030" t="s">
        <v>3146</v>
      </c>
      <c r="E1030" t="s">
        <v>3979</v>
      </c>
      <c r="F1030" t="s">
        <v>180</v>
      </c>
      <c r="G1030" t="str">
        <f>HYPERLINK("https://www.wildberries.ru/catalog/21221099/detail.aspx?targetUrl=ES#Comments")</f>
        <v>https://www.wildberries.ru/catalog/21221099/detail.aspx?targetUrl=ES#Comments</v>
      </c>
      <c r="H1030" t="s">
        <v>181</v>
      </c>
      <c r="I1030" t="s">
        <v>2131</v>
      </c>
      <c r="J1030" t="str">
        <f>HYPERLINK("https://www.wildberries.ru/profile/w7TDssOkw7PCu8KwwrnCuMK3wrPCtMKxwrQ=")</f>
        <v>https://www.wildberries.ru/profile/w7TDssOkw7PCu8KwwrnCuMK3wrPCtMKxwrQ=</v>
      </c>
      <c r="L1030" t="s">
        <v>121</v>
      </c>
      <c r="N1030" t="s">
        <v>534</v>
      </c>
      <c r="O1030" t="s">
        <v>3146</v>
      </c>
      <c r="P1030" t="str">
        <f>HYPERLINK("https://www.wildberries.ru/catalog/15142343/detail.aspx")</f>
        <v>https://www.wildberries.ru/catalog/15142343/detail.aspx</v>
      </c>
      <c r="R1030" t="s">
        <v>184</v>
      </c>
      <c r="S1030" t="s">
        <v>125</v>
      </c>
      <c r="W1030">
        <v>0</v>
      </c>
      <c r="X1030">
        <v>0</v>
      </c>
      <c r="AH1030">
        <v>5</v>
      </c>
      <c r="AM1030" t="s">
        <v>129</v>
      </c>
      <c r="AN1030" t="s">
        <v>130</v>
      </c>
      <c r="AP1030" t="s">
        <v>41</v>
      </c>
      <c r="AZ1030" t="s">
        <v>51</v>
      </c>
      <c r="BA1030" t="s">
        <v>52</v>
      </c>
      <c r="BK1030" t="s">
        <v>62</v>
      </c>
      <c r="BL1030" t="s">
        <v>63</v>
      </c>
    </row>
    <row r="1031" spans="1:89" x14ac:dyDescent="0.2">
      <c r="A1031" t="s">
        <v>3597</v>
      </c>
      <c r="B1031" t="s">
        <v>3569</v>
      </c>
      <c r="C1031" t="s">
        <v>3980</v>
      </c>
      <c r="D1031" t="s">
        <v>3981</v>
      </c>
      <c r="E1031" t="s">
        <v>3982</v>
      </c>
      <c r="F1031" t="s">
        <v>180</v>
      </c>
      <c r="G1031" t="str">
        <f>HYPERLINK("https://www.ozon.ru/context/detail/id/261317236/#61650027")</f>
        <v>https://www.ozon.ru/context/detail/id/261317236/#61650027</v>
      </c>
      <c r="H1031" t="s">
        <v>181</v>
      </c>
      <c r="I1031" t="s">
        <v>3983</v>
      </c>
      <c r="J1031" t="str">
        <f>HYPERLINK("https://www.ozon.ru/context/client_opinion/ClientGuid/099cdd0f-6f1e-4606-aa82-7fd20a88f125/")</f>
        <v>https://www.ozon.ru/context/client_opinion/ClientGuid/099cdd0f-6f1e-4606-aa82-7fd20a88f125/</v>
      </c>
      <c r="L1031" t="s">
        <v>121</v>
      </c>
      <c r="N1031" t="s">
        <v>183</v>
      </c>
      <c r="O1031" t="s">
        <v>3981</v>
      </c>
      <c r="P1031" t="str">
        <f>HYPERLINK("https://www.ozon.ru/context/detail/id/261317236/")</f>
        <v>https://www.ozon.ru/context/detail/id/261317236/</v>
      </c>
      <c r="R1031" t="s">
        <v>184</v>
      </c>
      <c r="S1031" t="s">
        <v>125</v>
      </c>
      <c r="W1031">
        <v>0</v>
      </c>
      <c r="X1031">
        <v>0</v>
      </c>
      <c r="AH1031">
        <v>5</v>
      </c>
      <c r="AM1031" t="s">
        <v>129</v>
      </c>
      <c r="AN1031" t="s">
        <v>130</v>
      </c>
      <c r="AP1031" t="s">
        <v>41</v>
      </c>
      <c r="AT1031" t="s">
        <v>45</v>
      </c>
      <c r="AZ1031" t="s">
        <v>51</v>
      </c>
      <c r="BA1031" t="s">
        <v>52</v>
      </c>
      <c r="BL1031" t="s">
        <v>63</v>
      </c>
    </row>
    <row r="1032" spans="1:89" x14ac:dyDescent="0.2">
      <c r="A1032" t="s">
        <v>3597</v>
      </c>
      <c r="B1032" t="s">
        <v>3984</v>
      </c>
      <c r="C1032" t="s">
        <v>3985</v>
      </c>
      <c r="D1032" t="s">
        <v>3986</v>
      </c>
      <c r="E1032" t="s">
        <v>3987</v>
      </c>
      <c r="F1032" t="s">
        <v>118</v>
      </c>
      <c r="G1032" t="str">
        <f>HYPERLINK("https://vk.com/wall-291357_129042?reply=129094&amp;thread=129043")</f>
        <v>https://vk.com/wall-291357_129042?reply=129094&amp;thread=129043</v>
      </c>
      <c r="H1032" t="s">
        <v>119</v>
      </c>
      <c r="I1032" t="s">
        <v>3988</v>
      </c>
      <c r="J1032" t="str">
        <f>HYPERLINK("http://vk.com/id22371591")</f>
        <v>http://vk.com/id22371591</v>
      </c>
      <c r="K1032">
        <v>211</v>
      </c>
      <c r="L1032" t="s">
        <v>121</v>
      </c>
      <c r="M1032">
        <v>32</v>
      </c>
      <c r="N1032" t="s">
        <v>122</v>
      </c>
      <c r="O1032" t="s">
        <v>3989</v>
      </c>
      <c r="P1032" t="str">
        <f>HYPERLINK("http://vk.com/club291357")</f>
        <v>http://vk.com/club291357</v>
      </c>
      <c r="Q1032">
        <v>11168</v>
      </c>
      <c r="R1032" t="s">
        <v>124</v>
      </c>
      <c r="S1032" t="s">
        <v>125</v>
      </c>
      <c r="T1032" t="s">
        <v>1027</v>
      </c>
      <c r="U1032" t="s">
        <v>3990</v>
      </c>
      <c r="AM1032" t="s">
        <v>129</v>
      </c>
      <c r="AN1032" t="s">
        <v>130</v>
      </c>
      <c r="AP1032" t="s">
        <v>41</v>
      </c>
      <c r="AT1032" t="s">
        <v>45</v>
      </c>
      <c r="AY1032" t="s">
        <v>50</v>
      </c>
      <c r="AZ1032" t="s">
        <v>51</v>
      </c>
      <c r="BB1032" t="s">
        <v>53</v>
      </c>
    </row>
    <row r="1033" spans="1:89" x14ac:dyDescent="0.2">
      <c r="A1033" t="s">
        <v>3597</v>
      </c>
      <c r="B1033" t="s">
        <v>3991</v>
      </c>
      <c r="C1033" t="s">
        <v>3992</v>
      </c>
      <c r="D1033" t="s">
        <v>3993</v>
      </c>
      <c r="E1033" t="s">
        <v>3994</v>
      </c>
      <c r="F1033" t="s">
        <v>118</v>
      </c>
      <c r="G1033" t="str">
        <f>HYPERLINK("https://vk.com/wall-27863223_291516?reply=292102")</f>
        <v>https://vk.com/wall-27863223_291516?reply=292102</v>
      </c>
      <c r="H1033" t="s">
        <v>181</v>
      </c>
      <c r="I1033" t="s">
        <v>2436</v>
      </c>
      <c r="J1033" t="str">
        <f>HYPERLINK("http://vk.com/id8629942")</f>
        <v>http://vk.com/id8629942</v>
      </c>
      <c r="K1033">
        <v>627</v>
      </c>
      <c r="L1033" t="s">
        <v>121</v>
      </c>
      <c r="N1033" t="s">
        <v>122</v>
      </c>
      <c r="O1033" t="s">
        <v>175</v>
      </c>
      <c r="P1033" t="str">
        <f>HYPERLINK("http://vk.com/club27863223")</f>
        <v>http://vk.com/club27863223</v>
      </c>
      <c r="Q1033">
        <v>134698</v>
      </c>
      <c r="R1033" t="s">
        <v>124</v>
      </c>
      <c r="S1033" t="s">
        <v>125</v>
      </c>
      <c r="W1033">
        <v>0</v>
      </c>
      <c r="X1033">
        <v>0</v>
      </c>
      <c r="AM1033" t="s">
        <v>129</v>
      </c>
      <c r="AN1033" t="s">
        <v>130</v>
      </c>
      <c r="AP1033" t="s">
        <v>41</v>
      </c>
      <c r="AU1033" t="s">
        <v>46</v>
      </c>
      <c r="AY1033" t="s">
        <v>50</v>
      </c>
      <c r="AZ1033" t="s">
        <v>51</v>
      </c>
      <c r="BA1033" t="s">
        <v>52</v>
      </c>
    </row>
    <row r="1034" spans="1:89" x14ac:dyDescent="0.2">
      <c r="A1034" t="s">
        <v>3597</v>
      </c>
      <c r="B1034" t="s">
        <v>692</v>
      </c>
      <c r="C1034" t="s">
        <v>3995</v>
      </c>
      <c r="D1034" t="s">
        <v>1926</v>
      </c>
      <c r="E1034" t="s">
        <v>3996</v>
      </c>
      <c r="F1034" t="s">
        <v>118</v>
      </c>
      <c r="G1034" t="str">
        <f>HYPERLINK("https://vk.com/wall-64239643_216062?reply=216209&amp;thread=216166")</f>
        <v>https://vk.com/wall-64239643_216062?reply=216209&amp;thread=216166</v>
      </c>
      <c r="H1034" t="s">
        <v>119</v>
      </c>
      <c r="I1034" t="s">
        <v>1928</v>
      </c>
      <c r="J1034" t="str">
        <f>HYPERLINK("http://vk.com/id19446371")</f>
        <v>http://vk.com/id19446371</v>
      </c>
      <c r="K1034">
        <v>376</v>
      </c>
      <c r="L1034" t="s">
        <v>121</v>
      </c>
      <c r="N1034" t="s">
        <v>122</v>
      </c>
      <c r="O1034" t="s">
        <v>1929</v>
      </c>
      <c r="P1034" t="str">
        <f>HYPERLINK("http://vk.com/club64239643")</f>
        <v>http://vk.com/club64239643</v>
      </c>
      <c r="Q1034">
        <v>10621</v>
      </c>
      <c r="R1034" t="s">
        <v>124</v>
      </c>
      <c r="S1034" t="s">
        <v>125</v>
      </c>
      <c r="AM1034" t="s">
        <v>129</v>
      </c>
      <c r="AN1034" t="s">
        <v>130</v>
      </c>
      <c r="AP1034" t="s">
        <v>41</v>
      </c>
      <c r="AZ1034" t="s">
        <v>51</v>
      </c>
      <c r="BD1034" t="s">
        <v>55</v>
      </c>
      <c r="BM1034" t="s">
        <v>64</v>
      </c>
    </row>
    <row r="1035" spans="1:89" x14ac:dyDescent="0.2">
      <c r="A1035" t="s">
        <v>3597</v>
      </c>
      <c r="B1035" t="s">
        <v>3997</v>
      </c>
      <c r="C1035" t="s">
        <v>3998</v>
      </c>
      <c r="D1035" t="s">
        <v>2967</v>
      </c>
      <c r="E1035" t="s">
        <v>3999</v>
      </c>
      <c r="F1035" t="s">
        <v>118</v>
      </c>
      <c r="G1035" t="str">
        <f>HYPERLINK("https://vk.com/wall-93167549_121858?reply=121884")</f>
        <v>https://vk.com/wall-93167549_121858?reply=121884</v>
      </c>
      <c r="H1035" t="s">
        <v>228</v>
      </c>
      <c r="I1035" t="s">
        <v>2969</v>
      </c>
      <c r="J1035" t="str">
        <f>HYPERLINK("http://vk.com/id463901665")</f>
        <v>http://vk.com/id463901665</v>
      </c>
      <c r="K1035">
        <v>182</v>
      </c>
      <c r="L1035" t="s">
        <v>151</v>
      </c>
      <c r="M1035">
        <v>42</v>
      </c>
      <c r="N1035" t="s">
        <v>122</v>
      </c>
      <c r="O1035" t="s">
        <v>2970</v>
      </c>
      <c r="P1035" t="str">
        <f>HYPERLINK("http://vk.com/club93167549")</f>
        <v>http://vk.com/club93167549</v>
      </c>
      <c r="Q1035">
        <v>20344</v>
      </c>
      <c r="R1035" t="s">
        <v>124</v>
      </c>
      <c r="S1035" t="s">
        <v>125</v>
      </c>
      <c r="T1035" t="s">
        <v>1365</v>
      </c>
      <c r="U1035" t="s">
        <v>1366</v>
      </c>
      <c r="AM1035" t="s">
        <v>129</v>
      </c>
      <c r="AN1035" t="s">
        <v>130</v>
      </c>
      <c r="AP1035" t="s">
        <v>41</v>
      </c>
      <c r="AY1035" t="s">
        <v>50</v>
      </c>
      <c r="AZ1035" t="s">
        <v>51</v>
      </c>
      <c r="BA1035" t="s">
        <v>52</v>
      </c>
    </row>
    <row r="1036" spans="1:89" x14ac:dyDescent="0.2">
      <c r="A1036" t="s">
        <v>3597</v>
      </c>
      <c r="B1036" t="s">
        <v>4000</v>
      </c>
      <c r="C1036" t="s">
        <v>4001</v>
      </c>
      <c r="D1036" t="s">
        <v>2967</v>
      </c>
      <c r="E1036" t="s">
        <v>4002</v>
      </c>
      <c r="F1036" t="s">
        <v>118</v>
      </c>
      <c r="G1036" t="str">
        <f>HYPERLINK("https://vk.com/wall-93167549_121858?reply=121864")</f>
        <v>https://vk.com/wall-93167549_121858?reply=121864</v>
      </c>
      <c r="H1036" t="s">
        <v>228</v>
      </c>
      <c r="I1036" t="s">
        <v>4003</v>
      </c>
      <c r="J1036" t="str">
        <f>HYPERLINK("http://vk.com/id555667459")</f>
        <v>http://vk.com/id555667459</v>
      </c>
      <c r="K1036">
        <v>229</v>
      </c>
      <c r="L1036" t="s">
        <v>151</v>
      </c>
      <c r="N1036" t="s">
        <v>122</v>
      </c>
      <c r="O1036" t="s">
        <v>2970</v>
      </c>
      <c r="P1036" t="str">
        <f>HYPERLINK("http://vk.com/club93167549")</f>
        <v>http://vk.com/club93167549</v>
      </c>
      <c r="Q1036">
        <v>20344</v>
      </c>
      <c r="R1036" t="s">
        <v>124</v>
      </c>
      <c r="S1036" t="s">
        <v>125</v>
      </c>
      <c r="AM1036" t="s">
        <v>129</v>
      </c>
      <c r="AN1036" t="s">
        <v>130</v>
      </c>
      <c r="AP1036" t="s">
        <v>41</v>
      </c>
      <c r="AU1036" t="s">
        <v>46</v>
      </c>
      <c r="AY1036" t="s">
        <v>50</v>
      </c>
      <c r="AZ1036" t="s">
        <v>51</v>
      </c>
      <c r="BA1036" t="s">
        <v>52</v>
      </c>
    </row>
    <row r="1037" spans="1:89" x14ac:dyDescent="0.2">
      <c r="A1037" t="s">
        <v>3597</v>
      </c>
      <c r="B1037" t="s">
        <v>4004</v>
      </c>
      <c r="C1037" t="s">
        <v>4005</v>
      </c>
      <c r="D1037" t="s">
        <v>204</v>
      </c>
      <c r="E1037" t="s">
        <v>4006</v>
      </c>
      <c r="F1037" t="s">
        <v>180</v>
      </c>
      <c r="G1037" t="str">
        <f>HYPERLINK("https://play.google.com/store/apps/details?id=ru.iflex.android.a3colortv&amp;reviewId=gp:AOqpTOHEzbKqxRhuAHIy8jnBJHYffNlHYxJJQV1GVGlKhnxeM7UGY3LSCaK9BLz-sglcWYbaSEJdG4-bW9F4AA")</f>
        <v>https://play.google.com/store/apps/details?id=ru.iflex.android.a3colortv&amp;reviewId=gp:AOqpTOHEzbKqxRhuAHIy8jnBJHYffNlHYxJJQV1GVGlKhnxeM7UGY3LSCaK9BLz-sglcWYbaSEJdG4-bW9F4AA</v>
      </c>
      <c r="H1037" t="s">
        <v>181</v>
      </c>
      <c r="I1037" t="s">
        <v>4007</v>
      </c>
      <c r="J1037" t="str">
        <f>HYPERLINK("https://plus.google.com/117367957968523179818")</f>
        <v>https://plus.google.com/117367957968523179818</v>
      </c>
      <c r="L1037" t="s">
        <v>121</v>
      </c>
      <c r="N1037" t="s">
        <v>207</v>
      </c>
      <c r="O1037" t="s">
        <v>204</v>
      </c>
      <c r="P1037" t="str">
        <f>HYPERLINK("https://play.google.com/store/apps/details?id=ru.iflex.android.a3colortv&amp;hl=ru")</f>
        <v>https://play.google.com/store/apps/details?id=ru.iflex.android.a3colortv&amp;hl=ru</v>
      </c>
      <c r="R1037" t="s">
        <v>184</v>
      </c>
      <c r="S1037" t="s">
        <v>125</v>
      </c>
      <c r="W1037">
        <v>0</v>
      </c>
      <c r="X1037">
        <v>0</v>
      </c>
      <c r="AH1037">
        <v>5</v>
      </c>
      <c r="AM1037" t="s">
        <v>129</v>
      </c>
      <c r="AN1037" t="s">
        <v>130</v>
      </c>
      <c r="AP1037" t="s">
        <v>41</v>
      </c>
      <c r="AZ1037" t="s">
        <v>51</v>
      </c>
      <c r="BA1037" t="s">
        <v>52</v>
      </c>
      <c r="BQ1037" t="s">
        <v>68</v>
      </c>
    </row>
    <row r="1038" spans="1:89" x14ac:dyDescent="0.2">
      <c r="A1038" t="s">
        <v>3597</v>
      </c>
      <c r="B1038" t="s">
        <v>3292</v>
      </c>
      <c r="C1038" t="s">
        <v>4008</v>
      </c>
      <c r="D1038" t="s">
        <v>4009</v>
      </c>
      <c r="E1038" t="s">
        <v>4010</v>
      </c>
      <c r="F1038" t="s">
        <v>118</v>
      </c>
      <c r="G1038" t="str">
        <f>HYPERLINK("https://vk.com/wall-22935147_368635?reply=368644")</f>
        <v>https://vk.com/wall-22935147_368635?reply=368644</v>
      </c>
      <c r="H1038" t="s">
        <v>181</v>
      </c>
      <c r="I1038" t="s">
        <v>4011</v>
      </c>
      <c r="J1038" t="str">
        <f>HYPERLINK("http://vk.com/id481293267")</f>
        <v>http://vk.com/id481293267</v>
      </c>
      <c r="K1038">
        <v>23</v>
      </c>
      <c r="L1038" t="s">
        <v>121</v>
      </c>
      <c r="M1038">
        <v>45</v>
      </c>
      <c r="N1038" t="s">
        <v>122</v>
      </c>
      <c r="O1038" t="s">
        <v>1093</v>
      </c>
      <c r="P1038" t="str">
        <f>HYPERLINK("http://vk.com/club22935147")</f>
        <v>http://vk.com/club22935147</v>
      </c>
      <c r="Q1038">
        <v>8943</v>
      </c>
      <c r="R1038" t="s">
        <v>124</v>
      </c>
      <c r="S1038" t="s">
        <v>1856</v>
      </c>
      <c r="T1038" t="s">
        <v>4012</v>
      </c>
      <c r="U1038" t="s">
        <v>4013</v>
      </c>
      <c r="W1038">
        <v>0</v>
      </c>
      <c r="X1038">
        <v>0</v>
      </c>
      <c r="AM1038" t="s">
        <v>129</v>
      </c>
      <c r="AN1038" t="s">
        <v>130</v>
      </c>
      <c r="AP1038" t="s">
        <v>41</v>
      </c>
      <c r="AW1038" t="s">
        <v>48</v>
      </c>
      <c r="AZ1038" t="s">
        <v>51</v>
      </c>
      <c r="BA1038" t="s">
        <v>52</v>
      </c>
    </row>
    <row r="1039" spans="1:89" x14ac:dyDescent="0.2">
      <c r="A1039" t="s">
        <v>3597</v>
      </c>
      <c r="B1039" t="s">
        <v>4014</v>
      </c>
      <c r="C1039" t="s">
        <v>4015</v>
      </c>
      <c r="D1039" t="s">
        <v>4016</v>
      </c>
      <c r="E1039" t="s">
        <v>4017</v>
      </c>
      <c r="F1039" t="s">
        <v>180</v>
      </c>
      <c r="G1039" t="str">
        <f>HYPERLINK("https://www.ozon.ru/context/detail/id/170788900/#61642083")</f>
        <v>https://www.ozon.ru/context/detail/id/170788900/#61642083</v>
      </c>
      <c r="H1039" t="s">
        <v>181</v>
      </c>
      <c r="I1039" t="s">
        <v>512</v>
      </c>
      <c r="J1039" t="str">
        <f>HYPERLINK("https://www.ozon.ru/context/client_opinion/ClientGuid//")</f>
        <v>https://www.ozon.ru/context/client_opinion/ClientGuid//</v>
      </c>
      <c r="N1039" t="s">
        <v>183</v>
      </c>
      <c r="O1039" t="s">
        <v>4016</v>
      </c>
      <c r="P1039" t="str">
        <f>HYPERLINK("https://www.ozon.ru/context/detail/id/170788900/")</f>
        <v>https://www.ozon.ru/context/detail/id/170788900/</v>
      </c>
      <c r="R1039" t="s">
        <v>184</v>
      </c>
      <c r="S1039" t="s">
        <v>125</v>
      </c>
      <c r="W1039">
        <v>0</v>
      </c>
      <c r="X1039">
        <v>0</v>
      </c>
      <c r="AH1039">
        <v>5</v>
      </c>
      <c r="AM1039" t="s">
        <v>129</v>
      </c>
      <c r="AN1039" t="s">
        <v>130</v>
      </c>
      <c r="AP1039" t="s">
        <v>41</v>
      </c>
      <c r="AT1039" t="s">
        <v>45</v>
      </c>
      <c r="AZ1039" t="s">
        <v>51</v>
      </c>
      <c r="BA1039" t="s">
        <v>52</v>
      </c>
      <c r="BL1039" t="s">
        <v>63</v>
      </c>
    </row>
    <row r="1040" spans="1:89" x14ac:dyDescent="0.2">
      <c r="A1040" t="s">
        <v>3597</v>
      </c>
      <c r="B1040" t="s">
        <v>4018</v>
      </c>
      <c r="C1040" t="s">
        <v>4019</v>
      </c>
      <c r="D1040" t="s">
        <v>4020</v>
      </c>
      <c r="E1040" t="s">
        <v>4021</v>
      </c>
      <c r="F1040" t="s">
        <v>118</v>
      </c>
      <c r="G1040" t="str">
        <f>HYPERLINK("https://www.facebook.com/story.php?story_fbid=4738877326142240&amp;id=138580612838624&amp;comment_id=4744167972279842")</f>
        <v>https://www.facebook.com/story.php?story_fbid=4738877326142240&amp;id=138580612838624&amp;comment_id=4744167972279842</v>
      </c>
      <c r="H1040" t="s">
        <v>119</v>
      </c>
      <c r="I1040" t="s">
        <v>4022</v>
      </c>
      <c r="J1040" t="str">
        <f>HYPERLINK("https://www.facebook.com/100023518141198")</f>
        <v>https://www.facebook.com/100023518141198</v>
      </c>
      <c r="K1040">
        <v>7</v>
      </c>
      <c r="L1040" t="s">
        <v>121</v>
      </c>
      <c r="N1040" t="s">
        <v>305</v>
      </c>
      <c r="O1040" t="s">
        <v>4023</v>
      </c>
      <c r="P1040" t="str">
        <f>HYPERLINK("https://www.facebook.com/138580612838624")</f>
        <v>https://www.facebook.com/138580612838624</v>
      </c>
      <c r="Q1040">
        <v>25666</v>
      </c>
      <c r="R1040" t="s">
        <v>124</v>
      </c>
      <c r="S1040" t="s">
        <v>125</v>
      </c>
      <c r="T1040" t="s">
        <v>169</v>
      </c>
      <c r="U1040" t="s">
        <v>169</v>
      </c>
      <c r="W1040">
        <v>0</v>
      </c>
      <c r="X1040">
        <v>0</v>
      </c>
      <c r="AE1040">
        <v>0</v>
      </c>
      <c r="AM1040" t="s">
        <v>129</v>
      </c>
      <c r="AN1040" t="s">
        <v>130</v>
      </c>
      <c r="AP1040" t="s">
        <v>41</v>
      </c>
      <c r="AZ1040" t="s">
        <v>51</v>
      </c>
      <c r="BB1040" t="s">
        <v>53</v>
      </c>
    </row>
    <row r="1041" spans="1:69" x14ac:dyDescent="0.2">
      <c r="A1041" t="s">
        <v>3597</v>
      </c>
      <c r="B1041" t="s">
        <v>4024</v>
      </c>
      <c r="C1041" t="s">
        <v>4025</v>
      </c>
      <c r="D1041" t="s">
        <v>1663</v>
      </c>
      <c r="E1041" t="s">
        <v>4026</v>
      </c>
      <c r="F1041" t="s">
        <v>180</v>
      </c>
      <c r="G1041" t="str">
        <f>HYPERLINK("https://www.google.com/maps/reviews/data=!4m5!14m4!1m3!1m2!1s114857224968974492074!2s0x0:0x16cd2f8d865e1bb1?hl=en-NL")</f>
        <v>https://www.google.com/maps/reviews/data=!4m5!14m4!1m3!1m2!1s114857224968974492074!2s0x0:0x16cd2f8d865e1bb1?hl=en-NL</v>
      </c>
      <c r="H1041" t="s">
        <v>181</v>
      </c>
      <c r="I1041" t="s">
        <v>4027</v>
      </c>
      <c r="J1041" t="str">
        <f>HYPERLINK("https://maps.google.com/maps/contrib/114857224968974492074")</f>
        <v>https://maps.google.com/maps/contrib/114857224968974492074</v>
      </c>
      <c r="L1041" t="s">
        <v>121</v>
      </c>
      <c r="N1041" t="s">
        <v>673</v>
      </c>
      <c r="O1041" t="s">
        <v>1663</v>
      </c>
      <c r="P1041" t="str">
        <f>HYPERLINK("https://maps.google.com/maps/place/data=!3m1!4b1!4m5!3m4!1s0x0:0x16cd2f8d865e1bb1!8m2!3d45.022920!4d39.055820")</f>
        <v>https://maps.google.com/maps/place/data=!3m1!4b1!4m5!3m4!1s0x0:0x16cd2f8d865e1bb1!8m2!3d45.022920!4d39.055820</v>
      </c>
      <c r="R1041" t="s">
        <v>184</v>
      </c>
      <c r="S1041" t="s">
        <v>125</v>
      </c>
      <c r="T1041" t="s">
        <v>759</v>
      </c>
      <c r="U1041" t="s">
        <v>2080</v>
      </c>
      <c r="W1041">
        <v>1</v>
      </c>
      <c r="X1041">
        <v>1</v>
      </c>
      <c r="AH1041">
        <v>5</v>
      </c>
      <c r="AM1041" t="s">
        <v>129</v>
      </c>
      <c r="AN1041" t="s">
        <v>130</v>
      </c>
      <c r="AP1041" t="s">
        <v>41</v>
      </c>
      <c r="AX1041" t="s">
        <v>49</v>
      </c>
      <c r="AZ1041" t="s">
        <v>51</v>
      </c>
      <c r="BA1041" t="s">
        <v>52</v>
      </c>
    </row>
    <row r="1042" spans="1:69" x14ac:dyDescent="0.2">
      <c r="A1042" t="s">
        <v>3597</v>
      </c>
      <c r="B1042" t="s">
        <v>4028</v>
      </c>
      <c r="C1042" t="s">
        <v>4029</v>
      </c>
      <c r="D1042" t="s">
        <v>204</v>
      </c>
      <c r="E1042" t="s">
        <v>4030</v>
      </c>
      <c r="F1042" t="s">
        <v>180</v>
      </c>
      <c r="G1042" t="str">
        <f>HYPERLINK("https://play.google.com/store/apps/details?id=ru.iflex.android.a3colortv&amp;reviewId=gp:AOqpTOGbAKwYFt91Dz1lkrL9soW-ZWGwp9C8rEWvDbrTZaRoqhYItWXgu72tqgNNdJodvik0dvYCsVd2Ok2EAQ")</f>
        <v>https://play.google.com/store/apps/details?id=ru.iflex.android.a3colortv&amp;reviewId=gp:AOqpTOGbAKwYFt91Dz1lkrL9soW-ZWGwp9C8rEWvDbrTZaRoqhYItWXgu72tqgNNdJodvik0dvYCsVd2Ok2EAQ</v>
      </c>
      <c r="H1042" t="s">
        <v>119</v>
      </c>
      <c r="I1042" t="s">
        <v>4031</v>
      </c>
      <c r="J1042" t="str">
        <f>HYPERLINK("https://plus.google.com/113061244493551286953")</f>
        <v>https://plus.google.com/113061244493551286953</v>
      </c>
      <c r="L1042" t="s">
        <v>121</v>
      </c>
      <c r="N1042" t="s">
        <v>207</v>
      </c>
      <c r="O1042" t="s">
        <v>204</v>
      </c>
      <c r="P1042" t="str">
        <f>HYPERLINK("https://play.google.com/store/apps/details?id=ru.iflex.android.a3colortv&amp;hl=ru")</f>
        <v>https://play.google.com/store/apps/details?id=ru.iflex.android.a3colortv&amp;hl=ru</v>
      </c>
      <c r="R1042" t="s">
        <v>184</v>
      </c>
      <c r="S1042" t="s">
        <v>125</v>
      </c>
      <c r="W1042">
        <v>0</v>
      </c>
      <c r="X1042">
        <v>0</v>
      </c>
      <c r="AH1042">
        <v>4</v>
      </c>
      <c r="AM1042" t="s">
        <v>129</v>
      </c>
      <c r="AN1042" t="s">
        <v>130</v>
      </c>
      <c r="AP1042" t="s">
        <v>41</v>
      </c>
      <c r="AZ1042" t="s">
        <v>51</v>
      </c>
      <c r="BA1042" t="s">
        <v>52</v>
      </c>
      <c r="BQ1042" t="s">
        <v>68</v>
      </c>
    </row>
    <row r="1043" spans="1:69" x14ac:dyDescent="0.2">
      <c r="A1043" t="s">
        <v>3597</v>
      </c>
      <c r="B1043" t="s">
        <v>4032</v>
      </c>
      <c r="C1043" t="s">
        <v>4033</v>
      </c>
      <c r="D1043" t="s">
        <v>1727</v>
      </c>
      <c r="E1043" t="s">
        <v>4034</v>
      </c>
      <c r="F1043" t="s">
        <v>180</v>
      </c>
      <c r="G1043" t="str">
        <f>HYPERLINK("https://www.ozon.ru/context/detail/id/248909251/#61637164")</f>
        <v>https://www.ozon.ru/context/detail/id/248909251/#61637164</v>
      </c>
      <c r="H1043" t="s">
        <v>181</v>
      </c>
      <c r="I1043" t="s">
        <v>4035</v>
      </c>
      <c r="J1043" t="str">
        <f>HYPERLINK("https://www.ozon.ru/context/client_opinion/ClientGuid/8421e6d0-3559-4011-8e67-11f9dd1e6974/")</f>
        <v>https://www.ozon.ru/context/client_opinion/ClientGuid/8421e6d0-3559-4011-8e67-11f9dd1e6974/</v>
      </c>
      <c r="L1043" t="s">
        <v>121</v>
      </c>
      <c r="N1043" t="s">
        <v>183</v>
      </c>
      <c r="O1043" t="s">
        <v>1729</v>
      </c>
      <c r="P1043" t="str">
        <f>HYPERLINK("https://www.ozon.ru/context/detail/id/248909251/")</f>
        <v>https://www.ozon.ru/context/detail/id/248909251/</v>
      </c>
      <c r="R1043" t="s">
        <v>184</v>
      </c>
      <c r="S1043" t="s">
        <v>125</v>
      </c>
      <c r="W1043">
        <v>0</v>
      </c>
      <c r="X1043">
        <v>0</v>
      </c>
      <c r="AH1043">
        <v>5</v>
      </c>
      <c r="AM1043" t="s">
        <v>129</v>
      </c>
      <c r="AN1043" t="s">
        <v>130</v>
      </c>
      <c r="AP1043" t="s">
        <v>41</v>
      </c>
      <c r="AT1043" t="s">
        <v>45</v>
      </c>
      <c r="AZ1043" t="s">
        <v>51</v>
      </c>
      <c r="BB1043" t="s">
        <v>53</v>
      </c>
      <c r="BL1043" t="s">
        <v>63</v>
      </c>
    </row>
    <row r="1044" spans="1:69" x14ac:dyDescent="0.2">
      <c r="A1044" t="s">
        <v>3597</v>
      </c>
      <c r="B1044" t="s">
        <v>4036</v>
      </c>
      <c r="C1044" t="s">
        <v>4037</v>
      </c>
      <c r="D1044" t="s">
        <v>4038</v>
      </c>
      <c r="E1044" t="s">
        <v>4039</v>
      </c>
      <c r="F1044" t="s">
        <v>118</v>
      </c>
      <c r="G1044" t="str">
        <f>HYPERLINK("https://telegram.me/chatpootinism/126510")</f>
        <v>https://telegram.me/chatpootinism/126510</v>
      </c>
      <c r="H1044" t="s">
        <v>119</v>
      </c>
      <c r="I1044" t="s">
        <v>4040</v>
      </c>
      <c r="J1044" t="str">
        <f>HYPERLINK("https://telegram.me/macedonsky")</f>
        <v>https://telegram.me/macedonsky</v>
      </c>
      <c r="L1044" t="s">
        <v>121</v>
      </c>
      <c r="N1044" t="s">
        <v>143</v>
      </c>
      <c r="O1044" t="s">
        <v>4041</v>
      </c>
      <c r="P1044" t="str">
        <f>HYPERLINK("https://telegram.me/chatpootinism")</f>
        <v>https://telegram.me/chatpootinism</v>
      </c>
      <c r="Q1044">
        <v>265</v>
      </c>
      <c r="R1044" t="s">
        <v>145</v>
      </c>
      <c r="AM1044" t="s">
        <v>129</v>
      </c>
      <c r="AN1044" t="s">
        <v>130</v>
      </c>
      <c r="AP1044" t="s">
        <v>41</v>
      </c>
      <c r="AU1044" t="s">
        <v>46</v>
      </c>
      <c r="AZ1044" t="s">
        <v>51</v>
      </c>
      <c r="BA1044" t="s">
        <v>52</v>
      </c>
    </row>
    <row r="1045" spans="1:69" x14ac:dyDescent="0.2">
      <c r="A1045" t="s">
        <v>3597</v>
      </c>
      <c r="B1045" t="s">
        <v>1219</v>
      </c>
      <c r="C1045" t="s">
        <v>4042</v>
      </c>
      <c r="D1045" t="s">
        <v>4043</v>
      </c>
      <c r="E1045" t="s">
        <v>4044</v>
      </c>
      <c r="F1045" t="s">
        <v>118</v>
      </c>
      <c r="G1045" t="str">
        <f>HYPERLINK("https://vk.com/wall-63484299_694915?reply=694961&amp;thread=694932")</f>
        <v>https://vk.com/wall-63484299_694915?reply=694961&amp;thread=694932</v>
      </c>
      <c r="H1045" t="s">
        <v>119</v>
      </c>
      <c r="I1045" t="s">
        <v>4045</v>
      </c>
      <c r="J1045" t="str">
        <f>HYPERLINK("http://vk.com/id642236561")</f>
        <v>http://vk.com/id642236561</v>
      </c>
      <c r="K1045">
        <v>17</v>
      </c>
      <c r="L1045" t="s">
        <v>151</v>
      </c>
      <c r="N1045" t="s">
        <v>122</v>
      </c>
      <c r="O1045" t="s">
        <v>4046</v>
      </c>
      <c r="P1045" t="str">
        <f>HYPERLINK("http://vk.com/club63484299")</f>
        <v>http://vk.com/club63484299</v>
      </c>
      <c r="Q1045">
        <v>20474</v>
      </c>
      <c r="R1045" t="s">
        <v>124</v>
      </c>
      <c r="S1045" t="s">
        <v>125</v>
      </c>
      <c r="T1045" t="s">
        <v>767</v>
      </c>
      <c r="U1045" t="s">
        <v>1531</v>
      </c>
      <c r="AM1045" t="s">
        <v>129</v>
      </c>
      <c r="AN1045" t="s">
        <v>130</v>
      </c>
      <c r="AP1045" t="s">
        <v>41</v>
      </c>
      <c r="AW1045" t="s">
        <v>48</v>
      </c>
      <c r="AZ1045" t="s">
        <v>51</v>
      </c>
      <c r="BA1045" t="s">
        <v>52</v>
      </c>
    </row>
    <row r="1046" spans="1:69" x14ac:dyDescent="0.2">
      <c r="A1046" t="s">
        <v>3597</v>
      </c>
      <c r="B1046" t="s">
        <v>4047</v>
      </c>
      <c r="C1046" t="s">
        <v>4048</v>
      </c>
      <c r="D1046" t="s">
        <v>175</v>
      </c>
      <c r="E1046" t="s">
        <v>4049</v>
      </c>
      <c r="F1046" t="s">
        <v>180</v>
      </c>
      <c r="G1046" t="str">
        <f>HYPERLINK("https://yandex.ru/maps/org/1751723658#3NLYtfa0oY2jtBGZ7DIU6Vm5zrzH9EC9W")</f>
        <v>https://yandex.ru/maps/org/1751723658#3NLYtfa0oY2jtBGZ7DIU6Vm5zrzH9EC9W</v>
      </c>
      <c r="H1046" t="s">
        <v>181</v>
      </c>
      <c r="I1046" t="s">
        <v>4050</v>
      </c>
      <c r="J1046" t="str">
        <f>HYPERLINK("https://yandex.ru/maps/org/1751723658#3NLYtfa0oY2jtBGZ7DIU6Vm5zrzH9EC9W")</f>
        <v>https://yandex.ru/maps/org/1751723658#3NLYtfa0oY2jtBGZ7DIU6Vm5zrzH9EC9W</v>
      </c>
      <c r="N1046" t="s">
        <v>236</v>
      </c>
      <c r="O1046" t="s">
        <v>175</v>
      </c>
      <c r="P1046" t="str">
        <f>HYPERLINK("https://yandex.ru/maps/org/1751723658")</f>
        <v>https://yandex.ru/maps/org/1751723658</v>
      </c>
      <c r="R1046" t="s">
        <v>184</v>
      </c>
      <c r="S1046" t="s">
        <v>125</v>
      </c>
      <c r="T1046" t="s">
        <v>153</v>
      </c>
      <c r="U1046" t="s">
        <v>4051</v>
      </c>
      <c r="W1046">
        <v>0</v>
      </c>
      <c r="X1046">
        <v>0</v>
      </c>
      <c r="AH1046">
        <v>5</v>
      </c>
      <c r="AM1046" t="s">
        <v>129</v>
      </c>
      <c r="AN1046" t="s">
        <v>130</v>
      </c>
      <c r="AP1046" t="s">
        <v>41</v>
      </c>
      <c r="AX1046" t="s">
        <v>49</v>
      </c>
      <c r="AZ1046" t="s">
        <v>51</v>
      </c>
      <c r="BA1046" t="s">
        <v>52</v>
      </c>
    </row>
    <row r="1047" spans="1:69" x14ac:dyDescent="0.2">
      <c r="A1047" t="s">
        <v>4052</v>
      </c>
      <c r="B1047" t="s">
        <v>4053</v>
      </c>
      <c r="C1047" t="s">
        <v>4054</v>
      </c>
      <c r="D1047" t="s">
        <v>3482</v>
      </c>
      <c r="E1047" t="s">
        <v>4055</v>
      </c>
      <c r="F1047" t="s">
        <v>180</v>
      </c>
      <c r="G1047" t="str">
        <f>HYPERLINK("https://www.ozon.ru/context/detail/id/202443226/#61628808")</f>
        <v>https://www.ozon.ru/context/detail/id/202443226/#61628808</v>
      </c>
      <c r="H1047" t="s">
        <v>181</v>
      </c>
      <c r="I1047" t="s">
        <v>957</v>
      </c>
      <c r="J1047" t="str">
        <f>HYPERLINK("https://www.ozon.ru/context/client_opinion/ClientGuid/97e726e6-932a-462a-88a6-eca0bd7bfe20/")</f>
        <v>https://www.ozon.ru/context/client_opinion/ClientGuid/97e726e6-932a-462a-88a6-eca0bd7bfe20/</v>
      </c>
      <c r="L1047" t="s">
        <v>121</v>
      </c>
      <c r="N1047" t="s">
        <v>183</v>
      </c>
      <c r="O1047" t="s">
        <v>3482</v>
      </c>
      <c r="P1047" t="str">
        <f>HYPERLINK("https://www.ozon.ru/context/detail/id/202443226/")</f>
        <v>https://www.ozon.ru/context/detail/id/202443226/</v>
      </c>
      <c r="R1047" t="s">
        <v>184</v>
      </c>
      <c r="S1047" t="s">
        <v>125</v>
      </c>
      <c r="W1047">
        <v>0</v>
      </c>
      <c r="X1047">
        <v>0</v>
      </c>
      <c r="AH1047">
        <v>5</v>
      </c>
      <c r="AJ1047" t="s">
        <v>129</v>
      </c>
      <c r="AK1047" t="s">
        <v>129</v>
      </c>
      <c r="AL1047" t="str">
        <f>HYPERLINK("https://cdn1.ozone.ru/s3/rp-photo-5/c487c3b5-6812-4c85-b4df-8a3b7a877eda.jpeg")</f>
        <v>https://cdn1.ozone.ru/s3/rp-photo-5/c487c3b5-6812-4c85-b4df-8a3b7a877eda.jpeg</v>
      </c>
      <c r="AM1047" t="s">
        <v>129</v>
      </c>
      <c r="AN1047" t="s">
        <v>130</v>
      </c>
      <c r="AP1047" t="s">
        <v>41</v>
      </c>
      <c r="AZ1047" t="s">
        <v>51</v>
      </c>
      <c r="BA1047" t="s">
        <v>52</v>
      </c>
      <c r="BK1047" t="s">
        <v>62</v>
      </c>
      <c r="BL1047" t="s">
        <v>63</v>
      </c>
    </row>
    <row r="1048" spans="1:69" x14ac:dyDescent="0.2">
      <c r="A1048" t="s">
        <v>4052</v>
      </c>
      <c r="B1048" t="s">
        <v>1244</v>
      </c>
      <c r="C1048" t="s">
        <v>4056</v>
      </c>
      <c r="D1048" t="s">
        <v>4057</v>
      </c>
      <c r="E1048" t="s">
        <v>4058</v>
      </c>
      <c r="F1048" t="s">
        <v>118</v>
      </c>
      <c r="G1048" t="str">
        <f>HYPERLINK("https://vk.com/wall-167863263_85023?reply=85447")</f>
        <v>https://vk.com/wall-167863263_85023?reply=85447</v>
      </c>
      <c r="H1048" t="s">
        <v>119</v>
      </c>
      <c r="I1048" t="s">
        <v>4059</v>
      </c>
      <c r="J1048" t="str">
        <f>HYPERLINK("http://vk.com/id23147399")</f>
        <v>http://vk.com/id23147399</v>
      </c>
      <c r="K1048">
        <v>141</v>
      </c>
      <c r="L1048" t="s">
        <v>121</v>
      </c>
      <c r="M1048">
        <v>51</v>
      </c>
      <c r="N1048" t="s">
        <v>122</v>
      </c>
      <c r="O1048" t="s">
        <v>4060</v>
      </c>
      <c r="P1048" t="str">
        <f>HYPERLINK("http://vk.com/club167863263")</f>
        <v>http://vk.com/club167863263</v>
      </c>
      <c r="Q1048">
        <v>5569</v>
      </c>
      <c r="R1048" t="s">
        <v>124</v>
      </c>
      <c r="S1048" t="s">
        <v>125</v>
      </c>
      <c r="T1048" t="s">
        <v>137</v>
      </c>
      <c r="U1048" t="s">
        <v>137</v>
      </c>
      <c r="AM1048" t="s">
        <v>129</v>
      </c>
      <c r="AN1048" t="s">
        <v>130</v>
      </c>
      <c r="AP1048" t="s">
        <v>41</v>
      </c>
      <c r="AU1048" t="s">
        <v>46</v>
      </c>
      <c r="AZ1048" t="s">
        <v>51</v>
      </c>
      <c r="BA1048" t="s">
        <v>52</v>
      </c>
      <c r="BM1048" t="s">
        <v>64</v>
      </c>
    </row>
    <row r="1049" spans="1:69" x14ac:dyDescent="0.2">
      <c r="A1049" t="s">
        <v>4052</v>
      </c>
      <c r="B1049" t="s">
        <v>4061</v>
      </c>
      <c r="C1049" t="s">
        <v>4062</v>
      </c>
      <c r="D1049" t="s">
        <v>4063</v>
      </c>
      <c r="E1049" t="s">
        <v>4064</v>
      </c>
      <c r="F1049" t="s">
        <v>118</v>
      </c>
      <c r="G1049" t="str">
        <f>HYPERLINK("https://www.facebook.com/story.php?story_fbid=10160337674224879&amp;id=51124334878&amp;comment_id=10160338854999879")</f>
        <v>https://www.facebook.com/story.php?story_fbid=10160337674224879&amp;id=51124334878&amp;comment_id=10160338854999879</v>
      </c>
      <c r="H1049" t="s">
        <v>181</v>
      </c>
      <c r="I1049" t="s">
        <v>4065</v>
      </c>
      <c r="J1049" t="str">
        <f>HYPERLINK("https://www.facebook.com/100006514778137")</f>
        <v>https://www.facebook.com/100006514778137</v>
      </c>
      <c r="K1049">
        <v>591</v>
      </c>
      <c r="L1049" t="s">
        <v>121</v>
      </c>
      <c r="N1049" t="s">
        <v>305</v>
      </c>
      <c r="O1049" t="s">
        <v>4066</v>
      </c>
      <c r="P1049" t="str">
        <f>HYPERLINK("https://www.facebook.com/51124334878")</f>
        <v>https://www.facebook.com/51124334878</v>
      </c>
      <c r="Q1049">
        <v>281000</v>
      </c>
      <c r="R1049" t="s">
        <v>124</v>
      </c>
      <c r="S1049" t="s">
        <v>125</v>
      </c>
      <c r="T1049" t="s">
        <v>264</v>
      </c>
      <c r="U1049" t="s">
        <v>265</v>
      </c>
      <c r="W1049">
        <v>0</v>
      </c>
      <c r="X1049">
        <v>0</v>
      </c>
      <c r="AE1049">
        <v>0</v>
      </c>
      <c r="AM1049" t="s">
        <v>129</v>
      </c>
      <c r="AN1049" t="s">
        <v>130</v>
      </c>
      <c r="AP1049" t="s">
        <v>41</v>
      </c>
      <c r="AW1049" t="s">
        <v>48</v>
      </c>
      <c r="AZ1049" t="s">
        <v>51</v>
      </c>
      <c r="BA1049" t="s">
        <v>52</v>
      </c>
    </row>
    <row r="1050" spans="1:69" x14ac:dyDescent="0.2">
      <c r="A1050" t="s">
        <v>4052</v>
      </c>
      <c r="B1050" t="s">
        <v>138</v>
      </c>
      <c r="C1050" t="s">
        <v>4067</v>
      </c>
      <c r="D1050" t="s">
        <v>2842</v>
      </c>
      <c r="E1050" t="s">
        <v>4068</v>
      </c>
      <c r="F1050" t="s">
        <v>180</v>
      </c>
      <c r="G1050" t="str">
        <f>HYPERLINK("https://www.ozon.ru/context/detail/id/206030955/#61626135")</f>
        <v>https://www.ozon.ru/context/detail/id/206030955/#61626135</v>
      </c>
      <c r="H1050" t="s">
        <v>119</v>
      </c>
      <c r="I1050" t="s">
        <v>4069</v>
      </c>
      <c r="J1050" t="str">
        <f>HYPERLINK("https://www.ozon.ru/context/client_opinion/ClientGuid/3ca90b6c-485f-49a5-a956-4ee1cf9cf61c/")</f>
        <v>https://www.ozon.ru/context/client_opinion/ClientGuid/3ca90b6c-485f-49a5-a956-4ee1cf9cf61c/</v>
      </c>
      <c r="L1050" t="s">
        <v>121</v>
      </c>
      <c r="N1050" t="s">
        <v>183</v>
      </c>
      <c r="O1050" t="s">
        <v>2842</v>
      </c>
      <c r="P1050" t="str">
        <f>HYPERLINK("https://www.ozon.ru/context/detail/id/206030955/")</f>
        <v>https://www.ozon.ru/context/detail/id/206030955/</v>
      </c>
      <c r="R1050" t="s">
        <v>184</v>
      </c>
      <c r="S1050" t="s">
        <v>125</v>
      </c>
      <c r="W1050">
        <v>0</v>
      </c>
      <c r="X1050">
        <v>0</v>
      </c>
      <c r="AH1050">
        <v>4</v>
      </c>
      <c r="AM1050" t="s">
        <v>129</v>
      </c>
      <c r="AN1050" t="s">
        <v>130</v>
      </c>
      <c r="AP1050" t="s">
        <v>41</v>
      </c>
      <c r="AT1050" t="s">
        <v>45</v>
      </c>
      <c r="AZ1050" t="s">
        <v>51</v>
      </c>
      <c r="BA1050" t="s">
        <v>52</v>
      </c>
      <c r="BM1050" t="s">
        <v>64</v>
      </c>
    </row>
    <row r="1051" spans="1:69" x14ac:dyDescent="0.2">
      <c r="A1051" t="s">
        <v>4052</v>
      </c>
      <c r="B1051" t="s">
        <v>1251</v>
      </c>
      <c r="C1051" t="s">
        <v>4070</v>
      </c>
      <c r="D1051" t="s">
        <v>3049</v>
      </c>
      <c r="E1051" t="s">
        <v>4071</v>
      </c>
      <c r="F1051" t="s">
        <v>118</v>
      </c>
      <c r="G1051" t="str">
        <f>HYPERLINK("https://vk.com/wall-76171056_19727?reply=19729")</f>
        <v>https://vk.com/wall-76171056_19727?reply=19729</v>
      </c>
      <c r="H1051" t="s">
        <v>119</v>
      </c>
      <c r="I1051" t="s">
        <v>4072</v>
      </c>
      <c r="J1051" t="str">
        <f>HYPERLINK("http://vk.com/id146541083")</f>
        <v>http://vk.com/id146541083</v>
      </c>
      <c r="K1051">
        <v>257</v>
      </c>
      <c r="L1051" t="s">
        <v>121</v>
      </c>
      <c r="M1051">
        <v>20</v>
      </c>
      <c r="N1051" t="s">
        <v>122</v>
      </c>
      <c r="O1051" t="s">
        <v>3052</v>
      </c>
      <c r="P1051" t="str">
        <f>HYPERLINK("http://vk.com/club76171056")</f>
        <v>http://vk.com/club76171056</v>
      </c>
      <c r="Q1051">
        <v>8634</v>
      </c>
      <c r="R1051" t="s">
        <v>124</v>
      </c>
      <c r="S1051" t="s">
        <v>125</v>
      </c>
      <c r="T1051" t="s">
        <v>1103</v>
      </c>
      <c r="U1051" t="s">
        <v>1104</v>
      </c>
      <c r="AM1051" t="s">
        <v>129</v>
      </c>
      <c r="AN1051" t="s">
        <v>130</v>
      </c>
      <c r="AP1051" t="s">
        <v>41</v>
      </c>
      <c r="AT1051" t="s">
        <v>45</v>
      </c>
      <c r="AY1051" t="s">
        <v>50</v>
      </c>
      <c r="AZ1051" t="s">
        <v>51</v>
      </c>
      <c r="BA1051" t="s">
        <v>52</v>
      </c>
    </row>
    <row r="1052" spans="1:69" x14ac:dyDescent="0.2">
      <c r="A1052" t="s">
        <v>4052</v>
      </c>
      <c r="B1052" t="s">
        <v>1255</v>
      </c>
      <c r="C1052" t="s">
        <v>4073</v>
      </c>
      <c r="D1052" t="s">
        <v>2967</v>
      </c>
      <c r="E1052" t="s">
        <v>4074</v>
      </c>
      <c r="F1052" t="s">
        <v>118</v>
      </c>
      <c r="G1052" t="str">
        <f>HYPERLINK("https://vk.com/wall-93167549_121858?reply=121862")</f>
        <v>https://vk.com/wall-93167549_121858?reply=121862</v>
      </c>
      <c r="H1052" t="s">
        <v>228</v>
      </c>
      <c r="I1052" t="s">
        <v>4075</v>
      </c>
      <c r="J1052" t="str">
        <f>HYPERLINK("http://vk.com/id23337444")</f>
        <v>http://vk.com/id23337444</v>
      </c>
      <c r="K1052">
        <v>289</v>
      </c>
      <c r="L1052" t="s">
        <v>121</v>
      </c>
      <c r="N1052" t="s">
        <v>122</v>
      </c>
      <c r="O1052" t="s">
        <v>2970</v>
      </c>
      <c r="P1052" t="str">
        <f>HYPERLINK("http://vk.com/club93167549")</f>
        <v>http://vk.com/club93167549</v>
      </c>
      <c r="Q1052">
        <v>20344</v>
      </c>
      <c r="R1052" t="s">
        <v>124</v>
      </c>
      <c r="S1052" t="s">
        <v>125</v>
      </c>
      <c r="T1052" t="s">
        <v>1365</v>
      </c>
      <c r="U1052" t="s">
        <v>1366</v>
      </c>
      <c r="AM1052" t="s">
        <v>129</v>
      </c>
      <c r="AN1052" t="s">
        <v>130</v>
      </c>
      <c r="AP1052" t="s">
        <v>41</v>
      </c>
      <c r="AW1052" t="s">
        <v>48</v>
      </c>
      <c r="AY1052" t="s">
        <v>50</v>
      </c>
      <c r="AZ1052" t="s">
        <v>51</v>
      </c>
      <c r="BA1052" t="s">
        <v>52</v>
      </c>
    </row>
    <row r="1053" spans="1:69" x14ac:dyDescent="0.2">
      <c r="A1053" t="s">
        <v>4052</v>
      </c>
      <c r="B1053" t="s">
        <v>2296</v>
      </c>
      <c r="C1053" t="s">
        <v>4076</v>
      </c>
      <c r="D1053" t="s">
        <v>1697</v>
      </c>
      <c r="E1053" t="s">
        <v>4077</v>
      </c>
      <c r="F1053" t="s">
        <v>180</v>
      </c>
      <c r="G1053" t="str">
        <f>HYPERLINK("https://apps.apple.com/ru/app/мой-триколор/id1204321194#7610126013")</f>
        <v>https://apps.apple.com/ru/app/мой-триколор/id1204321194#7610126013</v>
      </c>
      <c r="H1053" t="s">
        <v>181</v>
      </c>
      <c r="I1053" t="s">
        <v>4078</v>
      </c>
      <c r="J1053" t="str">
        <f>HYPERLINK("https://itunes.apple.com/reviews?userProfileId=374631863")</f>
        <v>https://itunes.apple.com/reviews?userProfileId=374631863</v>
      </c>
      <c r="L1053" t="s">
        <v>121</v>
      </c>
      <c r="N1053" t="s">
        <v>1411</v>
      </c>
      <c r="O1053" t="s">
        <v>1697</v>
      </c>
      <c r="P1053" t="str">
        <f>HYPERLINK("https://apps.apple.com/ru/app/мой-триколор/id1204321194")</f>
        <v>https://apps.apple.com/ru/app/мой-триколор/id1204321194</v>
      </c>
      <c r="R1053" t="s">
        <v>184</v>
      </c>
      <c r="S1053" t="s">
        <v>125</v>
      </c>
      <c r="AH1053">
        <v>5</v>
      </c>
      <c r="AM1053" t="s">
        <v>129</v>
      </c>
      <c r="AN1053" t="s">
        <v>130</v>
      </c>
      <c r="AP1053" t="s">
        <v>41</v>
      </c>
      <c r="AZ1053" t="s">
        <v>51</v>
      </c>
      <c r="BA1053" t="s">
        <v>52</v>
      </c>
      <c r="BQ1053" t="s">
        <v>68</v>
      </c>
    </row>
    <row r="1054" spans="1:69" x14ac:dyDescent="0.2">
      <c r="A1054" t="s">
        <v>4052</v>
      </c>
      <c r="B1054" t="s">
        <v>775</v>
      </c>
      <c r="C1054" t="s">
        <v>4079</v>
      </c>
      <c r="D1054" t="s">
        <v>129</v>
      </c>
      <c r="E1054" t="s">
        <v>4080</v>
      </c>
      <c r="F1054" t="s">
        <v>180</v>
      </c>
      <c r="G1054" t="str">
        <f>HYPERLINK("https://vk.com/wall-93167549_121858")</f>
        <v>https://vk.com/wall-93167549_121858</v>
      </c>
      <c r="H1054" t="s">
        <v>119</v>
      </c>
      <c r="I1054" t="s">
        <v>2970</v>
      </c>
      <c r="J1054" t="str">
        <f>HYPERLINK("http://vk.com/club93167549")</f>
        <v>http://vk.com/club93167549</v>
      </c>
      <c r="K1054">
        <v>20344</v>
      </c>
      <c r="L1054" t="s">
        <v>340</v>
      </c>
      <c r="N1054" t="s">
        <v>122</v>
      </c>
      <c r="O1054" t="s">
        <v>2970</v>
      </c>
      <c r="P1054" t="str">
        <f>HYPERLINK("http://vk.com/club93167549")</f>
        <v>http://vk.com/club93167549</v>
      </c>
      <c r="Q1054">
        <v>20344</v>
      </c>
      <c r="R1054" t="s">
        <v>124</v>
      </c>
      <c r="W1054">
        <v>1</v>
      </c>
      <c r="X1054">
        <v>1</v>
      </c>
      <c r="AE1054">
        <v>45</v>
      </c>
      <c r="AF1054">
        <v>1</v>
      </c>
      <c r="AG1054">
        <v>2400</v>
      </c>
      <c r="AM1054" t="s">
        <v>129</v>
      </c>
      <c r="AN1054" t="s">
        <v>130</v>
      </c>
      <c r="AP1054" t="s">
        <v>41</v>
      </c>
      <c r="AZ1054" t="s">
        <v>51</v>
      </c>
      <c r="BA1054" t="s">
        <v>52</v>
      </c>
    </row>
    <row r="1055" spans="1:69" x14ac:dyDescent="0.2">
      <c r="A1055" t="s">
        <v>4052</v>
      </c>
      <c r="B1055" t="s">
        <v>776</v>
      </c>
      <c r="C1055" t="s">
        <v>4081</v>
      </c>
      <c r="D1055" t="s">
        <v>204</v>
      </c>
      <c r="E1055" t="s">
        <v>4082</v>
      </c>
      <c r="F1055" t="s">
        <v>180</v>
      </c>
      <c r="G1055" t="str">
        <f>HYPERLINK("https://play.google.com/store/apps/details?id=ru.iflex.android.a3colortv&amp;reviewId=gp:AOqpTOG4Ik0Bc2ssQMdcqEy0JonZztLKOZukMeRYENXy093jUQFbmcXbEboMQmUAZUULJP3bgGHgBEFX8T4D_A")</f>
        <v>https://play.google.com/store/apps/details?id=ru.iflex.android.a3colortv&amp;reviewId=gp:AOqpTOG4Ik0Bc2ssQMdcqEy0JonZztLKOZukMeRYENXy093jUQFbmcXbEboMQmUAZUULJP3bgGHgBEFX8T4D_A</v>
      </c>
      <c r="H1055" t="s">
        <v>228</v>
      </c>
      <c r="I1055" t="s">
        <v>4083</v>
      </c>
      <c r="J1055" t="str">
        <f>HYPERLINK("https://plus.google.com/107746122629710485224")</f>
        <v>https://plus.google.com/107746122629710485224</v>
      </c>
      <c r="L1055" t="s">
        <v>121</v>
      </c>
      <c r="N1055" t="s">
        <v>207</v>
      </c>
      <c r="O1055" t="s">
        <v>204</v>
      </c>
      <c r="P1055" t="str">
        <f>HYPERLINK("https://play.google.com/store/apps/details?id=ru.iflex.android.a3colortv&amp;hl=ru")</f>
        <v>https://play.google.com/store/apps/details?id=ru.iflex.android.a3colortv&amp;hl=ru</v>
      </c>
      <c r="R1055" t="s">
        <v>184</v>
      </c>
      <c r="S1055" t="s">
        <v>125</v>
      </c>
      <c r="W1055">
        <v>0</v>
      </c>
      <c r="X1055">
        <v>0</v>
      </c>
      <c r="AH1055">
        <v>1</v>
      </c>
      <c r="AM1055" t="s">
        <v>129</v>
      </c>
      <c r="AN1055" t="s">
        <v>130</v>
      </c>
      <c r="AP1055" t="s">
        <v>41</v>
      </c>
      <c r="AZ1055" t="s">
        <v>51</v>
      </c>
      <c r="BA1055" t="s">
        <v>52</v>
      </c>
      <c r="BQ1055" t="s">
        <v>68</v>
      </c>
    </row>
    <row r="1056" spans="1:69" x14ac:dyDescent="0.2">
      <c r="A1056" t="s">
        <v>4052</v>
      </c>
      <c r="B1056" t="s">
        <v>4084</v>
      </c>
      <c r="C1056" t="s">
        <v>4085</v>
      </c>
      <c r="D1056" t="s">
        <v>4086</v>
      </c>
      <c r="E1056" t="s">
        <v>4087</v>
      </c>
      <c r="F1056" t="s">
        <v>118</v>
      </c>
      <c r="G1056" t="str">
        <f>HYPERLINK("https://www.youtube.com/watch?v=ih56FJTrI4I&amp;lc=UgzkPK-ad-CWUJXC0xl4AaABAg")</f>
        <v>https://www.youtube.com/watch?v=ih56FJTrI4I&amp;lc=UgzkPK-ad-CWUJXC0xl4AaABAg</v>
      </c>
      <c r="H1056" t="s">
        <v>119</v>
      </c>
      <c r="I1056" t="s">
        <v>4088</v>
      </c>
      <c r="J1056" t="str">
        <f>HYPERLINK("https://www.youtube.com/channel/UCwdH1PednFuwl3hR2iZAbzw")</f>
        <v>https://www.youtube.com/channel/UCwdH1PednFuwl3hR2iZAbzw</v>
      </c>
      <c r="K1056">
        <v>0</v>
      </c>
      <c r="N1056" t="s">
        <v>248</v>
      </c>
      <c r="O1056" t="s">
        <v>680</v>
      </c>
      <c r="P1056" t="str">
        <f>HYPERLINK("https://www.youtube.com/channel/UCxnmhtdsil-s_rGuwunyZSA")</f>
        <v>https://www.youtube.com/channel/UCxnmhtdsil-s_rGuwunyZSA</v>
      </c>
      <c r="Q1056">
        <v>124000</v>
      </c>
      <c r="R1056" t="s">
        <v>124</v>
      </c>
      <c r="S1056" t="s">
        <v>125</v>
      </c>
      <c r="W1056">
        <v>0</v>
      </c>
      <c r="X1056">
        <v>0</v>
      </c>
      <c r="AE1056">
        <v>0</v>
      </c>
      <c r="AM1056" t="s">
        <v>129</v>
      </c>
      <c r="AN1056" t="s">
        <v>130</v>
      </c>
      <c r="AP1056" t="s">
        <v>41</v>
      </c>
      <c r="BB1056" t="s">
        <v>53</v>
      </c>
      <c r="BE1056" t="s">
        <v>56</v>
      </c>
      <c r="BL1056" t="s">
        <v>63</v>
      </c>
    </row>
    <row r="1057" spans="1:69" x14ac:dyDescent="0.2">
      <c r="A1057" t="s">
        <v>4052</v>
      </c>
      <c r="B1057" t="s">
        <v>4089</v>
      </c>
      <c r="C1057" t="s">
        <v>4090</v>
      </c>
      <c r="D1057" t="s">
        <v>2001</v>
      </c>
      <c r="E1057" t="s">
        <v>4091</v>
      </c>
      <c r="F1057" t="s">
        <v>118</v>
      </c>
      <c r="G1057" t="str">
        <f>HYPERLINK("https://ok.ru/group/51085510115462/topic/153461283857798#MTYyNzA2ODQ0MTE3MDotMjU6MTYyNzA2ODQ0MTE3MDoxNTM0NjEyODM4NTc3OTg6MQ==")</f>
        <v>https://ok.ru/group/51085510115462/topic/153461283857798#MTYyNzA2ODQ0MTE3MDotMjU6MTYyNzA2ODQ0MTE3MDoxNTM0NjEyODM4NTc3OTg6MQ==</v>
      </c>
      <c r="H1057" t="s">
        <v>119</v>
      </c>
      <c r="I1057" t="s">
        <v>175</v>
      </c>
      <c r="J1057" t="str">
        <f>HYPERLINK("https://ok.ru/group/51085510115462")</f>
        <v>https://ok.ru/group/51085510115462</v>
      </c>
      <c r="K1057">
        <v>94768</v>
      </c>
      <c r="L1057" t="s">
        <v>340</v>
      </c>
      <c r="N1057" t="s">
        <v>347</v>
      </c>
      <c r="O1057" t="s">
        <v>175</v>
      </c>
      <c r="P1057" t="str">
        <f>HYPERLINK("https://ok.ru/group/51085510115462")</f>
        <v>https://ok.ru/group/51085510115462</v>
      </c>
      <c r="Q1057">
        <v>94768</v>
      </c>
      <c r="R1057" t="s">
        <v>124</v>
      </c>
      <c r="W1057">
        <v>0</v>
      </c>
      <c r="X1057">
        <v>0</v>
      </c>
      <c r="AM1057" t="s">
        <v>129</v>
      </c>
      <c r="AN1057" t="s">
        <v>130</v>
      </c>
      <c r="BI1057" t="s">
        <v>60</v>
      </c>
    </row>
    <row r="1058" spans="1:69" x14ac:dyDescent="0.2">
      <c r="A1058" t="s">
        <v>4052</v>
      </c>
      <c r="B1058" t="s">
        <v>4092</v>
      </c>
      <c r="C1058" t="s">
        <v>4093</v>
      </c>
      <c r="D1058" t="s">
        <v>4094</v>
      </c>
      <c r="E1058" t="s">
        <v>4095</v>
      </c>
      <c r="F1058" t="s">
        <v>118</v>
      </c>
      <c r="G1058" t="str">
        <f>HYPERLINK("https://www.youtube.com/watch?v=XCtxDrX5LP0&amp;lc=UgzK9GN4ga_o2E1HBZ14AaABAg.9Q9-_HrAKHs9Q96-Bxaqj-")</f>
        <v>https://www.youtube.com/watch?v=XCtxDrX5LP0&amp;lc=UgzK9GN4ga_o2E1HBZ14AaABAg.9Q9-_HrAKHs9Q96-Bxaqj-</v>
      </c>
      <c r="H1058" t="s">
        <v>119</v>
      </c>
      <c r="I1058" t="s">
        <v>4096</v>
      </c>
      <c r="J1058" t="str">
        <f>HYPERLINK("https://www.youtube.com/channel/UCS_hQzqKW9msSt87cX24c8Q")</f>
        <v>https://www.youtube.com/channel/UCS_hQzqKW9msSt87cX24c8Q</v>
      </c>
      <c r="K1058">
        <v>15600</v>
      </c>
      <c r="N1058" t="s">
        <v>248</v>
      </c>
      <c r="O1058" t="s">
        <v>4096</v>
      </c>
      <c r="P1058" t="str">
        <f>HYPERLINK("https://www.youtube.com/channel/UCS_hQzqKW9msSt87cX24c8Q")</f>
        <v>https://www.youtube.com/channel/UCS_hQzqKW9msSt87cX24c8Q</v>
      </c>
      <c r="Q1058">
        <v>15600</v>
      </c>
      <c r="R1058" t="s">
        <v>124</v>
      </c>
      <c r="S1058" t="s">
        <v>125</v>
      </c>
      <c r="W1058">
        <v>0</v>
      </c>
      <c r="X1058">
        <v>0</v>
      </c>
      <c r="AM1058" t="s">
        <v>129</v>
      </c>
      <c r="AN1058" t="s">
        <v>130</v>
      </c>
      <c r="AP1058" t="s">
        <v>41</v>
      </c>
      <c r="AZ1058" t="s">
        <v>51</v>
      </c>
      <c r="BB1058" t="s">
        <v>53</v>
      </c>
    </row>
    <row r="1059" spans="1:69" x14ac:dyDescent="0.2">
      <c r="A1059" t="s">
        <v>4052</v>
      </c>
      <c r="B1059" t="s">
        <v>3624</v>
      </c>
      <c r="C1059" t="s">
        <v>4097</v>
      </c>
      <c r="D1059" t="s">
        <v>129</v>
      </c>
      <c r="E1059" t="s">
        <v>4098</v>
      </c>
      <c r="F1059" t="s">
        <v>118</v>
      </c>
      <c r="G1059" t="str">
        <f>HYPERLINK("https://telegram.me/yap_chat/3265608")</f>
        <v>https://telegram.me/yap_chat/3265608</v>
      </c>
      <c r="H1059" t="s">
        <v>119</v>
      </c>
      <c r="I1059" t="s">
        <v>4099</v>
      </c>
      <c r="J1059" t="str">
        <f>HYPERLINK("https://telegram.me/1382471818")</f>
        <v>https://telegram.me/1382471818</v>
      </c>
      <c r="N1059" t="s">
        <v>143</v>
      </c>
      <c r="O1059" t="s">
        <v>4100</v>
      </c>
      <c r="P1059" t="str">
        <f>HYPERLINK("https://telegram.me/yap_chat")</f>
        <v>https://telegram.me/yap_chat</v>
      </c>
      <c r="Q1059">
        <v>3497</v>
      </c>
      <c r="R1059" t="s">
        <v>145</v>
      </c>
      <c r="AM1059" t="s">
        <v>129</v>
      </c>
      <c r="AN1059" t="s">
        <v>130</v>
      </c>
      <c r="AP1059" t="s">
        <v>41</v>
      </c>
      <c r="AU1059" t="s">
        <v>46</v>
      </c>
      <c r="AZ1059" t="s">
        <v>51</v>
      </c>
      <c r="BA1059" t="s">
        <v>52</v>
      </c>
    </row>
    <row r="1060" spans="1:69" x14ac:dyDescent="0.2">
      <c r="A1060" t="s">
        <v>4052</v>
      </c>
      <c r="B1060" t="s">
        <v>1886</v>
      </c>
      <c r="C1060" t="s">
        <v>4101</v>
      </c>
      <c r="D1060" t="s">
        <v>4102</v>
      </c>
      <c r="E1060" t="s">
        <v>4103</v>
      </c>
      <c r="F1060" t="s">
        <v>118</v>
      </c>
      <c r="G1060" t="str">
        <f>HYPERLINK("https://vk.com/wall-27863223_292070?reply=292099&amp;thread=292071")</f>
        <v>https://vk.com/wall-27863223_292070?reply=292099&amp;thread=292071</v>
      </c>
      <c r="H1060" t="s">
        <v>119</v>
      </c>
      <c r="I1060" t="s">
        <v>4104</v>
      </c>
      <c r="J1060" t="str">
        <f>HYPERLINK("http://vk.com/id235887979")</f>
        <v>http://vk.com/id235887979</v>
      </c>
      <c r="K1060">
        <v>8</v>
      </c>
      <c r="L1060" t="s">
        <v>121</v>
      </c>
      <c r="N1060" t="s">
        <v>122</v>
      </c>
      <c r="O1060" t="s">
        <v>175</v>
      </c>
      <c r="P1060" t="str">
        <f>HYPERLINK("http://vk.com/club27863223")</f>
        <v>http://vk.com/club27863223</v>
      </c>
      <c r="Q1060">
        <v>134698</v>
      </c>
      <c r="R1060" t="s">
        <v>124</v>
      </c>
      <c r="S1060" t="s">
        <v>125</v>
      </c>
      <c r="T1060" t="s">
        <v>314</v>
      </c>
      <c r="U1060" t="s">
        <v>315</v>
      </c>
      <c r="AM1060" t="s">
        <v>129</v>
      </c>
      <c r="AN1060" t="s">
        <v>130</v>
      </c>
      <c r="AP1060" t="s">
        <v>41</v>
      </c>
      <c r="AU1060" t="s">
        <v>46</v>
      </c>
      <c r="AZ1060" t="s">
        <v>51</v>
      </c>
      <c r="BA1060" t="s">
        <v>52</v>
      </c>
    </row>
    <row r="1061" spans="1:69" x14ac:dyDescent="0.2">
      <c r="A1061" t="s">
        <v>4052</v>
      </c>
      <c r="B1061" t="s">
        <v>4105</v>
      </c>
      <c r="C1061" t="s">
        <v>4106</v>
      </c>
      <c r="D1061" t="s">
        <v>4107</v>
      </c>
      <c r="E1061" t="s">
        <v>4108</v>
      </c>
      <c r="F1061" t="s">
        <v>180</v>
      </c>
      <c r="G1061" t="str">
        <f>HYPERLINK("https://www.ozon.ru/context/detail/id/236326803/#61607631")</f>
        <v>https://www.ozon.ru/context/detail/id/236326803/#61607631</v>
      </c>
      <c r="H1061" t="s">
        <v>119</v>
      </c>
      <c r="I1061" t="s">
        <v>4109</v>
      </c>
      <c r="J1061" t="str">
        <f>HYPERLINK("https://www.ozon.ru/context/client_opinion/ClientGuid/2615692a-6c59-493a-bb3d-b4651e559404/")</f>
        <v>https://www.ozon.ru/context/client_opinion/ClientGuid/2615692a-6c59-493a-bb3d-b4651e559404/</v>
      </c>
      <c r="L1061" t="s">
        <v>121</v>
      </c>
      <c r="N1061" t="s">
        <v>183</v>
      </c>
      <c r="O1061" t="s">
        <v>4107</v>
      </c>
      <c r="P1061" t="str">
        <f>HYPERLINK("https://www.ozon.ru/context/detail/id/236326803/")</f>
        <v>https://www.ozon.ru/context/detail/id/236326803/</v>
      </c>
      <c r="R1061" t="s">
        <v>184</v>
      </c>
      <c r="S1061" t="s">
        <v>125</v>
      </c>
      <c r="W1061">
        <v>0</v>
      </c>
      <c r="X1061">
        <v>0</v>
      </c>
      <c r="AH1061">
        <v>1</v>
      </c>
      <c r="AM1061" t="s">
        <v>129</v>
      </c>
      <c r="AN1061" t="s">
        <v>130</v>
      </c>
      <c r="AP1061" t="s">
        <v>41</v>
      </c>
      <c r="AT1061" t="s">
        <v>45</v>
      </c>
      <c r="AY1061" t="s">
        <v>50</v>
      </c>
      <c r="AZ1061" t="s">
        <v>51</v>
      </c>
      <c r="BA1061" t="s">
        <v>52</v>
      </c>
    </row>
    <row r="1062" spans="1:69" x14ac:dyDescent="0.2">
      <c r="A1062" t="s">
        <v>4052</v>
      </c>
      <c r="B1062" t="s">
        <v>4110</v>
      </c>
      <c r="C1062" t="s">
        <v>4111</v>
      </c>
      <c r="D1062" t="s">
        <v>2052</v>
      </c>
      <c r="E1062" t="s">
        <v>4112</v>
      </c>
      <c r="F1062" t="s">
        <v>180</v>
      </c>
      <c r="G1062" t="str">
        <f>HYPERLINK("https://www.wildberries.ru/catalog/17288086/detail.aspx?targetUrl=ES#Comments")</f>
        <v>https://www.wildberries.ru/catalog/17288086/detail.aspx?targetUrl=ES#Comments</v>
      </c>
      <c r="H1062" t="s">
        <v>181</v>
      </c>
      <c r="I1062" t="s">
        <v>1650</v>
      </c>
      <c r="J1062" t="str">
        <f>HYPERLINK("https://www.wildberries.ru/profile/w7TDssOkw7PCu8KwwrLCuMKywrLCsMKxwrc=")</f>
        <v>https://www.wildberries.ru/profile/w7TDssOkw7PCu8KwwrLCuMKywrLCsMKxwrc=</v>
      </c>
      <c r="L1062" t="s">
        <v>151</v>
      </c>
      <c r="N1062" t="s">
        <v>534</v>
      </c>
      <c r="O1062" t="s">
        <v>2052</v>
      </c>
      <c r="P1062" t="str">
        <f>HYPERLINK("https://www.wildberries.ru/catalog/12874318/detail.aspx")</f>
        <v>https://www.wildberries.ru/catalog/12874318/detail.aspx</v>
      </c>
      <c r="R1062" t="s">
        <v>184</v>
      </c>
      <c r="S1062" t="s">
        <v>125</v>
      </c>
      <c r="W1062">
        <v>0</v>
      </c>
      <c r="X1062">
        <v>0</v>
      </c>
      <c r="AH1062">
        <v>5</v>
      </c>
      <c r="AM1062" t="s">
        <v>129</v>
      </c>
      <c r="AN1062" t="s">
        <v>130</v>
      </c>
      <c r="AP1062" t="s">
        <v>41</v>
      </c>
      <c r="AZ1062" t="s">
        <v>51</v>
      </c>
      <c r="BA1062" t="s">
        <v>52</v>
      </c>
      <c r="BK1062" t="s">
        <v>62</v>
      </c>
      <c r="BL1062" t="s">
        <v>63</v>
      </c>
    </row>
    <row r="1063" spans="1:69" x14ac:dyDescent="0.2">
      <c r="A1063" t="s">
        <v>4052</v>
      </c>
      <c r="B1063" t="s">
        <v>4113</v>
      </c>
      <c r="C1063" t="s">
        <v>4114</v>
      </c>
      <c r="D1063" t="s">
        <v>4043</v>
      </c>
      <c r="E1063" t="s">
        <v>4115</v>
      </c>
      <c r="F1063" t="s">
        <v>118</v>
      </c>
      <c r="G1063" t="str">
        <f>HYPERLINK("https://vk.com/wall-63484299_694915?reply=694932")</f>
        <v>https://vk.com/wall-63484299_694915?reply=694932</v>
      </c>
      <c r="H1063" t="s">
        <v>119</v>
      </c>
      <c r="I1063" t="s">
        <v>4116</v>
      </c>
      <c r="J1063" t="str">
        <f>HYPERLINK("http://vk.com/id66073195")</f>
        <v>http://vk.com/id66073195</v>
      </c>
      <c r="K1063">
        <v>55</v>
      </c>
      <c r="L1063" t="s">
        <v>121</v>
      </c>
      <c r="M1063">
        <v>47</v>
      </c>
      <c r="N1063" t="s">
        <v>122</v>
      </c>
      <c r="O1063" t="s">
        <v>4046</v>
      </c>
      <c r="P1063" t="str">
        <f>HYPERLINK("http://vk.com/club63484299")</f>
        <v>http://vk.com/club63484299</v>
      </c>
      <c r="Q1063">
        <v>20474</v>
      </c>
      <c r="R1063" t="s">
        <v>124</v>
      </c>
      <c r="S1063" t="s">
        <v>125</v>
      </c>
      <c r="T1063" t="s">
        <v>767</v>
      </c>
      <c r="U1063" t="s">
        <v>4117</v>
      </c>
      <c r="AM1063" t="s">
        <v>129</v>
      </c>
      <c r="AN1063" t="s">
        <v>130</v>
      </c>
      <c r="AP1063" t="s">
        <v>41</v>
      </c>
      <c r="AW1063" t="s">
        <v>48</v>
      </c>
      <c r="AZ1063" t="s">
        <v>51</v>
      </c>
      <c r="BA1063" t="s">
        <v>52</v>
      </c>
      <c r="BM1063" t="s">
        <v>64</v>
      </c>
    </row>
    <row r="1064" spans="1:69" x14ac:dyDescent="0.2">
      <c r="A1064" t="s">
        <v>4052</v>
      </c>
      <c r="B1064" t="s">
        <v>815</v>
      </c>
      <c r="C1064" t="s">
        <v>4076</v>
      </c>
      <c r="D1064" t="s">
        <v>1697</v>
      </c>
      <c r="E1064" t="s">
        <v>4118</v>
      </c>
      <c r="F1064" t="s">
        <v>180</v>
      </c>
      <c r="G1064" t="str">
        <f>HYPERLINK("https://apps.apple.com/ru/app/мой-триколор/id1204321194#7609917381")</f>
        <v>https://apps.apple.com/ru/app/мой-триколор/id1204321194#7609917381</v>
      </c>
      <c r="H1064" t="s">
        <v>181</v>
      </c>
      <c r="I1064" t="s">
        <v>4119</v>
      </c>
      <c r="J1064" t="str">
        <f>HYPERLINK("https://itunes.apple.com/reviews?userProfileId=1221459693")</f>
        <v>https://itunes.apple.com/reviews?userProfileId=1221459693</v>
      </c>
      <c r="N1064" t="s">
        <v>1411</v>
      </c>
      <c r="O1064" t="s">
        <v>1697</v>
      </c>
      <c r="P1064" t="str">
        <f>HYPERLINK("https://apps.apple.com/ru/app/мой-триколор/id1204321194")</f>
        <v>https://apps.apple.com/ru/app/мой-триколор/id1204321194</v>
      </c>
      <c r="R1064" t="s">
        <v>184</v>
      </c>
      <c r="S1064" t="s">
        <v>125</v>
      </c>
      <c r="AH1064">
        <v>5</v>
      </c>
      <c r="AM1064" t="s">
        <v>129</v>
      </c>
      <c r="AN1064" t="s">
        <v>130</v>
      </c>
      <c r="AP1064" t="s">
        <v>41</v>
      </c>
      <c r="AZ1064" t="s">
        <v>51</v>
      </c>
      <c r="BA1064" t="s">
        <v>52</v>
      </c>
      <c r="BP1064" t="s">
        <v>67</v>
      </c>
      <c r="BQ1064" t="s">
        <v>68</v>
      </c>
    </row>
    <row r="1065" spans="1:69" x14ac:dyDescent="0.2">
      <c r="A1065" t="s">
        <v>4052</v>
      </c>
      <c r="B1065" t="s">
        <v>4120</v>
      </c>
      <c r="C1065" t="s">
        <v>4121</v>
      </c>
      <c r="D1065" t="s">
        <v>1336</v>
      </c>
      <c r="E1065" t="s">
        <v>4122</v>
      </c>
      <c r="F1065" t="s">
        <v>118</v>
      </c>
      <c r="G1065" t="str">
        <f>HYPERLINK("https://www.youtube.com/watch?v=XSvUHFcHCNU&amp;lc=Ugzyt7f1UnndF4dq9rx4AaABAg.9Q8vhxRAsec9Q9-cjB9j8x")</f>
        <v>https://www.youtube.com/watch?v=XSvUHFcHCNU&amp;lc=Ugzyt7f1UnndF4dq9rx4AaABAg.9Q8vhxRAsec9Q9-cjB9j8x</v>
      </c>
      <c r="H1065" t="s">
        <v>119</v>
      </c>
      <c r="I1065" t="s">
        <v>1338</v>
      </c>
      <c r="J1065" t="str">
        <f>HYPERLINK("https://www.youtube.com/channel/UCbGvxMcJgZWpeT0ymfG7-RQ")</f>
        <v>https://www.youtube.com/channel/UCbGvxMcJgZWpeT0ymfG7-RQ</v>
      </c>
      <c r="K1065">
        <v>818</v>
      </c>
      <c r="N1065" t="s">
        <v>248</v>
      </c>
      <c r="O1065" t="s">
        <v>1338</v>
      </c>
      <c r="P1065" t="str">
        <f>HYPERLINK("https://www.youtube.com/channel/UCbGvxMcJgZWpeT0ymfG7-RQ")</f>
        <v>https://www.youtube.com/channel/UCbGvxMcJgZWpeT0ymfG7-RQ</v>
      </c>
      <c r="Q1065">
        <v>818</v>
      </c>
      <c r="R1065" t="s">
        <v>124</v>
      </c>
      <c r="W1065">
        <v>0</v>
      </c>
      <c r="X1065">
        <v>0</v>
      </c>
      <c r="AM1065" t="s">
        <v>129</v>
      </c>
      <c r="AN1065" t="s">
        <v>130</v>
      </c>
      <c r="AP1065" t="s">
        <v>41</v>
      </c>
      <c r="AZ1065" t="s">
        <v>51</v>
      </c>
      <c r="BA1065" t="s">
        <v>52</v>
      </c>
      <c r="BL1065" t="s">
        <v>63</v>
      </c>
    </row>
    <row r="1066" spans="1:69" x14ac:dyDescent="0.2">
      <c r="A1066" t="s">
        <v>4052</v>
      </c>
      <c r="B1066" t="s">
        <v>4123</v>
      </c>
      <c r="C1066" t="s">
        <v>4093</v>
      </c>
      <c r="D1066" t="s">
        <v>4094</v>
      </c>
      <c r="E1066" t="s">
        <v>4124</v>
      </c>
      <c r="F1066" t="s">
        <v>118</v>
      </c>
      <c r="G1066" t="str">
        <f>HYPERLINK("https://www.youtube.com/watch?v=XCtxDrX5LP0&amp;lc=UgzK9GN4ga_o2E1HBZ14AaABAg")</f>
        <v>https://www.youtube.com/watch?v=XCtxDrX5LP0&amp;lc=UgzK9GN4ga_o2E1HBZ14AaABAg</v>
      </c>
      <c r="H1066" t="s">
        <v>119</v>
      </c>
      <c r="I1066" t="s">
        <v>4125</v>
      </c>
      <c r="J1066" t="str">
        <f>HYPERLINK("https://www.youtube.com/channel/UCGDEjtK-cW-6cjERUklqjbg")</f>
        <v>https://www.youtube.com/channel/UCGDEjtK-cW-6cjERUklqjbg</v>
      </c>
      <c r="K1066">
        <v>0</v>
      </c>
      <c r="N1066" t="s">
        <v>248</v>
      </c>
      <c r="O1066" t="s">
        <v>4096</v>
      </c>
      <c r="P1066" t="str">
        <f>HYPERLINK("https://www.youtube.com/channel/UCS_hQzqKW9msSt87cX24c8Q")</f>
        <v>https://www.youtube.com/channel/UCS_hQzqKW9msSt87cX24c8Q</v>
      </c>
      <c r="Q1066">
        <v>15600</v>
      </c>
      <c r="R1066" t="s">
        <v>124</v>
      </c>
      <c r="S1066" t="s">
        <v>125</v>
      </c>
      <c r="W1066">
        <v>0</v>
      </c>
      <c r="X1066">
        <v>0</v>
      </c>
      <c r="AE1066">
        <v>1</v>
      </c>
      <c r="AM1066" t="s">
        <v>129</v>
      </c>
      <c r="AN1066" t="s">
        <v>130</v>
      </c>
      <c r="AP1066" t="s">
        <v>41</v>
      </c>
      <c r="AT1066" t="s">
        <v>45</v>
      </c>
      <c r="AZ1066" t="s">
        <v>51</v>
      </c>
      <c r="BB1066" t="s">
        <v>53</v>
      </c>
    </row>
    <row r="1067" spans="1:69" x14ac:dyDescent="0.2">
      <c r="A1067" t="s">
        <v>4052</v>
      </c>
      <c r="B1067" t="s">
        <v>4126</v>
      </c>
      <c r="C1067" t="s">
        <v>4127</v>
      </c>
      <c r="D1067" t="s">
        <v>129</v>
      </c>
      <c r="E1067" t="s">
        <v>4128</v>
      </c>
      <c r="F1067" t="s">
        <v>180</v>
      </c>
      <c r="G1067" t="str">
        <f>HYPERLINK("https://twitter.com/1287809637216137216/status/1418633278656028673")</f>
        <v>https://twitter.com/1287809637216137216/status/1418633278656028673</v>
      </c>
      <c r="H1067" t="s">
        <v>119</v>
      </c>
      <c r="I1067" t="s">
        <v>4129</v>
      </c>
      <c r="J1067" t="str">
        <f>HYPERLINK("http://twitter.com/basiclevel11")</f>
        <v>http://twitter.com/basiclevel11</v>
      </c>
      <c r="K1067">
        <v>7</v>
      </c>
      <c r="L1067" t="s">
        <v>151</v>
      </c>
      <c r="N1067" t="s">
        <v>350</v>
      </c>
      <c r="R1067" t="s">
        <v>124</v>
      </c>
      <c r="S1067" t="s">
        <v>125</v>
      </c>
      <c r="T1067" t="s">
        <v>4130</v>
      </c>
      <c r="U1067" t="s">
        <v>4131</v>
      </c>
      <c r="W1067">
        <v>2</v>
      </c>
      <c r="X1067">
        <v>2</v>
      </c>
      <c r="AE1067">
        <v>0</v>
      </c>
      <c r="AF1067">
        <v>0</v>
      </c>
      <c r="AM1067" t="s">
        <v>129</v>
      </c>
      <c r="AN1067" t="s">
        <v>130</v>
      </c>
      <c r="AP1067" t="s">
        <v>41</v>
      </c>
      <c r="AU1067" t="s">
        <v>46</v>
      </c>
      <c r="AZ1067" t="s">
        <v>51</v>
      </c>
      <c r="BA1067" t="s">
        <v>52</v>
      </c>
    </row>
    <row r="1068" spans="1:69" x14ac:dyDescent="0.2">
      <c r="A1068" t="s">
        <v>4052</v>
      </c>
      <c r="B1068" t="s">
        <v>224</v>
      </c>
      <c r="C1068" t="s">
        <v>944</v>
      </c>
      <c r="D1068" t="s">
        <v>4132</v>
      </c>
      <c r="E1068" t="s">
        <v>4133</v>
      </c>
      <c r="F1068" t="s">
        <v>180</v>
      </c>
      <c r="G1068" t="str">
        <f>HYPERLINK("https://www.ozon.ru/context/detail/id/247515750/#61601052")</f>
        <v>https://www.ozon.ru/context/detail/id/247515750/#61601052</v>
      </c>
      <c r="H1068" t="s">
        <v>119</v>
      </c>
      <c r="I1068" t="s">
        <v>4134</v>
      </c>
      <c r="J1068" t="str">
        <f>HYPERLINK("https://www.ozon.ru/context/client_opinion/ClientGuid/e6241df2-50e2-49d7-bc0e-0317ad9f0174/")</f>
        <v>https://www.ozon.ru/context/client_opinion/ClientGuid/e6241df2-50e2-49d7-bc0e-0317ad9f0174/</v>
      </c>
      <c r="L1068" t="s">
        <v>151</v>
      </c>
      <c r="N1068" t="s">
        <v>183</v>
      </c>
      <c r="O1068" t="s">
        <v>4132</v>
      </c>
      <c r="P1068" t="str">
        <f>HYPERLINK("https://www.ozon.ru/context/detail/id/247515750/")</f>
        <v>https://www.ozon.ru/context/detail/id/247515750/</v>
      </c>
      <c r="R1068" t="s">
        <v>184</v>
      </c>
      <c r="S1068" t="s">
        <v>125</v>
      </c>
      <c r="W1068">
        <v>0</v>
      </c>
      <c r="X1068">
        <v>0</v>
      </c>
      <c r="AH1068">
        <v>1</v>
      </c>
      <c r="AM1068" t="s">
        <v>129</v>
      </c>
      <c r="AN1068" t="s">
        <v>130</v>
      </c>
      <c r="AP1068" t="s">
        <v>41</v>
      </c>
      <c r="AU1068" t="s">
        <v>46</v>
      </c>
      <c r="AY1068" t="s">
        <v>50</v>
      </c>
      <c r="AZ1068" t="s">
        <v>51</v>
      </c>
      <c r="BA1068" t="s">
        <v>52</v>
      </c>
      <c r="BL1068" t="s">
        <v>63</v>
      </c>
    </row>
    <row r="1069" spans="1:69" x14ac:dyDescent="0.2">
      <c r="A1069" t="s">
        <v>4052</v>
      </c>
      <c r="B1069" t="s">
        <v>4135</v>
      </c>
      <c r="C1069" t="s">
        <v>4136</v>
      </c>
      <c r="D1069" t="s">
        <v>4137</v>
      </c>
      <c r="E1069" t="s">
        <v>4138</v>
      </c>
      <c r="F1069" t="s">
        <v>118</v>
      </c>
      <c r="G1069" t="str">
        <f>HYPERLINK("https://vk.com/wall-22935147_368614?reply=368643")</f>
        <v>https://vk.com/wall-22935147_368614?reply=368643</v>
      </c>
      <c r="H1069" t="s">
        <v>181</v>
      </c>
      <c r="I1069" t="s">
        <v>4139</v>
      </c>
      <c r="J1069" t="str">
        <f>HYPERLINK("http://vk.com/id345866772")</f>
        <v>http://vk.com/id345866772</v>
      </c>
      <c r="K1069">
        <v>142</v>
      </c>
      <c r="L1069" t="s">
        <v>121</v>
      </c>
      <c r="N1069" t="s">
        <v>122</v>
      </c>
      <c r="O1069" t="s">
        <v>1093</v>
      </c>
      <c r="P1069" t="str">
        <f>HYPERLINK("http://vk.com/club22935147")</f>
        <v>http://vk.com/club22935147</v>
      </c>
      <c r="Q1069">
        <v>8943</v>
      </c>
      <c r="R1069" t="s">
        <v>124</v>
      </c>
      <c r="S1069" t="s">
        <v>125</v>
      </c>
      <c r="T1069" t="s">
        <v>314</v>
      </c>
      <c r="U1069" t="s">
        <v>315</v>
      </c>
      <c r="W1069">
        <v>0</v>
      </c>
      <c r="X1069">
        <v>0</v>
      </c>
      <c r="AM1069" t="s">
        <v>129</v>
      </c>
      <c r="AN1069" t="s">
        <v>130</v>
      </c>
      <c r="AP1069" t="s">
        <v>41</v>
      </c>
      <c r="AZ1069" t="s">
        <v>51</v>
      </c>
      <c r="BA1069" t="s">
        <v>52</v>
      </c>
      <c r="BL1069" t="s">
        <v>63</v>
      </c>
    </row>
    <row r="1070" spans="1:69" x14ac:dyDescent="0.2">
      <c r="A1070" t="s">
        <v>4052</v>
      </c>
      <c r="B1070" t="s">
        <v>4135</v>
      </c>
      <c r="C1070" t="s">
        <v>4136</v>
      </c>
      <c r="D1070" t="s">
        <v>129</v>
      </c>
      <c r="E1070" t="s">
        <v>4140</v>
      </c>
      <c r="F1070" t="s">
        <v>180</v>
      </c>
      <c r="G1070" t="str">
        <f>HYPERLINK("https://twitter.com/1287809637216137216/status/1418632522678816768")</f>
        <v>https://twitter.com/1287809637216137216/status/1418632522678816768</v>
      </c>
      <c r="H1070" t="s">
        <v>119</v>
      </c>
      <c r="I1070" t="s">
        <v>4129</v>
      </c>
      <c r="J1070" t="str">
        <f>HYPERLINK("http://twitter.com/basiclevel11")</f>
        <v>http://twitter.com/basiclevel11</v>
      </c>
      <c r="K1070">
        <v>7</v>
      </c>
      <c r="L1070" t="s">
        <v>151</v>
      </c>
      <c r="N1070" t="s">
        <v>350</v>
      </c>
      <c r="R1070" t="s">
        <v>124</v>
      </c>
      <c r="S1070" t="s">
        <v>125</v>
      </c>
      <c r="T1070" t="s">
        <v>4130</v>
      </c>
      <c r="U1070" t="s">
        <v>4131</v>
      </c>
      <c r="W1070">
        <v>0</v>
      </c>
      <c r="X1070">
        <v>0</v>
      </c>
      <c r="AE1070">
        <v>0</v>
      </c>
      <c r="AF1070">
        <v>0</v>
      </c>
      <c r="AM1070" t="s">
        <v>129</v>
      </c>
      <c r="AN1070" t="s">
        <v>130</v>
      </c>
      <c r="AP1070" t="s">
        <v>41</v>
      </c>
      <c r="AU1070" t="s">
        <v>46</v>
      </c>
      <c r="AZ1070" t="s">
        <v>51</v>
      </c>
      <c r="BA1070" t="s">
        <v>52</v>
      </c>
    </row>
    <row r="1071" spans="1:69" x14ac:dyDescent="0.2">
      <c r="A1071" t="s">
        <v>4052</v>
      </c>
      <c r="B1071" t="s">
        <v>4141</v>
      </c>
      <c r="C1071" t="s">
        <v>781</v>
      </c>
      <c r="D1071" t="s">
        <v>3482</v>
      </c>
      <c r="E1071" t="s">
        <v>4142</v>
      </c>
      <c r="F1071" t="s">
        <v>180</v>
      </c>
      <c r="G1071" t="str">
        <f>HYPERLINK("https://www.ozon.ru/context/detail/id/202443230/#61600760")</f>
        <v>https://www.ozon.ru/context/detail/id/202443230/#61600760</v>
      </c>
      <c r="H1071" t="s">
        <v>181</v>
      </c>
      <c r="I1071" t="s">
        <v>4143</v>
      </c>
      <c r="J1071" t="str">
        <f>HYPERLINK("https://www.ozon.ru/context/client_opinion/ClientGuid/4644464e-aca5-4dc2-aaaa-4b42e60f6234/")</f>
        <v>https://www.ozon.ru/context/client_opinion/ClientGuid/4644464e-aca5-4dc2-aaaa-4b42e60f6234/</v>
      </c>
      <c r="L1071" t="s">
        <v>151</v>
      </c>
      <c r="N1071" t="s">
        <v>183</v>
      </c>
      <c r="O1071" t="s">
        <v>3482</v>
      </c>
      <c r="P1071" t="str">
        <f>HYPERLINK("https://www.ozon.ru/context/detail/id/202443230/")</f>
        <v>https://www.ozon.ru/context/detail/id/202443230/</v>
      </c>
      <c r="R1071" t="s">
        <v>184</v>
      </c>
      <c r="S1071" t="s">
        <v>125</v>
      </c>
      <c r="W1071">
        <v>0</v>
      </c>
      <c r="X1071">
        <v>0</v>
      </c>
      <c r="AH1071">
        <v>5</v>
      </c>
      <c r="AJ1071" t="s">
        <v>129</v>
      </c>
      <c r="AK1071" t="s">
        <v>129</v>
      </c>
      <c r="AL1071" t="str">
        <f>HYPERLINK("https://cdn1.ozone.ru/s3/rp-photo-1/aa417913-c2f8-43e4-98e8-79365f60c3f9.jpeg")</f>
        <v>https://cdn1.ozone.ru/s3/rp-photo-1/aa417913-c2f8-43e4-98e8-79365f60c3f9.jpeg</v>
      </c>
      <c r="AM1071" t="s">
        <v>129</v>
      </c>
      <c r="AN1071" t="s">
        <v>130</v>
      </c>
      <c r="AP1071" t="s">
        <v>41</v>
      </c>
      <c r="AZ1071" t="s">
        <v>51</v>
      </c>
      <c r="BA1071" t="s">
        <v>52</v>
      </c>
      <c r="BK1071" t="s">
        <v>62</v>
      </c>
      <c r="BL1071" t="s">
        <v>63</v>
      </c>
    </row>
    <row r="1072" spans="1:69" x14ac:dyDescent="0.2">
      <c r="A1072" t="s">
        <v>4052</v>
      </c>
      <c r="B1072" t="s">
        <v>4144</v>
      </c>
      <c r="C1072" t="s">
        <v>4037</v>
      </c>
      <c r="D1072" t="s">
        <v>531</v>
      </c>
      <c r="E1072" t="s">
        <v>4145</v>
      </c>
      <c r="F1072" t="s">
        <v>180</v>
      </c>
      <c r="G1072" t="str">
        <f>HYPERLINK("https://www.wildberries.ru/catalog/13884511/detail.aspx?targetUrl=ES#Comments")</f>
        <v>https://www.wildberries.ru/catalog/13884511/detail.aspx?targetUrl=ES#Comments</v>
      </c>
      <c r="H1072" t="s">
        <v>181</v>
      </c>
      <c r="I1072" t="s">
        <v>1781</v>
      </c>
      <c r="J1072" t="str">
        <f>HYPERLINK("https://www.wildberries.ru/profile/w7TDssOkw7PCu8KwwrXCscKzwrDCscKwwrQ=")</f>
        <v>https://www.wildberries.ru/profile/w7TDssOkw7PCu8KwwrXCscKzwrDCscKwwrQ=</v>
      </c>
      <c r="L1072" t="s">
        <v>151</v>
      </c>
      <c r="N1072" t="s">
        <v>534</v>
      </c>
      <c r="O1072" t="s">
        <v>531</v>
      </c>
      <c r="P1072" t="str">
        <f>HYPERLINK("https://www.wildberries.ru/catalog/10388939/detail.aspx")</f>
        <v>https://www.wildberries.ru/catalog/10388939/detail.aspx</v>
      </c>
      <c r="R1072" t="s">
        <v>184</v>
      </c>
      <c r="S1072" t="s">
        <v>125</v>
      </c>
      <c r="W1072">
        <v>0</v>
      </c>
      <c r="X1072">
        <v>0</v>
      </c>
      <c r="AH1072">
        <v>5</v>
      </c>
      <c r="AM1072" t="s">
        <v>129</v>
      </c>
      <c r="AN1072" t="s">
        <v>130</v>
      </c>
      <c r="AP1072" t="s">
        <v>41</v>
      </c>
      <c r="AZ1072" t="s">
        <v>51</v>
      </c>
      <c r="BA1072" t="s">
        <v>52</v>
      </c>
      <c r="BK1072" t="s">
        <v>62</v>
      </c>
    </row>
    <row r="1073" spans="1:69" x14ac:dyDescent="0.2">
      <c r="A1073" t="s">
        <v>4052</v>
      </c>
      <c r="B1073" t="s">
        <v>1348</v>
      </c>
      <c r="C1073" t="s">
        <v>4146</v>
      </c>
      <c r="D1073" t="s">
        <v>4147</v>
      </c>
      <c r="E1073" t="s">
        <v>4148</v>
      </c>
      <c r="F1073" t="s">
        <v>180</v>
      </c>
      <c r="G1073" t="str">
        <f>HYPERLINK("https://www.wildberries.ru/catalog/15145842/detail.aspx?targetUrl=ES#Comments")</f>
        <v>https://www.wildberries.ru/catalog/15145842/detail.aspx?targetUrl=ES#Comments</v>
      </c>
      <c r="H1073" t="s">
        <v>119</v>
      </c>
      <c r="I1073" t="s">
        <v>4149</v>
      </c>
      <c r="J1073" t="str">
        <f>HYPERLINK("https://www.wildberries.ru/profile/w7TDssOkw7PCu8KzwrfCtcK4wrnCs8K4wrI=")</f>
        <v>https://www.wildberries.ru/profile/w7TDssOkw7PCu8KzwrfCtcK4wrnCs8K4wrI=</v>
      </c>
      <c r="L1073" t="s">
        <v>121</v>
      </c>
      <c r="N1073" t="s">
        <v>534</v>
      </c>
      <c r="O1073" t="s">
        <v>4147</v>
      </c>
      <c r="P1073" t="str">
        <f>HYPERLINK("https://www.wildberries.ru/catalog/11323741/detail.aspx")</f>
        <v>https://www.wildberries.ru/catalog/11323741/detail.aspx</v>
      </c>
      <c r="R1073" t="s">
        <v>184</v>
      </c>
      <c r="S1073" t="s">
        <v>125</v>
      </c>
      <c r="W1073">
        <v>0</v>
      </c>
      <c r="X1073">
        <v>0</v>
      </c>
      <c r="AH1073">
        <v>4</v>
      </c>
      <c r="AJ1073" t="s">
        <v>129</v>
      </c>
      <c r="AK1073" t="s">
        <v>129</v>
      </c>
      <c r="AL1073" t="str">
        <f>HYPERLINK("http://feedbackphotos.wbstatic.net/feedbacks/1132/11323741/ff311ad3-81a2-450a-ba62-966eb1745327_fs.jpg")</f>
        <v>http://feedbackphotos.wbstatic.net/feedbacks/1132/11323741/ff311ad3-81a2-450a-ba62-966eb1745327_fs.jpg</v>
      </c>
      <c r="AM1073" t="s">
        <v>129</v>
      </c>
      <c r="AN1073" t="s">
        <v>130</v>
      </c>
      <c r="AP1073" t="s">
        <v>41</v>
      </c>
      <c r="AT1073" t="s">
        <v>45</v>
      </c>
      <c r="AZ1073" t="s">
        <v>51</v>
      </c>
      <c r="BA1073" t="s">
        <v>52</v>
      </c>
    </row>
    <row r="1074" spans="1:69" x14ac:dyDescent="0.2">
      <c r="A1074" t="s">
        <v>4052</v>
      </c>
      <c r="B1074" t="s">
        <v>819</v>
      </c>
      <c r="C1074" t="s">
        <v>4150</v>
      </c>
      <c r="D1074" t="s">
        <v>1926</v>
      </c>
      <c r="E1074" t="s">
        <v>4151</v>
      </c>
      <c r="F1074" t="s">
        <v>118</v>
      </c>
      <c r="G1074" t="str">
        <f>HYPERLINK("https://vk.com/wall-64239643_216062?reply=216166")</f>
        <v>https://vk.com/wall-64239643_216062?reply=216166</v>
      </c>
      <c r="H1074" t="s">
        <v>119</v>
      </c>
      <c r="I1074" t="s">
        <v>4152</v>
      </c>
      <c r="J1074" t="str">
        <f>HYPERLINK("http://vk.com/id70856252")</f>
        <v>http://vk.com/id70856252</v>
      </c>
      <c r="K1074">
        <v>650</v>
      </c>
      <c r="L1074" t="s">
        <v>151</v>
      </c>
      <c r="N1074" t="s">
        <v>122</v>
      </c>
      <c r="O1074" t="s">
        <v>1929</v>
      </c>
      <c r="P1074" t="str">
        <f>HYPERLINK("http://vk.com/club64239643")</f>
        <v>http://vk.com/club64239643</v>
      </c>
      <c r="Q1074">
        <v>10621</v>
      </c>
      <c r="R1074" t="s">
        <v>124</v>
      </c>
      <c r="S1074" t="s">
        <v>125</v>
      </c>
      <c r="T1074" t="s">
        <v>153</v>
      </c>
      <c r="U1074" t="s">
        <v>4153</v>
      </c>
      <c r="AM1074" t="s">
        <v>129</v>
      </c>
      <c r="AN1074" t="s">
        <v>130</v>
      </c>
      <c r="AP1074" t="s">
        <v>41</v>
      </c>
      <c r="AU1074" t="s">
        <v>46</v>
      </c>
      <c r="AZ1074" t="s">
        <v>51</v>
      </c>
      <c r="BA1074" t="s">
        <v>52</v>
      </c>
    </row>
    <row r="1075" spans="1:69" x14ac:dyDescent="0.2">
      <c r="A1075" t="s">
        <v>4052</v>
      </c>
      <c r="B1075" t="s">
        <v>819</v>
      </c>
      <c r="C1075" t="s">
        <v>4154</v>
      </c>
      <c r="D1075" t="s">
        <v>204</v>
      </c>
      <c r="E1075" t="s">
        <v>4155</v>
      </c>
      <c r="F1075" t="s">
        <v>180</v>
      </c>
      <c r="G1075" t="str">
        <f>HYPERLINK("https://play.google.com/store/apps/details?id=ru.iflex.android.a3colortv&amp;reviewId=gp:AOqpTOGtdbMXTTZTYOd4PeHOc7PJuA_gZeQ9Us0xybS5UgI_qB1lzQfwnQGHZylhfE4Fm08QvPmGfPR6ft2J3Q")</f>
        <v>https://play.google.com/store/apps/details?id=ru.iflex.android.a3colortv&amp;reviewId=gp:AOqpTOGtdbMXTTZTYOd4PeHOc7PJuA_gZeQ9Us0xybS5UgI_qB1lzQfwnQGHZylhfE4Fm08QvPmGfPR6ft2J3Q</v>
      </c>
      <c r="H1075" t="s">
        <v>181</v>
      </c>
      <c r="I1075" t="s">
        <v>4156</v>
      </c>
      <c r="J1075" t="str">
        <f>HYPERLINK("https://plus.google.com/107510029514356375117")</f>
        <v>https://plus.google.com/107510029514356375117</v>
      </c>
      <c r="L1075" t="s">
        <v>121</v>
      </c>
      <c r="N1075" t="s">
        <v>207</v>
      </c>
      <c r="O1075" t="s">
        <v>204</v>
      </c>
      <c r="P1075" t="str">
        <f>HYPERLINK("https://play.google.com/store/apps/details?id=ru.iflex.android.a3colortv&amp;hl=ru")</f>
        <v>https://play.google.com/store/apps/details?id=ru.iflex.android.a3colortv&amp;hl=ru</v>
      </c>
      <c r="R1075" t="s">
        <v>184</v>
      </c>
      <c r="S1075" t="s">
        <v>125</v>
      </c>
      <c r="W1075">
        <v>0</v>
      </c>
      <c r="X1075">
        <v>0</v>
      </c>
      <c r="AH1075">
        <v>5</v>
      </c>
      <c r="AM1075" t="s">
        <v>129</v>
      </c>
      <c r="AN1075" t="s">
        <v>130</v>
      </c>
      <c r="AP1075" t="s">
        <v>41</v>
      </c>
      <c r="AZ1075" t="s">
        <v>51</v>
      </c>
      <c r="BA1075" t="s">
        <v>52</v>
      </c>
      <c r="BQ1075" t="s">
        <v>68</v>
      </c>
    </row>
    <row r="1076" spans="1:69" x14ac:dyDescent="0.2">
      <c r="A1076" t="s">
        <v>4052</v>
      </c>
      <c r="B1076" t="s">
        <v>4157</v>
      </c>
      <c r="C1076" t="s">
        <v>4158</v>
      </c>
      <c r="D1076" t="s">
        <v>4159</v>
      </c>
      <c r="E1076" t="s">
        <v>4160</v>
      </c>
      <c r="F1076" t="s">
        <v>118</v>
      </c>
      <c r="G1076" t="str">
        <f>HYPERLINK("https://vk.com/wall-157334932_12930?reply=12934")</f>
        <v>https://vk.com/wall-157334932_12930?reply=12934</v>
      </c>
      <c r="H1076" t="s">
        <v>119</v>
      </c>
      <c r="I1076" t="s">
        <v>4161</v>
      </c>
      <c r="J1076" t="str">
        <f>HYPERLINK("http://vk.com/id163124366")</f>
        <v>http://vk.com/id163124366</v>
      </c>
      <c r="K1076">
        <v>3665</v>
      </c>
      <c r="L1076" t="s">
        <v>151</v>
      </c>
      <c r="N1076" t="s">
        <v>122</v>
      </c>
      <c r="O1076" t="s">
        <v>4162</v>
      </c>
      <c r="P1076" t="str">
        <f>HYPERLINK("http://vk.com/club157334932")</f>
        <v>http://vk.com/club157334932</v>
      </c>
      <c r="Q1076">
        <v>2198</v>
      </c>
      <c r="R1076" t="s">
        <v>124</v>
      </c>
      <c r="S1076" t="s">
        <v>125</v>
      </c>
      <c r="AM1076" t="s">
        <v>129</v>
      </c>
      <c r="AN1076" t="s">
        <v>130</v>
      </c>
      <c r="AP1076" t="s">
        <v>41</v>
      </c>
      <c r="AZ1076" t="s">
        <v>51</v>
      </c>
      <c r="BA1076" t="s">
        <v>52</v>
      </c>
    </row>
    <row r="1077" spans="1:69" x14ac:dyDescent="0.2">
      <c r="A1077" t="s">
        <v>4052</v>
      </c>
      <c r="B1077" t="s">
        <v>243</v>
      </c>
      <c r="C1077" t="s">
        <v>4163</v>
      </c>
      <c r="D1077" t="s">
        <v>3941</v>
      </c>
      <c r="E1077" t="s">
        <v>4164</v>
      </c>
      <c r="F1077" t="s">
        <v>118</v>
      </c>
      <c r="G1077" t="str">
        <f>HYPERLINK("https://vk.com/wall-27863223_292082?reply=292097&amp;thread=292090")</f>
        <v>https://vk.com/wall-27863223_292082?reply=292097&amp;thread=292090</v>
      </c>
      <c r="H1077" t="s">
        <v>228</v>
      </c>
      <c r="I1077" t="s">
        <v>4165</v>
      </c>
      <c r="J1077" t="str">
        <f>HYPERLINK("http://vk.com/id259028879")</f>
        <v>http://vk.com/id259028879</v>
      </c>
      <c r="K1077">
        <v>437</v>
      </c>
      <c r="L1077" t="s">
        <v>121</v>
      </c>
      <c r="N1077" t="s">
        <v>122</v>
      </c>
      <c r="O1077" t="s">
        <v>175</v>
      </c>
      <c r="P1077" t="str">
        <f>HYPERLINK("http://vk.com/club27863223")</f>
        <v>http://vk.com/club27863223</v>
      </c>
      <c r="Q1077">
        <v>134698</v>
      </c>
      <c r="R1077" t="s">
        <v>124</v>
      </c>
      <c r="S1077" t="s">
        <v>125</v>
      </c>
      <c r="T1077" t="s">
        <v>372</v>
      </c>
      <c r="U1077" t="s">
        <v>4166</v>
      </c>
      <c r="AM1077" t="s">
        <v>129</v>
      </c>
      <c r="AN1077" t="s">
        <v>130</v>
      </c>
      <c r="AP1077" t="s">
        <v>41</v>
      </c>
      <c r="AZ1077" t="s">
        <v>51</v>
      </c>
      <c r="BA1077" t="s">
        <v>52</v>
      </c>
      <c r="BQ1077" t="s">
        <v>68</v>
      </c>
    </row>
    <row r="1078" spans="1:69" x14ac:dyDescent="0.2">
      <c r="A1078" t="s">
        <v>4052</v>
      </c>
      <c r="B1078" t="s">
        <v>243</v>
      </c>
      <c r="C1078" t="s">
        <v>4167</v>
      </c>
      <c r="D1078" t="s">
        <v>3301</v>
      </c>
      <c r="E1078" t="s">
        <v>4168</v>
      </c>
      <c r="F1078" t="s">
        <v>118</v>
      </c>
      <c r="G1078" t="str">
        <f>HYPERLINK("https://vk.com/wall-27863223_292057?reply=292096&amp;thread=292058")</f>
        <v>https://vk.com/wall-27863223_292057?reply=292096&amp;thread=292058</v>
      </c>
      <c r="H1078" t="s">
        <v>119</v>
      </c>
      <c r="I1078" t="s">
        <v>4169</v>
      </c>
      <c r="J1078" t="str">
        <f>HYPERLINK("http://vk.com/id243734089")</f>
        <v>http://vk.com/id243734089</v>
      </c>
      <c r="K1078">
        <v>89</v>
      </c>
      <c r="L1078" t="s">
        <v>121</v>
      </c>
      <c r="N1078" t="s">
        <v>122</v>
      </c>
      <c r="O1078" t="s">
        <v>175</v>
      </c>
      <c r="P1078" t="str">
        <f>HYPERLINK("http://vk.com/club27863223")</f>
        <v>http://vk.com/club27863223</v>
      </c>
      <c r="Q1078">
        <v>134698</v>
      </c>
      <c r="R1078" t="s">
        <v>124</v>
      </c>
      <c r="S1078" t="s">
        <v>125</v>
      </c>
      <c r="T1078" t="s">
        <v>759</v>
      </c>
      <c r="U1078" t="s">
        <v>2080</v>
      </c>
      <c r="AM1078" t="s">
        <v>129</v>
      </c>
      <c r="AN1078" t="s">
        <v>130</v>
      </c>
      <c r="AP1078" t="s">
        <v>41</v>
      </c>
      <c r="AU1078" t="s">
        <v>46</v>
      </c>
      <c r="AZ1078" t="s">
        <v>51</v>
      </c>
      <c r="BA1078" t="s">
        <v>52</v>
      </c>
    </row>
    <row r="1079" spans="1:69" x14ac:dyDescent="0.2">
      <c r="A1079" t="s">
        <v>4052</v>
      </c>
      <c r="B1079" t="s">
        <v>3371</v>
      </c>
      <c r="C1079" t="s">
        <v>4170</v>
      </c>
      <c r="D1079" t="s">
        <v>3941</v>
      </c>
      <c r="E1079" t="s">
        <v>4171</v>
      </c>
      <c r="F1079" t="s">
        <v>118</v>
      </c>
      <c r="G1079" t="str">
        <f>HYPERLINK("https://vk.com/wall-27863223_292082?reply=292093&amp;thread=292090")</f>
        <v>https://vk.com/wall-27863223_292082?reply=292093&amp;thread=292090</v>
      </c>
      <c r="H1079" t="s">
        <v>119</v>
      </c>
      <c r="I1079" t="s">
        <v>4165</v>
      </c>
      <c r="J1079" t="str">
        <f>HYPERLINK("http://vk.com/id259028879")</f>
        <v>http://vk.com/id259028879</v>
      </c>
      <c r="K1079">
        <v>437</v>
      </c>
      <c r="L1079" t="s">
        <v>121</v>
      </c>
      <c r="N1079" t="s">
        <v>122</v>
      </c>
      <c r="O1079" t="s">
        <v>175</v>
      </c>
      <c r="P1079" t="str">
        <f>HYPERLINK("http://vk.com/club27863223")</f>
        <v>http://vk.com/club27863223</v>
      </c>
      <c r="Q1079">
        <v>134698</v>
      </c>
      <c r="R1079" t="s">
        <v>124</v>
      </c>
      <c r="S1079" t="s">
        <v>125</v>
      </c>
      <c r="T1079" t="s">
        <v>372</v>
      </c>
      <c r="U1079" t="s">
        <v>4166</v>
      </c>
      <c r="AM1079" t="s">
        <v>129</v>
      </c>
      <c r="AN1079" t="s">
        <v>130</v>
      </c>
      <c r="AP1079" t="s">
        <v>41</v>
      </c>
      <c r="AZ1079" t="s">
        <v>51</v>
      </c>
      <c r="BA1079" t="s">
        <v>52</v>
      </c>
      <c r="BQ1079" t="s">
        <v>68</v>
      </c>
    </row>
    <row r="1080" spans="1:69" x14ac:dyDescent="0.2">
      <c r="A1080" t="s">
        <v>4052</v>
      </c>
      <c r="B1080" t="s">
        <v>4172</v>
      </c>
      <c r="C1080" t="s">
        <v>4033</v>
      </c>
      <c r="D1080" t="s">
        <v>1727</v>
      </c>
      <c r="E1080" t="s">
        <v>4173</v>
      </c>
      <c r="F1080" t="s">
        <v>180</v>
      </c>
      <c r="G1080" t="str">
        <f>HYPERLINK("https://www.ozon.ru/context/detail/id/248909251/#61592660")</f>
        <v>https://www.ozon.ru/context/detail/id/248909251/#61592660</v>
      </c>
      <c r="H1080" t="s">
        <v>181</v>
      </c>
      <c r="I1080" t="s">
        <v>4174</v>
      </c>
      <c r="J1080" t="str">
        <f>HYPERLINK("https://www.ozon.ru/context/client_opinion/ClientGuid/17a1ae6e-d88c-4aec-b0f9-57dee414a002/")</f>
        <v>https://www.ozon.ru/context/client_opinion/ClientGuid/17a1ae6e-d88c-4aec-b0f9-57dee414a002/</v>
      </c>
      <c r="L1080" t="s">
        <v>121</v>
      </c>
      <c r="N1080" t="s">
        <v>183</v>
      </c>
      <c r="O1080" t="s">
        <v>1729</v>
      </c>
      <c r="P1080" t="str">
        <f>HYPERLINK("https://www.ozon.ru/context/detail/id/248909251/")</f>
        <v>https://www.ozon.ru/context/detail/id/248909251/</v>
      </c>
      <c r="R1080" t="s">
        <v>184</v>
      </c>
      <c r="S1080" t="s">
        <v>125</v>
      </c>
      <c r="W1080">
        <v>0</v>
      </c>
      <c r="X1080">
        <v>0</v>
      </c>
      <c r="AH1080">
        <v>5</v>
      </c>
      <c r="AM1080" t="s">
        <v>129</v>
      </c>
      <c r="AN1080" t="s">
        <v>130</v>
      </c>
      <c r="AP1080" t="s">
        <v>41</v>
      </c>
      <c r="AT1080" t="s">
        <v>45</v>
      </c>
      <c r="AZ1080" t="s">
        <v>51</v>
      </c>
      <c r="BB1080" t="s">
        <v>53</v>
      </c>
      <c r="BL1080" t="s">
        <v>63</v>
      </c>
    </row>
    <row r="1081" spans="1:69" x14ac:dyDescent="0.2">
      <c r="A1081" t="s">
        <v>4052</v>
      </c>
      <c r="B1081" t="s">
        <v>4175</v>
      </c>
      <c r="C1081" t="s">
        <v>4176</v>
      </c>
      <c r="D1081" t="s">
        <v>3941</v>
      </c>
      <c r="E1081" t="s">
        <v>4177</v>
      </c>
      <c r="F1081" t="s">
        <v>118</v>
      </c>
      <c r="G1081" t="str">
        <f>HYPERLINK("https://vk.com/wall-27863223_292082?reply=292090")</f>
        <v>https://vk.com/wall-27863223_292082?reply=292090</v>
      </c>
      <c r="H1081" t="s">
        <v>119</v>
      </c>
      <c r="I1081" t="s">
        <v>4165</v>
      </c>
      <c r="J1081" t="str">
        <f>HYPERLINK("http://vk.com/id259028879")</f>
        <v>http://vk.com/id259028879</v>
      </c>
      <c r="K1081">
        <v>437</v>
      </c>
      <c r="L1081" t="s">
        <v>121</v>
      </c>
      <c r="N1081" t="s">
        <v>122</v>
      </c>
      <c r="O1081" t="s">
        <v>175</v>
      </c>
      <c r="P1081" t="str">
        <f>HYPERLINK("http://vk.com/club27863223")</f>
        <v>http://vk.com/club27863223</v>
      </c>
      <c r="Q1081">
        <v>134698</v>
      </c>
      <c r="R1081" t="s">
        <v>124</v>
      </c>
      <c r="S1081" t="s">
        <v>125</v>
      </c>
      <c r="T1081" t="s">
        <v>372</v>
      </c>
      <c r="U1081" t="s">
        <v>4166</v>
      </c>
      <c r="AM1081" t="s">
        <v>129</v>
      </c>
      <c r="AN1081" t="s">
        <v>130</v>
      </c>
      <c r="AP1081" t="s">
        <v>41</v>
      </c>
      <c r="AU1081" t="s">
        <v>46</v>
      </c>
      <c r="AY1081" t="s">
        <v>50</v>
      </c>
      <c r="AZ1081" t="s">
        <v>51</v>
      </c>
      <c r="BA1081" t="s">
        <v>52</v>
      </c>
    </row>
    <row r="1082" spans="1:69" x14ac:dyDescent="0.2">
      <c r="A1082" t="s">
        <v>4052</v>
      </c>
      <c r="B1082" t="s">
        <v>4178</v>
      </c>
      <c r="C1082" t="s">
        <v>4179</v>
      </c>
      <c r="D1082" t="s">
        <v>2949</v>
      </c>
      <c r="E1082" t="s">
        <v>4180</v>
      </c>
      <c r="F1082" t="s">
        <v>180</v>
      </c>
      <c r="G1082" t="str">
        <f>HYPERLINK("https://www.ozon.ru/context/detail/id/242437615/#61591605")</f>
        <v>https://www.ozon.ru/context/detail/id/242437615/#61591605</v>
      </c>
      <c r="H1082" t="s">
        <v>181</v>
      </c>
      <c r="I1082" t="s">
        <v>4181</v>
      </c>
      <c r="J1082" t="str">
        <f>HYPERLINK("https://www.ozon.ru/context/client_opinion/ClientGuid/74c633a8-b9a4-42cc-9760-b2022576c659/")</f>
        <v>https://www.ozon.ru/context/client_opinion/ClientGuid/74c633a8-b9a4-42cc-9760-b2022576c659/</v>
      </c>
      <c r="L1082" t="s">
        <v>121</v>
      </c>
      <c r="N1082" t="s">
        <v>183</v>
      </c>
      <c r="O1082" t="s">
        <v>2949</v>
      </c>
      <c r="P1082" t="str">
        <f>HYPERLINK("https://www.ozon.ru/context/detail/id/242437615/")</f>
        <v>https://www.ozon.ru/context/detail/id/242437615/</v>
      </c>
      <c r="R1082" t="s">
        <v>184</v>
      </c>
      <c r="S1082" t="s">
        <v>125</v>
      </c>
      <c r="W1082">
        <v>0</v>
      </c>
      <c r="X1082">
        <v>0</v>
      </c>
      <c r="AH1082">
        <v>5</v>
      </c>
      <c r="AM1082" t="s">
        <v>129</v>
      </c>
      <c r="AN1082" t="s">
        <v>130</v>
      </c>
      <c r="AP1082" t="s">
        <v>41</v>
      </c>
      <c r="AT1082" t="s">
        <v>45</v>
      </c>
      <c r="AZ1082" t="s">
        <v>51</v>
      </c>
      <c r="BA1082" t="s">
        <v>52</v>
      </c>
      <c r="BL1082" t="s">
        <v>63</v>
      </c>
    </row>
    <row r="1083" spans="1:69" x14ac:dyDescent="0.2">
      <c r="A1083" t="s">
        <v>4052</v>
      </c>
      <c r="B1083" t="s">
        <v>4182</v>
      </c>
      <c r="C1083" t="s">
        <v>4183</v>
      </c>
      <c r="D1083" t="s">
        <v>3301</v>
      </c>
      <c r="E1083" t="s">
        <v>4184</v>
      </c>
      <c r="F1083" t="s">
        <v>118</v>
      </c>
      <c r="G1083" t="str">
        <f>HYPERLINK("https://vk.com/wall-27863223_292057?reply=292089&amp;thread=292058")</f>
        <v>https://vk.com/wall-27863223_292057?reply=292089&amp;thread=292058</v>
      </c>
      <c r="H1083" t="s">
        <v>181</v>
      </c>
      <c r="I1083" t="s">
        <v>2603</v>
      </c>
      <c r="J1083" t="str">
        <f>HYPERLINK("http://vk.com/id660908621")</f>
        <v>http://vk.com/id660908621</v>
      </c>
      <c r="K1083">
        <v>0</v>
      </c>
      <c r="L1083" t="s">
        <v>121</v>
      </c>
      <c r="M1083">
        <v>22</v>
      </c>
      <c r="N1083" t="s">
        <v>122</v>
      </c>
      <c r="O1083" t="s">
        <v>175</v>
      </c>
      <c r="P1083" t="str">
        <f>HYPERLINK("http://vk.com/club27863223")</f>
        <v>http://vk.com/club27863223</v>
      </c>
      <c r="Q1083">
        <v>134698</v>
      </c>
      <c r="R1083" t="s">
        <v>124</v>
      </c>
      <c r="AM1083" t="s">
        <v>129</v>
      </c>
      <c r="AN1083" t="s">
        <v>130</v>
      </c>
      <c r="AP1083" t="s">
        <v>41</v>
      </c>
      <c r="AU1083" t="s">
        <v>46</v>
      </c>
      <c r="AZ1083" t="s">
        <v>51</v>
      </c>
      <c r="BA1083" t="s">
        <v>52</v>
      </c>
    </row>
    <row r="1084" spans="1:69" x14ac:dyDescent="0.2">
      <c r="A1084" t="s">
        <v>4052</v>
      </c>
      <c r="B1084" t="s">
        <v>830</v>
      </c>
      <c r="C1084" t="s">
        <v>4185</v>
      </c>
      <c r="D1084" t="s">
        <v>3301</v>
      </c>
      <c r="E1084" t="s">
        <v>4186</v>
      </c>
      <c r="F1084" t="s">
        <v>118</v>
      </c>
      <c r="G1084" t="str">
        <f>HYPERLINK("https://vk.com/wall-27863223_292057?reply=292086&amp;thread=292078")</f>
        <v>https://vk.com/wall-27863223_292057?reply=292086&amp;thread=292078</v>
      </c>
      <c r="H1084" t="s">
        <v>181</v>
      </c>
      <c r="I1084" t="s">
        <v>4187</v>
      </c>
      <c r="J1084" t="str">
        <f>HYPERLINK("http://vk.com/id620612426")</f>
        <v>http://vk.com/id620612426</v>
      </c>
      <c r="K1084">
        <v>9</v>
      </c>
      <c r="L1084" t="s">
        <v>121</v>
      </c>
      <c r="N1084" t="s">
        <v>122</v>
      </c>
      <c r="O1084" t="s">
        <v>175</v>
      </c>
      <c r="P1084" t="str">
        <f>HYPERLINK("http://vk.com/club27863223")</f>
        <v>http://vk.com/club27863223</v>
      </c>
      <c r="Q1084">
        <v>134698</v>
      </c>
      <c r="R1084" t="s">
        <v>124</v>
      </c>
      <c r="S1084" t="s">
        <v>125</v>
      </c>
      <c r="T1084" t="s">
        <v>137</v>
      </c>
      <c r="U1084" t="s">
        <v>137</v>
      </c>
      <c r="AM1084" t="s">
        <v>129</v>
      </c>
      <c r="AN1084" t="s">
        <v>130</v>
      </c>
      <c r="AP1084" t="s">
        <v>41</v>
      </c>
      <c r="AX1084" t="s">
        <v>49</v>
      </c>
      <c r="AZ1084" t="s">
        <v>51</v>
      </c>
      <c r="BD1084" t="s">
        <v>55</v>
      </c>
    </row>
    <row r="1085" spans="1:69" x14ac:dyDescent="0.2">
      <c r="A1085" t="s">
        <v>4052</v>
      </c>
      <c r="B1085" t="s">
        <v>258</v>
      </c>
      <c r="C1085" t="s">
        <v>4188</v>
      </c>
      <c r="D1085" t="s">
        <v>3301</v>
      </c>
      <c r="E1085" t="s">
        <v>4189</v>
      </c>
      <c r="F1085" t="s">
        <v>118</v>
      </c>
      <c r="G1085" t="str">
        <f>HYPERLINK("https://vk.com/wall-27863223_292057?reply=292084&amp;thread=292078")</f>
        <v>https://vk.com/wall-27863223_292057?reply=292084&amp;thread=292078</v>
      </c>
      <c r="H1085" t="s">
        <v>228</v>
      </c>
      <c r="I1085" t="s">
        <v>4187</v>
      </c>
      <c r="J1085" t="str">
        <f>HYPERLINK("http://vk.com/id620612426")</f>
        <v>http://vk.com/id620612426</v>
      </c>
      <c r="K1085">
        <v>9</v>
      </c>
      <c r="L1085" t="s">
        <v>121</v>
      </c>
      <c r="N1085" t="s">
        <v>122</v>
      </c>
      <c r="O1085" t="s">
        <v>175</v>
      </c>
      <c r="P1085" t="str">
        <f>HYPERLINK("http://vk.com/club27863223")</f>
        <v>http://vk.com/club27863223</v>
      </c>
      <c r="Q1085">
        <v>134698</v>
      </c>
      <c r="R1085" t="s">
        <v>124</v>
      </c>
      <c r="S1085" t="s">
        <v>125</v>
      </c>
      <c r="T1085" t="s">
        <v>137</v>
      </c>
      <c r="U1085" t="s">
        <v>137</v>
      </c>
      <c r="AM1085" t="s">
        <v>129</v>
      </c>
      <c r="AN1085" t="s">
        <v>130</v>
      </c>
      <c r="AP1085" t="s">
        <v>41</v>
      </c>
      <c r="AY1085" t="s">
        <v>50</v>
      </c>
      <c r="AZ1085" t="s">
        <v>51</v>
      </c>
      <c r="BA1085" t="s">
        <v>52</v>
      </c>
    </row>
    <row r="1086" spans="1:69" x14ac:dyDescent="0.2">
      <c r="A1086" t="s">
        <v>4052</v>
      </c>
      <c r="B1086" t="s">
        <v>1381</v>
      </c>
      <c r="C1086" t="s">
        <v>4190</v>
      </c>
      <c r="D1086" t="s">
        <v>129</v>
      </c>
      <c r="E1086" t="s">
        <v>4191</v>
      </c>
      <c r="F1086" t="s">
        <v>180</v>
      </c>
      <c r="G1086" t="str">
        <f>HYPERLINK("https://www.facebook.com/tricolortv/posts/4110358512351721")</f>
        <v>https://www.facebook.com/tricolortv/posts/4110358512351721</v>
      </c>
      <c r="H1086" t="s">
        <v>119</v>
      </c>
      <c r="I1086" t="s">
        <v>175</v>
      </c>
      <c r="J1086" t="str">
        <f>HYPERLINK("https://www.facebook.com/206198386101106")</f>
        <v>https://www.facebook.com/206198386101106</v>
      </c>
      <c r="K1086">
        <v>16432</v>
      </c>
      <c r="L1086" t="s">
        <v>340</v>
      </c>
      <c r="N1086" t="s">
        <v>305</v>
      </c>
      <c r="O1086" t="s">
        <v>175</v>
      </c>
      <c r="P1086" t="str">
        <f>HYPERLINK("https://www.facebook.com/206198386101106")</f>
        <v>https://www.facebook.com/206198386101106</v>
      </c>
      <c r="Q1086">
        <v>16432</v>
      </c>
      <c r="R1086" t="s">
        <v>124</v>
      </c>
      <c r="W1086">
        <v>1</v>
      </c>
      <c r="X1086">
        <v>1</v>
      </c>
      <c r="Y1086">
        <v>0</v>
      </c>
      <c r="Z1086">
        <v>0</v>
      </c>
      <c r="AA1086">
        <v>0</v>
      </c>
      <c r="AB1086">
        <v>0</v>
      </c>
      <c r="AC1086">
        <v>0</v>
      </c>
      <c r="AE1086">
        <v>0</v>
      </c>
      <c r="AF1086">
        <v>0</v>
      </c>
      <c r="AJ1086" t="s">
        <v>4192</v>
      </c>
      <c r="AK1086" t="s">
        <v>129</v>
      </c>
      <c r="AL1086" t="s">
        <v>4193</v>
      </c>
      <c r="AM1086" t="s">
        <v>129</v>
      </c>
      <c r="AN1086" t="s">
        <v>130</v>
      </c>
      <c r="BI1086" t="s">
        <v>60</v>
      </c>
    </row>
    <row r="1087" spans="1:69" x14ac:dyDescent="0.2">
      <c r="A1087" t="s">
        <v>4052</v>
      </c>
      <c r="B1087" t="s">
        <v>1381</v>
      </c>
      <c r="C1087" t="s">
        <v>4194</v>
      </c>
      <c r="D1087" t="s">
        <v>3941</v>
      </c>
      <c r="E1087" t="s">
        <v>4191</v>
      </c>
      <c r="F1087" t="s">
        <v>180</v>
      </c>
      <c r="G1087" t="str">
        <f>HYPERLINK("https://ok.ru/group/51085510115462/topic/153480671831430")</f>
        <v>https://ok.ru/group/51085510115462/topic/153480671831430</v>
      </c>
      <c r="H1087" t="s">
        <v>119</v>
      </c>
      <c r="I1087" t="s">
        <v>175</v>
      </c>
      <c r="J1087" t="str">
        <f>HYPERLINK("https://ok.ru/group/51085510115462")</f>
        <v>https://ok.ru/group/51085510115462</v>
      </c>
      <c r="K1087">
        <v>94768</v>
      </c>
      <c r="L1087" t="s">
        <v>340</v>
      </c>
      <c r="N1087" t="s">
        <v>347</v>
      </c>
      <c r="O1087" t="s">
        <v>175</v>
      </c>
      <c r="P1087" t="str">
        <f>HYPERLINK("https://ok.ru/group/51085510115462")</f>
        <v>https://ok.ru/group/51085510115462</v>
      </c>
      <c r="Q1087">
        <v>94768</v>
      </c>
      <c r="R1087" t="s">
        <v>124</v>
      </c>
      <c r="W1087">
        <v>13</v>
      </c>
      <c r="X1087">
        <v>13</v>
      </c>
      <c r="Y1087">
        <v>0</v>
      </c>
      <c r="Z1087">
        <v>0</v>
      </c>
      <c r="AA1087">
        <v>0</v>
      </c>
      <c r="AB1087">
        <v>0</v>
      </c>
      <c r="AE1087">
        <v>0</v>
      </c>
      <c r="AF1087">
        <v>1</v>
      </c>
      <c r="AJ1087" t="s">
        <v>4195</v>
      </c>
      <c r="AK1087" t="s">
        <v>129</v>
      </c>
      <c r="AL1087" t="str">
        <f>HYPERLINK("https://i.mycdn.me/image?id=918890386054&amp;t=20&amp;plc=API&amp;aid=1131601408&amp;tkn=*b6OiHrLpzH-VN5YinDQ241B-CYU")</f>
        <v>https://i.mycdn.me/image?id=918890386054&amp;t=20&amp;plc=API&amp;aid=1131601408&amp;tkn=*b6OiHrLpzH-VN5YinDQ241B-CYU</v>
      </c>
      <c r="AM1087" t="s">
        <v>129</v>
      </c>
      <c r="AN1087" t="s">
        <v>130</v>
      </c>
      <c r="BI1087" t="s">
        <v>60</v>
      </c>
    </row>
    <row r="1088" spans="1:69" x14ac:dyDescent="0.2">
      <c r="A1088" t="s">
        <v>4052</v>
      </c>
      <c r="B1088" t="s">
        <v>836</v>
      </c>
      <c r="C1088" t="s">
        <v>4196</v>
      </c>
      <c r="D1088" t="s">
        <v>3301</v>
      </c>
      <c r="E1088" t="s">
        <v>4197</v>
      </c>
      <c r="F1088" t="s">
        <v>118</v>
      </c>
      <c r="G1088" t="str">
        <f>HYPERLINK("https://vk.com/wall-27863223_292057?reply=292081&amp;thread=292078")</f>
        <v>https://vk.com/wall-27863223_292057?reply=292081&amp;thread=292078</v>
      </c>
      <c r="H1088" t="s">
        <v>119</v>
      </c>
      <c r="I1088" t="s">
        <v>4187</v>
      </c>
      <c r="J1088" t="str">
        <f>HYPERLINK("http://vk.com/id620612426")</f>
        <v>http://vk.com/id620612426</v>
      </c>
      <c r="K1088">
        <v>9</v>
      </c>
      <c r="L1088" t="s">
        <v>121</v>
      </c>
      <c r="N1088" t="s">
        <v>122</v>
      </c>
      <c r="O1088" t="s">
        <v>175</v>
      </c>
      <c r="P1088" t="str">
        <f>HYPERLINK("http://vk.com/club27863223")</f>
        <v>http://vk.com/club27863223</v>
      </c>
      <c r="Q1088">
        <v>134698</v>
      </c>
      <c r="R1088" t="s">
        <v>124</v>
      </c>
      <c r="S1088" t="s">
        <v>125</v>
      </c>
      <c r="T1088" t="s">
        <v>137</v>
      </c>
      <c r="U1088" t="s">
        <v>137</v>
      </c>
      <c r="AM1088" t="s">
        <v>129</v>
      </c>
      <c r="AN1088" t="s">
        <v>130</v>
      </c>
      <c r="AP1088" t="s">
        <v>41</v>
      </c>
      <c r="AU1088" t="s">
        <v>46</v>
      </c>
      <c r="AZ1088" t="s">
        <v>51</v>
      </c>
      <c r="BA1088" t="s">
        <v>52</v>
      </c>
    </row>
    <row r="1089" spans="1:77" x14ac:dyDescent="0.2">
      <c r="A1089" t="s">
        <v>4052</v>
      </c>
      <c r="B1089" t="s">
        <v>838</v>
      </c>
      <c r="C1089" t="s">
        <v>4198</v>
      </c>
      <c r="D1089" t="s">
        <v>3301</v>
      </c>
      <c r="E1089" t="s">
        <v>4199</v>
      </c>
      <c r="F1089" t="s">
        <v>118</v>
      </c>
      <c r="G1089" t="str">
        <f>HYPERLINK("https://vk.com/wall-27863223_292057?reply=292080&amp;thread=292078")</f>
        <v>https://vk.com/wall-27863223_292057?reply=292080&amp;thread=292078</v>
      </c>
      <c r="H1089" t="s">
        <v>119</v>
      </c>
      <c r="I1089" t="s">
        <v>4187</v>
      </c>
      <c r="J1089" t="str">
        <f>HYPERLINK("http://vk.com/id620612426")</f>
        <v>http://vk.com/id620612426</v>
      </c>
      <c r="K1089">
        <v>9</v>
      </c>
      <c r="L1089" t="s">
        <v>121</v>
      </c>
      <c r="N1089" t="s">
        <v>122</v>
      </c>
      <c r="O1089" t="s">
        <v>175</v>
      </c>
      <c r="P1089" t="str">
        <f>HYPERLINK("http://vk.com/club27863223")</f>
        <v>http://vk.com/club27863223</v>
      </c>
      <c r="Q1089">
        <v>134698</v>
      </c>
      <c r="R1089" t="s">
        <v>124</v>
      </c>
      <c r="S1089" t="s">
        <v>125</v>
      </c>
      <c r="T1089" t="s">
        <v>137</v>
      </c>
      <c r="U1089" t="s">
        <v>137</v>
      </c>
      <c r="AM1089" t="s">
        <v>129</v>
      </c>
      <c r="AN1089" t="s">
        <v>130</v>
      </c>
      <c r="AP1089" t="s">
        <v>41</v>
      </c>
      <c r="AU1089" t="s">
        <v>46</v>
      </c>
      <c r="AZ1089" t="s">
        <v>51</v>
      </c>
      <c r="BA1089" t="s">
        <v>52</v>
      </c>
    </row>
    <row r="1090" spans="1:77" x14ac:dyDescent="0.2">
      <c r="A1090" t="s">
        <v>4052</v>
      </c>
      <c r="B1090" t="s">
        <v>4200</v>
      </c>
      <c r="C1090" t="s">
        <v>4201</v>
      </c>
      <c r="D1090" t="s">
        <v>3301</v>
      </c>
      <c r="E1090" t="s">
        <v>4202</v>
      </c>
      <c r="F1090" t="s">
        <v>118</v>
      </c>
      <c r="G1090" t="str">
        <f>HYPERLINK("https://vk.com/wall-27863223_292057?reply=292078")</f>
        <v>https://vk.com/wall-27863223_292057?reply=292078</v>
      </c>
      <c r="H1090" t="s">
        <v>119</v>
      </c>
      <c r="I1090" t="s">
        <v>4187</v>
      </c>
      <c r="J1090" t="str">
        <f>HYPERLINK("http://vk.com/id620612426")</f>
        <v>http://vk.com/id620612426</v>
      </c>
      <c r="K1090">
        <v>9</v>
      </c>
      <c r="L1090" t="s">
        <v>121</v>
      </c>
      <c r="N1090" t="s">
        <v>122</v>
      </c>
      <c r="O1090" t="s">
        <v>175</v>
      </c>
      <c r="P1090" t="str">
        <f>HYPERLINK("http://vk.com/club27863223")</f>
        <v>http://vk.com/club27863223</v>
      </c>
      <c r="Q1090">
        <v>134698</v>
      </c>
      <c r="R1090" t="s">
        <v>124</v>
      </c>
      <c r="S1090" t="s">
        <v>125</v>
      </c>
      <c r="T1090" t="s">
        <v>137</v>
      </c>
      <c r="U1090" t="s">
        <v>137</v>
      </c>
      <c r="AM1090" t="s">
        <v>129</v>
      </c>
      <c r="AN1090" t="s">
        <v>130</v>
      </c>
      <c r="AP1090" t="s">
        <v>41</v>
      </c>
      <c r="AU1090" t="s">
        <v>46</v>
      </c>
      <c r="AZ1090" t="s">
        <v>51</v>
      </c>
      <c r="BA1090" t="s">
        <v>52</v>
      </c>
      <c r="BL1090" t="s">
        <v>63</v>
      </c>
    </row>
    <row r="1091" spans="1:77" x14ac:dyDescent="0.2">
      <c r="A1091" t="s">
        <v>4052</v>
      </c>
      <c r="B1091" t="s">
        <v>4203</v>
      </c>
      <c r="C1091" t="s">
        <v>4204</v>
      </c>
      <c r="D1091" t="s">
        <v>4205</v>
      </c>
      <c r="E1091" t="s">
        <v>4206</v>
      </c>
      <c r="F1091" t="s">
        <v>118</v>
      </c>
      <c r="G1091" t="str">
        <f>HYPERLINK("https://www.facebook.com/story.php?story_fbid=10228086147439377&amp;id=1245549601&amp;comment_id=10228094473927534")</f>
        <v>https://www.facebook.com/story.php?story_fbid=10228086147439377&amp;id=1245549601&amp;comment_id=10228094473927534</v>
      </c>
      <c r="H1091" t="s">
        <v>119</v>
      </c>
      <c r="I1091" t="s">
        <v>4207</v>
      </c>
      <c r="J1091" t="str">
        <f>HYPERLINK("https://www.facebook.com/100000829271966")</f>
        <v>https://www.facebook.com/100000829271966</v>
      </c>
      <c r="K1091">
        <v>176</v>
      </c>
      <c r="L1091" t="s">
        <v>151</v>
      </c>
      <c r="N1091" t="s">
        <v>305</v>
      </c>
      <c r="O1091" t="s">
        <v>4208</v>
      </c>
      <c r="P1091" t="str">
        <f>HYPERLINK("https://www.facebook.com/1245549601")</f>
        <v>https://www.facebook.com/1245549601</v>
      </c>
      <c r="Q1091">
        <v>7958</v>
      </c>
      <c r="R1091" t="s">
        <v>124</v>
      </c>
      <c r="S1091" t="s">
        <v>125</v>
      </c>
      <c r="T1091" t="s">
        <v>169</v>
      </c>
      <c r="U1091" t="s">
        <v>169</v>
      </c>
      <c r="W1091">
        <v>0</v>
      </c>
      <c r="X1091">
        <v>0</v>
      </c>
      <c r="AE1091">
        <v>0</v>
      </c>
      <c r="AM1091" t="s">
        <v>129</v>
      </c>
      <c r="AN1091" t="s">
        <v>130</v>
      </c>
      <c r="AP1091" t="s">
        <v>41</v>
      </c>
      <c r="AU1091" t="s">
        <v>46</v>
      </c>
      <c r="AZ1091" t="s">
        <v>51</v>
      </c>
      <c r="BA1091" t="s">
        <v>52</v>
      </c>
    </row>
    <row r="1092" spans="1:77" x14ac:dyDescent="0.2">
      <c r="A1092" t="s">
        <v>4052</v>
      </c>
      <c r="B1092" t="s">
        <v>4209</v>
      </c>
      <c r="C1092" t="s">
        <v>4210</v>
      </c>
      <c r="D1092" t="s">
        <v>204</v>
      </c>
      <c r="E1092" t="s">
        <v>4211</v>
      </c>
      <c r="F1092" t="s">
        <v>180</v>
      </c>
      <c r="G1092" t="str">
        <f>HYPERLINK("https://play.google.com/store/apps/details?id=ru.iflex.android.a3colortv&amp;reviewId=gp:AOqpTOFBNX3gMd7toHiNxFwC5ztGv6u6PvQuNpY01C1jBJSoDPMacjNxtv3-Rl39XrO-zCCaalmJQ7ujdfGCuA")</f>
        <v>https://play.google.com/store/apps/details?id=ru.iflex.android.a3colortv&amp;reviewId=gp:AOqpTOFBNX3gMd7toHiNxFwC5ztGv6u6PvQuNpY01C1jBJSoDPMacjNxtv3-Rl39XrO-zCCaalmJQ7ujdfGCuA</v>
      </c>
      <c r="H1092" t="s">
        <v>181</v>
      </c>
      <c r="I1092" t="s">
        <v>4212</v>
      </c>
      <c r="J1092" t="str">
        <f>HYPERLINK("https://plus.google.com/103980603267816511260")</f>
        <v>https://plus.google.com/103980603267816511260</v>
      </c>
      <c r="L1092" t="s">
        <v>121</v>
      </c>
      <c r="N1092" t="s">
        <v>207</v>
      </c>
      <c r="O1092" t="s">
        <v>204</v>
      </c>
      <c r="P1092" t="str">
        <f>HYPERLINK("https://play.google.com/store/apps/details?id=ru.iflex.android.a3colortv&amp;hl=ru")</f>
        <v>https://play.google.com/store/apps/details?id=ru.iflex.android.a3colortv&amp;hl=ru</v>
      </c>
      <c r="R1092" t="s">
        <v>184</v>
      </c>
      <c r="S1092" t="s">
        <v>125</v>
      </c>
      <c r="W1092">
        <v>0</v>
      </c>
      <c r="X1092">
        <v>0</v>
      </c>
      <c r="AH1092">
        <v>5</v>
      </c>
      <c r="AM1092" t="s">
        <v>129</v>
      </c>
      <c r="AN1092" t="s">
        <v>130</v>
      </c>
      <c r="AP1092" t="s">
        <v>41</v>
      </c>
      <c r="AW1092" t="s">
        <v>48</v>
      </c>
      <c r="AZ1092" t="s">
        <v>51</v>
      </c>
      <c r="BA1092" t="s">
        <v>52</v>
      </c>
      <c r="BQ1092" t="s">
        <v>68</v>
      </c>
    </row>
    <row r="1093" spans="1:77" x14ac:dyDescent="0.2">
      <c r="A1093" t="s">
        <v>4052</v>
      </c>
      <c r="B1093" t="s">
        <v>4213</v>
      </c>
      <c r="C1093" t="s">
        <v>4214</v>
      </c>
      <c r="D1093" t="s">
        <v>4102</v>
      </c>
      <c r="E1093" t="s">
        <v>4215</v>
      </c>
      <c r="F1093" t="s">
        <v>118</v>
      </c>
      <c r="G1093" t="str">
        <f>HYPERLINK("https://vk.com/wall-27863223_292070?w=wall-27863223_292070_r292077")</f>
        <v>https://vk.com/wall-27863223_292070?w=wall-27863223_292070_r292077</v>
      </c>
      <c r="H1093" t="s">
        <v>119</v>
      </c>
      <c r="I1093" t="s">
        <v>4169</v>
      </c>
      <c r="J1093" t="str">
        <f>HYPERLINK("http://vk.com/id243734089")</f>
        <v>http://vk.com/id243734089</v>
      </c>
      <c r="K1093">
        <v>89</v>
      </c>
      <c r="L1093" t="s">
        <v>121</v>
      </c>
      <c r="N1093" t="s">
        <v>122</v>
      </c>
      <c r="O1093" t="s">
        <v>175</v>
      </c>
      <c r="P1093" t="str">
        <f>HYPERLINK("http://vk.com/club27863223")</f>
        <v>http://vk.com/club27863223</v>
      </c>
      <c r="Q1093">
        <v>134698</v>
      </c>
      <c r="R1093" t="s">
        <v>124</v>
      </c>
      <c r="S1093" t="s">
        <v>125</v>
      </c>
      <c r="T1093" t="s">
        <v>759</v>
      </c>
      <c r="U1093" t="s">
        <v>2080</v>
      </c>
      <c r="W1093">
        <v>0</v>
      </c>
      <c r="X1093">
        <v>0</v>
      </c>
      <c r="AM1093" t="s">
        <v>129</v>
      </c>
      <c r="AN1093" t="s">
        <v>130</v>
      </c>
      <c r="AP1093" t="s">
        <v>41</v>
      </c>
      <c r="AU1093" t="s">
        <v>46</v>
      </c>
      <c r="AZ1093" t="s">
        <v>51</v>
      </c>
      <c r="BA1093" t="s">
        <v>52</v>
      </c>
    </row>
    <row r="1094" spans="1:77" x14ac:dyDescent="0.2">
      <c r="A1094" t="s">
        <v>4052</v>
      </c>
      <c r="B1094" t="s">
        <v>2433</v>
      </c>
      <c r="C1094" t="s">
        <v>4216</v>
      </c>
      <c r="D1094" t="s">
        <v>3301</v>
      </c>
      <c r="E1094" t="s">
        <v>4217</v>
      </c>
      <c r="F1094" t="s">
        <v>118</v>
      </c>
      <c r="G1094" t="str">
        <f>HYPERLINK("https://vk.com/wall-27863223_292057?reply=292076&amp;thread=292058")</f>
        <v>https://vk.com/wall-27863223_292057?reply=292076&amp;thread=292058</v>
      </c>
      <c r="H1094" t="s">
        <v>119</v>
      </c>
      <c r="I1094" t="s">
        <v>4169</v>
      </c>
      <c r="J1094" t="str">
        <f>HYPERLINK("http://vk.com/id243734089")</f>
        <v>http://vk.com/id243734089</v>
      </c>
      <c r="K1094">
        <v>89</v>
      </c>
      <c r="L1094" t="s">
        <v>121</v>
      </c>
      <c r="N1094" t="s">
        <v>122</v>
      </c>
      <c r="O1094" t="s">
        <v>175</v>
      </c>
      <c r="P1094" t="str">
        <f>HYPERLINK("http://vk.com/club27863223")</f>
        <v>http://vk.com/club27863223</v>
      </c>
      <c r="Q1094">
        <v>134698</v>
      </c>
      <c r="R1094" t="s">
        <v>124</v>
      </c>
      <c r="S1094" t="s">
        <v>125</v>
      </c>
      <c r="T1094" t="s">
        <v>759</v>
      </c>
      <c r="U1094" t="s">
        <v>2080</v>
      </c>
      <c r="AM1094" t="s">
        <v>129</v>
      </c>
      <c r="AN1094" t="s">
        <v>130</v>
      </c>
      <c r="AP1094" t="s">
        <v>41</v>
      </c>
      <c r="AU1094" t="s">
        <v>46</v>
      </c>
      <c r="AY1094" t="s">
        <v>50</v>
      </c>
      <c r="AZ1094" t="s">
        <v>51</v>
      </c>
      <c r="BA1094" t="s">
        <v>52</v>
      </c>
    </row>
    <row r="1095" spans="1:77" x14ac:dyDescent="0.2">
      <c r="A1095" t="s">
        <v>4052</v>
      </c>
      <c r="B1095" t="s">
        <v>4218</v>
      </c>
      <c r="C1095" t="s">
        <v>4214</v>
      </c>
      <c r="D1095" t="s">
        <v>4219</v>
      </c>
      <c r="E1095" t="s">
        <v>4220</v>
      </c>
      <c r="F1095" t="s">
        <v>118</v>
      </c>
      <c r="G1095" t="str">
        <f>HYPERLINK("https://vk.com/wall-22935147_368633?reply=368642")</f>
        <v>https://vk.com/wall-22935147_368633?reply=368642</v>
      </c>
      <c r="H1095" t="s">
        <v>228</v>
      </c>
      <c r="I1095" t="s">
        <v>4221</v>
      </c>
      <c r="J1095" t="str">
        <f>HYPERLINK("http://vk.com/id242717820")</f>
        <v>http://vk.com/id242717820</v>
      </c>
      <c r="K1095">
        <v>38</v>
      </c>
      <c r="L1095" t="s">
        <v>121</v>
      </c>
      <c r="M1095">
        <v>46</v>
      </c>
      <c r="N1095" t="s">
        <v>122</v>
      </c>
      <c r="O1095" t="s">
        <v>1093</v>
      </c>
      <c r="P1095" t="str">
        <f>HYPERLINK("http://vk.com/club22935147")</f>
        <v>http://vk.com/club22935147</v>
      </c>
      <c r="Q1095">
        <v>8943</v>
      </c>
      <c r="R1095" t="s">
        <v>124</v>
      </c>
      <c r="S1095" t="s">
        <v>125</v>
      </c>
      <c r="T1095" t="s">
        <v>169</v>
      </c>
      <c r="U1095" t="s">
        <v>169</v>
      </c>
      <c r="W1095">
        <v>0</v>
      </c>
      <c r="X1095">
        <v>0</v>
      </c>
      <c r="AM1095" t="s">
        <v>129</v>
      </c>
      <c r="AN1095" t="s">
        <v>130</v>
      </c>
      <c r="AP1095" t="s">
        <v>41</v>
      </c>
      <c r="AU1095" t="s">
        <v>46</v>
      </c>
      <c r="AZ1095" t="s">
        <v>51</v>
      </c>
      <c r="BA1095" t="s">
        <v>52</v>
      </c>
    </row>
    <row r="1096" spans="1:77" x14ac:dyDescent="0.2">
      <c r="A1096" t="s">
        <v>4052</v>
      </c>
      <c r="B1096" t="s">
        <v>893</v>
      </c>
      <c r="C1096" t="s">
        <v>4222</v>
      </c>
      <c r="D1096" t="s">
        <v>4223</v>
      </c>
      <c r="E1096" t="s">
        <v>4224</v>
      </c>
      <c r="F1096" t="s">
        <v>118</v>
      </c>
      <c r="G1096" t="str">
        <f>HYPERLINK("https://vk.com/wall-56108351_293024?reply=293051")</f>
        <v>https://vk.com/wall-56108351_293024?reply=293051</v>
      </c>
      <c r="H1096" t="s">
        <v>119</v>
      </c>
      <c r="I1096" t="s">
        <v>4225</v>
      </c>
      <c r="J1096" t="str">
        <f>HYPERLINK("http://vk.com/id339419668")</f>
        <v>http://vk.com/id339419668</v>
      </c>
      <c r="K1096">
        <v>278</v>
      </c>
      <c r="L1096" t="s">
        <v>151</v>
      </c>
      <c r="M1096">
        <v>32</v>
      </c>
      <c r="N1096" t="s">
        <v>122</v>
      </c>
      <c r="O1096" t="s">
        <v>4226</v>
      </c>
      <c r="P1096" t="str">
        <f>HYPERLINK("http://vk.com/club56108351")</f>
        <v>http://vk.com/club56108351</v>
      </c>
      <c r="Q1096">
        <v>60185</v>
      </c>
      <c r="R1096" t="s">
        <v>124</v>
      </c>
      <c r="S1096" t="s">
        <v>125</v>
      </c>
      <c r="T1096" t="s">
        <v>523</v>
      </c>
      <c r="U1096" t="s">
        <v>4227</v>
      </c>
      <c r="AM1096" t="s">
        <v>129</v>
      </c>
      <c r="AN1096" t="s">
        <v>130</v>
      </c>
      <c r="AP1096" t="s">
        <v>41</v>
      </c>
      <c r="AW1096" t="s">
        <v>48</v>
      </c>
      <c r="AZ1096" t="s">
        <v>51</v>
      </c>
      <c r="BA1096" t="s">
        <v>52</v>
      </c>
    </row>
    <row r="1097" spans="1:77" x14ac:dyDescent="0.2">
      <c r="A1097" t="s">
        <v>4052</v>
      </c>
      <c r="B1097" t="s">
        <v>1969</v>
      </c>
      <c r="C1097" t="s">
        <v>4228</v>
      </c>
      <c r="D1097" t="s">
        <v>4229</v>
      </c>
      <c r="E1097" t="s">
        <v>4230</v>
      </c>
      <c r="F1097" t="s">
        <v>118</v>
      </c>
      <c r="G1097" t="str">
        <f>HYPERLINK("https://vk.com/wall-199277766_771?reply=772")</f>
        <v>https://vk.com/wall-199277766_771?reply=772</v>
      </c>
      <c r="H1097" t="s">
        <v>119</v>
      </c>
      <c r="I1097" t="s">
        <v>254</v>
      </c>
      <c r="J1097" t="str">
        <f>HYPERLINK("http://vk.com/id286061518")</f>
        <v>http://vk.com/id286061518</v>
      </c>
      <c r="K1097">
        <v>5170</v>
      </c>
      <c r="L1097" t="s">
        <v>121</v>
      </c>
      <c r="M1097">
        <v>34</v>
      </c>
      <c r="N1097" t="s">
        <v>122</v>
      </c>
      <c r="O1097" t="s">
        <v>255</v>
      </c>
      <c r="P1097" t="str">
        <f>HYPERLINK("http://vk.com/club199277766")</f>
        <v>http://vk.com/club199277766</v>
      </c>
      <c r="Q1097">
        <v>53</v>
      </c>
      <c r="R1097" t="s">
        <v>124</v>
      </c>
      <c r="S1097" t="s">
        <v>125</v>
      </c>
      <c r="T1097" t="s">
        <v>256</v>
      </c>
      <c r="U1097" t="s">
        <v>257</v>
      </c>
      <c r="AM1097" t="s">
        <v>129</v>
      </c>
      <c r="AN1097" t="s">
        <v>130</v>
      </c>
      <c r="AP1097" t="s">
        <v>41</v>
      </c>
      <c r="AZ1097" t="s">
        <v>51</v>
      </c>
      <c r="BA1097" t="s">
        <v>52</v>
      </c>
      <c r="BY1097" t="s">
        <v>76</v>
      </c>
    </row>
    <row r="1098" spans="1:77" x14ac:dyDescent="0.2">
      <c r="A1098" t="s">
        <v>4052</v>
      </c>
      <c r="B1098" t="s">
        <v>896</v>
      </c>
      <c r="C1098" t="s">
        <v>4231</v>
      </c>
      <c r="D1098" t="s">
        <v>129</v>
      </c>
      <c r="E1098" t="s">
        <v>4232</v>
      </c>
      <c r="F1098" t="s">
        <v>180</v>
      </c>
      <c r="G1098" t="str">
        <f>HYPERLINK("https://vk.com/wall-61101621_254753")</f>
        <v>https://vk.com/wall-61101621_254753</v>
      </c>
      <c r="H1098" t="s">
        <v>119</v>
      </c>
      <c r="I1098" t="s">
        <v>3497</v>
      </c>
      <c r="J1098" t="str">
        <f>HYPERLINK("http://vk.com/id61418129")</f>
        <v>http://vk.com/id61418129</v>
      </c>
      <c r="K1098">
        <v>386</v>
      </c>
      <c r="L1098" t="s">
        <v>151</v>
      </c>
      <c r="M1098">
        <v>47</v>
      </c>
      <c r="N1098" t="s">
        <v>122</v>
      </c>
      <c r="O1098" t="s">
        <v>160</v>
      </c>
      <c r="P1098" t="str">
        <f>HYPERLINK("http://vk.com/club61101621")</f>
        <v>http://vk.com/club61101621</v>
      </c>
      <c r="Q1098">
        <v>21119</v>
      </c>
      <c r="R1098" t="s">
        <v>124</v>
      </c>
      <c r="S1098" t="s">
        <v>125</v>
      </c>
      <c r="T1098" t="s">
        <v>325</v>
      </c>
      <c r="U1098" t="s">
        <v>3498</v>
      </c>
      <c r="W1098">
        <v>3</v>
      </c>
      <c r="X1098">
        <v>3</v>
      </c>
      <c r="AE1098">
        <v>2</v>
      </c>
      <c r="AF1098">
        <v>0</v>
      </c>
      <c r="AG1098">
        <v>1513</v>
      </c>
      <c r="AM1098" t="s">
        <v>129</v>
      </c>
      <c r="AN1098" t="s">
        <v>130</v>
      </c>
      <c r="AP1098" t="s">
        <v>41</v>
      </c>
      <c r="AU1098" t="s">
        <v>46</v>
      </c>
      <c r="AY1098" t="s">
        <v>50</v>
      </c>
      <c r="AZ1098" t="s">
        <v>51</v>
      </c>
      <c r="BA1098" t="s">
        <v>52</v>
      </c>
    </row>
    <row r="1099" spans="1:77" x14ac:dyDescent="0.2">
      <c r="A1099" t="s">
        <v>4052</v>
      </c>
      <c r="B1099" t="s">
        <v>2965</v>
      </c>
      <c r="C1099" t="s">
        <v>4231</v>
      </c>
      <c r="D1099" t="s">
        <v>4102</v>
      </c>
      <c r="E1099" t="s">
        <v>4233</v>
      </c>
      <c r="F1099" t="s">
        <v>118</v>
      </c>
      <c r="G1099" t="str">
        <f>HYPERLINK("https://vk.com/wall-27863223_292070?reply=292071")</f>
        <v>https://vk.com/wall-27863223_292070?reply=292071</v>
      </c>
      <c r="H1099" t="s">
        <v>119</v>
      </c>
      <c r="I1099" t="s">
        <v>4234</v>
      </c>
      <c r="J1099" t="str">
        <f>HYPERLINK("http://vk.com/id24852962")</f>
        <v>http://vk.com/id24852962</v>
      </c>
      <c r="K1099">
        <v>76</v>
      </c>
      <c r="L1099" t="s">
        <v>121</v>
      </c>
      <c r="N1099" t="s">
        <v>122</v>
      </c>
      <c r="O1099" t="s">
        <v>175</v>
      </c>
      <c r="P1099" t="str">
        <f>HYPERLINK("http://vk.com/club27863223")</f>
        <v>http://vk.com/club27863223</v>
      </c>
      <c r="Q1099">
        <v>134698</v>
      </c>
      <c r="R1099" t="s">
        <v>124</v>
      </c>
      <c r="S1099" t="s">
        <v>125</v>
      </c>
      <c r="T1099" t="s">
        <v>3682</v>
      </c>
      <c r="U1099" t="s">
        <v>4235</v>
      </c>
      <c r="W1099">
        <v>0</v>
      </c>
      <c r="X1099">
        <v>0</v>
      </c>
      <c r="AM1099" t="s">
        <v>129</v>
      </c>
      <c r="AN1099" t="s">
        <v>130</v>
      </c>
      <c r="AP1099" t="s">
        <v>41</v>
      </c>
      <c r="AU1099" t="s">
        <v>46</v>
      </c>
      <c r="AZ1099" t="s">
        <v>51</v>
      </c>
      <c r="BA1099" t="s">
        <v>52</v>
      </c>
    </row>
    <row r="1100" spans="1:77" x14ac:dyDescent="0.2">
      <c r="A1100" t="s">
        <v>4052</v>
      </c>
      <c r="B1100" t="s">
        <v>1437</v>
      </c>
      <c r="C1100" t="s">
        <v>4236</v>
      </c>
      <c r="D1100" t="s">
        <v>4237</v>
      </c>
      <c r="E1100" t="s">
        <v>4238</v>
      </c>
      <c r="F1100" t="s">
        <v>118</v>
      </c>
      <c r="G1100" t="str">
        <f>HYPERLINK("https://vk.com/wall-52686519_25895?reply=25898")</f>
        <v>https://vk.com/wall-52686519_25895?reply=25898</v>
      </c>
      <c r="H1100" t="s">
        <v>119</v>
      </c>
      <c r="I1100" t="s">
        <v>4239</v>
      </c>
      <c r="J1100" t="str">
        <f>HYPERLINK("http://vk.com/id236753990")</f>
        <v>http://vk.com/id236753990</v>
      </c>
      <c r="K1100">
        <v>1024</v>
      </c>
      <c r="L1100" t="s">
        <v>121</v>
      </c>
      <c r="M1100">
        <v>36</v>
      </c>
      <c r="N1100" t="s">
        <v>122</v>
      </c>
      <c r="O1100" t="s">
        <v>4240</v>
      </c>
      <c r="P1100" t="str">
        <f>HYPERLINK("http://vk.com/club52686519")</f>
        <v>http://vk.com/club52686519</v>
      </c>
      <c r="Q1100">
        <v>19756</v>
      </c>
      <c r="R1100" t="s">
        <v>124</v>
      </c>
      <c r="S1100" t="s">
        <v>125</v>
      </c>
      <c r="T1100" t="s">
        <v>759</v>
      </c>
      <c r="U1100" t="s">
        <v>2080</v>
      </c>
      <c r="AM1100" t="s">
        <v>129</v>
      </c>
      <c r="AN1100" t="s">
        <v>130</v>
      </c>
      <c r="AP1100" t="s">
        <v>41</v>
      </c>
      <c r="AU1100" t="s">
        <v>46</v>
      </c>
      <c r="AY1100" t="s">
        <v>50</v>
      </c>
      <c r="AZ1100" t="s">
        <v>51</v>
      </c>
      <c r="BA1100" t="s">
        <v>52</v>
      </c>
    </row>
    <row r="1101" spans="1:77" x14ac:dyDescent="0.2">
      <c r="A1101" t="s">
        <v>4052</v>
      </c>
      <c r="B1101" t="s">
        <v>2993</v>
      </c>
      <c r="C1101" t="s">
        <v>4241</v>
      </c>
      <c r="D1101" t="s">
        <v>2833</v>
      </c>
      <c r="E1101" t="s">
        <v>4242</v>
      </c>
      <c r="F1101" t="s">
        <v>118</v>
      </c>
      <c r="G1101" t="str">
        <f>HYPERLINK("https://ok.ru/group/51085510115462/topic/153410793088390#MTYyNzA1MzY0OTM2OTotMTQ0MTk6MTYyNzA1MzY0OTM2OToxNTM0MTA3OTMwODgzOTA6MQ==")</f>
        <v>https://ok.ru/group/51085510115462/topic/153410793088390#MTYyNzA1MzY0OTM2OTotMTQ0MTk6MTYyNzA1MzY0OTM2OToxNTM0MTA3OTMwODgzOTA6MQ==</v>
      </c>
      <c r="H1101" t="s">
        <v>119</v>
      </c>
      <c r="I1101" t="s">
        <v>175</v>
      </c>
      <c r="J1101" t="str">
        <f>HYPERLINK("https://ok.ru/group/51085510115462")</f>
        <v>https://ok.ru/group/51085510115462</v>
      </c>
      <c r="K1101">
        <v>94768</v>
      </c>
      <c r="L1101" t="s">
        <v>340</v>
      </c>
      <c r="N1101" t="s">
        <v>347</v>
      </c>
      <c r="O1101" t="s">
        <v>175</v>
      </c>
      <c r="P1101" t="str">
        <f>HYPERLINK("https://ok.ru/group/51085510115462")</f>
        <v>https://ok.ru/group/51085510115462</v>
      </c>
      <c r="Q1101">
        <v>94768</v>
      </c>
      <c r="R1101" t="s">
        <v>124</v>
      </c>
      <c r="W1101">
        <v>0</v>
      </c>
      <c r="X1101">
        <v>0</v>
      </c>
      <c r="AM1101" t="s">
        <v>129</v>
      </c>
      <c r="AN1101" t="s">
        <v>130</v>
      </c>
      <c r="BI1101" t="s">
        <v>60</v>
      </c>
    </row>
    <row r="1102" spans="1:77" x14ac:dyDescent="0.2">
      <c r="A1102" t="s">
        <v>4052</v>
      </c>
      <c r="B1102" t="s">
        <v>4243</v>
      </c>
      <c r="C1102" t="s">
        <v>4244</v>
      </c>
      <c r="D1102" t="s">
        <v>4245</v>
      </c>
      <c r="E1102" t="s">
        <v>4246</v>
      </c>
      <c r="F1102" t="s">
        <v>118</v>
      </c>
      <c r="G1102" t="str">
        <f>HYPERLINK("https://www.youtube.com/watch?v=92WMk-wyX1A&amp;lc=UgwF_jT-6s6IRQt2qdZ4AaABAg")</f>
        <v>https://www.youtube.com/watch?v=92WMk-wyX1A&amp;lc=UgwF_jT-6s6IRQt2qdZ4AaABAg</v>
      </c>
      <c r="H1102" t="s">
        <v>119</v>
      </c>
      <c r="I1102" t="s">
        <v>1310</v>
      </c>
      <c r="J1102" t="str">
        <f>HYPERLINK("https://www.youtube.com/channel/UCyAfnDZqRM3t3s0xUWm0FCw")</f>
        <v>https://www.youtube.com/channel/UCyAfnDZqRM3t3s0xUWm0FCw</v>
      </c>
      <c r="K1102">
        <v>4</v>
      </c>
      <c r="L1102" t="s">
        <v>121</v>
      </c>
      <c r="N1102" t="s">
        <v>248</v>
      </c>
      <c r="O1102" t="s">
        <v>4247</v>
      </c>
      <c r="P1102" t="str">
        <f>HYPERLINK("https://www.youtube.com/channel/UCNkPUlcn9KXUO4KW790r_hg")</f>
        <v>https://www.youtube.com/channel/UCNkPUlcn9KXUO4KW790r_hg</v>
      </c>
      <c r="Q1102">
        <v>13600</v>
      </c>
      <c r="R1102" t="s">
        <v>124</v>
      </c>
      <c r="S1102" t="s">
        <v>125</v>
      </c>
      <c r="W1102">
        <v>0</v>
      </c>
      <c r="X1102">
        <v>0</v>
      </c>
      <c r="AE1102">
        <v>3</v>
      </c>
      <c r="AM1102" t="s">
        <v>129</v>
      </c>
      <c r="AN1102" t="s">
        <v>130</v>
      </c>
      <c r="AP1102" t="s">
        <v>41</v>
      </c>
      <c r="AT1102" t="s">
        <v>45</v>
      </c>
      <c r="AZ1102" t="s">
        <v>51</v>
      </c>
      <c r="BA1102" t="s">
        <v>52</v>
      </c>
    </row>
    <row r="1103" spans="1:77" x14ac:dyDescent="0.2">
      <c r="A1103" t="s">
        <v>4052</v>
      </c>
      <c r="B1103" t="s">
        <v>2472</v>
      </c>
      <c r="C1103" t="s">
        <v>4248</v>
      </c>
      <c r="D1103" t="s">
        <v>204</v>
      </c>
      <c r="E1103" t="s">
        <v>4249</v>
      </c>
      <c r="F1103" t="s">
        <v>180</v>
      </c>
      <c r="G1103" t="str">
        <f>HYPERLINK("https://play.google.com/store/apps/details?id=ru.iflex.android.a3colortv&amp;reviewId=gp:AOqpTOE0GD0bcBD7dzlou8nCwF5XAE5UiqSg5VpRxlC0x91uzUZJzZZpCOVMIj13punmNbSmTJtKj7V4J7A8gw")</f>
        <v>https://play.google.com/store/apps/details?id=ru.iflex.android.a3colortv&amp;reviewId=gp:AOqpTOE0GD0bcBD7dzlou8nCwF5XAE5UiqSg5VpRxlC0x91uzUZJzZZpCOVMIj13punmNbSmTJtKj7V4J7A8gw</v>
      </c>
      <c r="H1103" t="s">
        <v>181</v>
      </c>
      <c r="I1103" t="s">
        <v>4250</v>
      </c>
      <c r="J1103" t="str">
        <f>HYPERLINK("https://plus.google.com/101998307888415951827")</f>
        <v>https://plus.google.com/101998307888415951827</v>
      </c>
      <c r="L1103" t="s">
        <v>121</v>
      </c>
      <c r="N1103" t="s">
        <v>207</v>
      </c>
      <c r="O1103" t="s">
        <v>204</v>
      </c>
      <c r="P1103" t="str">
        <f>HYPERLINK("https://play.google.com/store/apps/details?id=ru.iflex.android.a3colortv&amp;hl=ru")</f>
        <v>https://play.google.com/store/apps/details?id=ru.iflex.android.a3colortv&amp;hl=ru</v>
      </c>
      <c r="R1103" t="s">
        <v>184</v>
      </c>
      <c r="S1103" t="s">
        <v>125</v>
      </c>
      <c r="W1103">
        <v>0</v>
      </c>
      <c r="X1103">
        <v>0</v>
      </c>
      <c r="AH1103">
        <v>5</v>
      </c>
      <c r="AM1103" t="s">
        <v>129</v>
      </c>
      <c r="AN1103" t="s">
        <v>130</v>
      </c>
      <c r="AP1103" t="s">
        <v>41</v>
      </c>
      <c r="AZ1103" t="s">
        <v>51</v>
      </c>
      <c r="BA1103" t="s">
        <v>52</v>
      </c>
      <c r="BQ1103" t="s">
        <v>68</v>
      </c>
    </row>
    <row r="1104" spans="1:77" x14ac:dyDescent="0.2">
      <c r="A1104" t="s">
        <v>4052</v>
      </c>
      <c r="B1104" t="s">
        <v>4251</v>
      </c>
      <c r="C1104" t="s">
        <v>4252</v>
      </c>
      <c r="D1104" t="s">
        <v>4219</v>
      </c>
      <c r="E1104" t="s">
        <v>4253</v>
      </c>
      <c r="F1104" t="s">
        <v>118</v>
      </c>
      <c r="G1104" t="str">
        <f>HYPERLINK("https://vk.com/wall-22935147_368633?reply=368639")</f>
        <v>https://vk.com/wall-22935147_368633?reply=368639</v>
      </c>
      <c r="H1104" t="s">
        <v>181</v>
      </c>
      <c r="I1104" t="s">
        <v>2979</v>
      </c>
      <c r="J1104" t="str">
        <f>HYPERLINK("http://vk.com/id597326265")</f>
        <v>http://vk.com/id597326265</v>
      </c>
      <c r="K1104">
        <v>13</v>
      </c>
      <c r="L1104" t="s">
        <v>121</v>
      </c>
      <c r="M1104">
        <v>42</v>
      </c>
      <c r="N1104" t="s">
        <v>122</v>
      </c>
      <c r="O1104" t="s">
        <v>1093</v>
      </c>
      <c r="P1104" t="str">
        <f>HYPERLINK("http://vk.com/club22935147")</f>
        <v>http://vk.com/club22935147</v>
      </c>
      <c r="Q1104">
        <v>8943</v>
      </c>
      <c r="R1104" t="s">
        <v>124</v>
      </c>
      <c r="S1104" t="s">
        <v>125</v>
      </c>
      <c r="T1104" t="s">
        <v>264</v>
      </c>
      <c r="U1104" t="s">
        <v>265</v>
      </c>
      <c r="W1104">
        <v>0</v>
      </c>
      <c r="X1104">
        <v>0</v>
      </c>
      <c r="AM1104" t="s">
        <v>129</v>
      </c>
      <c r="AN1104" t="s">
        <v>130</v>
      </c>
      <c r="AP1104" t="s">
        <v>41</v>
      </c>
      <c r="AU1104" t="s">
        <v>46</v>
      </c>
      <c r="AZ1104" t="s">
        <v>51</v>
      </c>
      <c r="BA1104" t="s">
        <v>52</v>
      </c>
    </row>
    <row r="1105" spans="1:89" x14ac:dyDescent="0.2">
      <c r="A1105" t="s">
        <v>4052</v>
      </c>
      <c r="B1105" t="s">
        <v>913</v>
      </c>
      <c r="C1105" t="s">
        <v>4254</v>
      </c>
      <c r="D1105" t="s">
        <v>4255</v>
      </c>
      <c r="E1105" t="s">
        <v>4256</v>
      </c>
      <c r="F1105" t="s">
        <v>118</v>
      </c>
      <c r="G1105" t="str">
        <f>HYPERLINK("https://vk.com/wall-46768714_796995?reply=797033")</f>
        <v>https://vk.com/wall-46768714_796995?reply=797033</v>
      </c>
      <c r="H1105" t="s">
        <v>119</v>
      </c>
      <c r="I1105" t="s">
        <v>4257</v>
      </c>
      <c r="J1105" t="str">
        <f>HYPERLINK("http://vk.com/id378579095")</f>
        <v>http://vk.com/id378579095</v>
      </c>
      <c r="K1105">
        <v>81</v>
      </c>
      <c r="L1105" t="s">
        <v>151</v>
      </c>
      <c r="N1105" t="s">
        <v>122</v>
      </c>
      <c r="O1105" t="s">
        <v>4258</v>
      </c>
      <c r="P1105" t="str">
        <f>HYPERLINK("http://vk.com/club46768714")</f>
        <v>http://vk.com/club46768714</v>
      </c>
      <c r="Q1105">
        <v>42801</v>
      </c>
      <c r="R1105" t="s">
        <v>124</v>
      </c>
      <c r="S1105" t="s">
        <v>125</v>
      </c>
      <c r="T1105" t="s">
        <v>153</v>
      </c>
      <c r="U1105" t="s">
        <v>4259</v>
      </c>
      <c r="AM1105" t="s">
        <v>129</v>
      </c>
      <c r="AN1105" t="s">
        <v>130</v>
      </c>
      <c r="AP1105" t="s">
        <v>41</v>
      </c>
      <c r="AW1105" t="s">
        <v>48</v>
      </c>
      <c r="AZ1105" t="s">
        <v>51</v>
      </c>
      <c r="BA1105" t="s">
        <v>52</v>
      </c>
    </row>
    <row r="1106" spans="1:89" x14ac:dyDescent="0.2">
      <c r="A1106" t="s">
        <v>4052</v>
      </c>
      <c r="B1106" t="s">
        <v>1458</v>
      </c>
      <c r="C1106" t="s">
        <v>4260</v>
      </c>
      <c r="D1106" t="s">
        <v>4261</v>
      </c>
      <c r="E1106" t="s">
        <v>4262</v>
      </c>
      <c r="F1106" t="s">
        <v>180</v>
      </c>
      <c r="G1106" t="str">
        <f>HYPERLINK("https://www.google.com/maps/reviews/data=!4m5!14m4!1m3!1m2!1s104138719662564411039!2s0x0:0xdc023138644d8db5?hl=en-NL")</f>
        <v>https://www.google.com/maps/reviews/data=!4m5!14m4!1m3!1m2!1s104138719662564411039!2s0x0:0xdc023138644d8db5?hl=en-NL</v>
      </c>
      <c r="H1106" t="s">
        <v>181</v>
      </c>
      <c r="I1106" t="s">
        <v>4263</v>
      </c>
      <c r="J1106" t="str">
        <f>HYPERLINK("https://maps.google.com/maps/contrib/104138719662564411039")</f>
        <v>https://maps.google.com/maps/contrib/104138719662564411039</v>
      </c>
      <c r="N1106" t="s">
        <v>673</v>
      </c>
      <c r="O1106" t="s">
        <v>4261</v>
      </c>
      <c r="P1106" t="str">
        <f>HYPERLINK("https://maps.google.com/maps/place/data=!3m1!4b1!4m5!3m4!1s0x0:0xdc023138644d8db5!8m2!3d52.724240!4d41.444700")</f>
        <v>https://maps.google.com/maps/place/data=!3m1!4b1!4m5!3m4!1s0x0:0xdc023138644d8db5!8m2!3d52.724240!4d41.444700</v>
      </c>
      <c r="R1106" t="s">
        <v>184</v>
      </c>
      <c r="S1106" t="s">
        <v>125</v>
      </c>
      <c r="T1106" t="s">
        <v>1343</v>
      </c>
      <c r="U1106" t="s">
        <v>1344</v>
      </c>
      <c r="W1106">
        <v>0</v>
      </c>
      <c r="X1106">
        <v>0</v>
      </c>
      <c r="AH1106">
        <v>5</v>
      </c>
      <c r="AM1106" t="s">
        <v>129</v>
      </c>
      <c r="AN1106" t="s">
        <v>130</v>
      </c>
      <c r="AP1106" t="s">
        <v>41</v>
      </c>
      <c r="AX1106" t="s">
        <v>49</v>
      </c>
      <c r="AZ1106" t="s">
        <v>51</v>
      </c>
      <c r="BA1106" t="s">
        <v>52</v>
      </c>
      <c r="BM1106" t="s">
        <v>64</v>
      </c>
    </row>
    <row r="1107" spans="1:89" x14ac:dyDescent="0.2">
      <c r="A1107" t="s">
        <v>4052</v>
      </c>
      <c r="B1107" t="s">
        <v>4264</v>
      </c>
      <c r="C1107" t="s">
        <v>4265</v>
      </c>
      <c r="D1107" t="s">
        <v>4266</v>
      </c>
      <c r="E1107" t="s">
        <v>4267</v>
      </c>
      <c r="F1107" t="s">
        <v>118</v>
      </c>
      <c r="G1107" t="str">
        <f>HYPERLINK("https://www.facebook.com/groups/2441523389276822/permalink/4260696660692810/?comment_id=4261204930641983&amp;reply_comment_id=4261375563958253")</f>
        <v>https://www.facebook.com/groups/2441523389276822/permalink/4260696660692810/?comment_id=4261204930641983&amp;reply_comment_id=4261375563958253</v>
      </c>
      <c r="H1107" t="s">
        <v>119</v>
      </c>
      <c r="I1107" t="s">
        <v>4268</v>
      </c>
      <c r="J1107" t="str">
        <f>HYPERLINK("https://www.facebook.com/100009287794543")</f>
        <v>https://www.facebook.com/100009287794543</v>
      </c>
      <c r="K1107">
        <v>271</v>
      </c>
      <c r="L1107" t="s">
        <v>121</v>
      </c>
      <c r="N1107" t="s">
        <v>305</v>
      </c>
      <c r="O1107" t="s">
        <v>4269</v>
      </c>
      <c r="P1107" t="str">
        <f>HYPERLINK("https://www.facebook.com/2441523389276822")</f>
        <v>https://www.facebook.com/2441523389276822</v>
      </c>
      <c r="Q1107">
        <v>652</v>
      </c>
      <c r="R1107" t="s">
        <v>124</v>
      </c>
      <c r="S1107" t="s">
        <v>125</v>
      </c>
      <c r="T1107" t="s">
        <v>169</v>
      </c>
      <c r="U1107" t="s">
        <v>169</v>
      </c>
      <c r="W1107">
        <v>0</v>
      </c>
      <c r="X1107">
        <v>0</v>
      </c>
      <c r="AE1107">
        <v>0</v>
      </c>
      <c r="AM1107" t="s">
        <v>129</v>
      </c>
      <c r="AN1107" t="s">
        <v>130</v>
      </c>
      <c r="AP1107" t="s">
        <v>41</v>
      </c>
      <c r="AY1107" t="s">
        <v>50</v>
      </c>
      <c r="AZ1107" t="s">
        <v>51</v>
      </c>
      <c r="BA1107" t="s">
        <v>52</v>
      </c>
    </row>
    <row r="1108" spans="1:89" x14ac:dyDescent="0.2">
      <c r="A1108" t="s">
        <v>4052</v>
      </c>
      <c r="B1108" t="s">
        <v>3041</v>
      </c>
      <c r="C1108" t="s">
        <v>4270</v>
      </c>
      <c r="D1108" t="s">
        <v>3301</v>
      </c>
      <c r="E1108" t="s">
        <v>4271</v>
      </c>
      <c r="F1108" t="s">
        <v>118</v>
      </c>
      <c r="G1108" t="str">
        <f>HYPERLINK("https://vk.com/wall-27863223_292057?reply=292066")</f>
        <v>https://vk.com/wall-27863223_292057?reply=292066</v>
      </c>
      <c r="H1108" t="s">
        <v>228</v>
      </c>
      <c r="I1108" t="s">
        <v>4272</v>
      </c>
      <c r="J1108" t="str">
        <f>HYPERLINK("http://vk.com/id91633583")</f>
        <v>http://vk.com/id91633583</v>
      </c>
      <c r="K1108">
        <v>191</v>
      </c>
      <c r="L1108" t="s">
        <v>121</v>
      </c>
      <c r="M1108">
        <v>39</v>
      </c>
      <c r="N1108" t="s">
        <v>122</v>
      </c>
      <c r="O1108" t="s">
        <v>175</v>
      </c>
      <c r="P1108" t="str">
        <f>HYPERLINK("http://vk.com/club27863223")</f>
        <v>http://vk.com/club27863223</v>
      </c>
      <c r="Q1108">
        <v>134698</v>
      </c>
      <c r="R1108" t="s">
        <v>124</v>
      </c>
      <c r="S1108" t="s">
        <v>125</v>
      </c>
      <c r="T1108" t="s">
        <v>1027</v>
      </c>
      <c r="U1108" t="s">
        <v>1028</v>
      </c>
      <c r="AJ1108" t="s">
        <v>3557</v>
      </c>
      <c r="AK1108" t="s">
        <v>129</v>
      </c>
      <c r="AL1108" t="str">
        <f>HYPERLINK("https://sun9-49.userapi.com/impg/RrCiGSvOV7cYjLrSgHtvPjNqC8xRNy_g3L00wg/dYawRwaifpI.jpg?size=1600x894&amp;quality=96&amp;sign=771eec3a92de024ce436446c63233c66&amp;c_uniq_tag=QxLH77hKw4OggBRp54o4gJHu59ybtE9U2EfqKn_Wcss&amp;type=album")</f>
        <v>https://sun9-49.userapi.com/impg/RrCiGSvOV7cYjLrSgHtvPjNqC8xRNy_g3L00wg/dYawRwaifpI.jpg?size=1600x894&amp;quality=96&amp;sign=771eec3a92de024ce436446c63233c66&amp;c_uniq_tag=QxLH77hKw4OggBRp54o4gJHu59ybtE9U2EfqKn_Wcss&amp;type=album</v>
      </c>
      <c r="AM1108" t="s">
        <v>129</v>
      </c>
      <c r="AN1108" t="s">
        <v>130</v>
      </c>
      <c r="AP1108" t="s">
        <v>41</v>
      </c>
      <c r="AZ1108" t="s">
        <v>51</v>
      </c>
      <c r="BA1108" t="s">
        <v>52</v>
      </c>
      <c r="BR1108" t="s">
        <v>69</v>
      </c>
    </row>
    <row r="1109" spans="1:89" x14ac:dyDescent="0.2">
      <c r="A1109" t="s">
        <v>4052</v>
      </c>
      <c r="B1109" t="s">
        <v>2517</v>
      </c>
      <c r="C1109" t="s">
        <v>4273</v>
      </c>
      <c r="D1109" t="s">
        <v>4274</v>
      </c>
      <c r="E1109" t="s">
        <v>4275</v>
      </c>
      <c r="F1109" t="s">
        <v>180</v>
      </c>
      <c r="G1109" t="str">
        <f>HYPERLINK("https://4pda.to/forum/index.php?showtopic=544619&amp;st=76040#entry108169013")</f>
        <v>https://4pda.to/forum/index.php?showtopic=544619&amp;st=76040#entry108169013</v>
      </c>
      <c r="H1109" t="s">
        <v>119</v>
      </c>
      <c r="I1109" t="s">
        <v>4276</v>
      </c>
      <c r="J1109" t="str">
        <f>HYPERLINK("https://4pda.to/forum/index.php?showuser=1397932")</f>
        <v>https://4pda.to/forum/index.php?showuser=1397932</v>
      </c>
      <c r="N1109" t="s">
        <v>293</v>
      </c>
      <c r="O1109" t="s">
        <v>1526</v>
      </c>
      <c r="P1109" t="str">
        <f>HYPERLINK("https://4pda.to/forum/index.php?showforum=98")</f>
        <v>https://4pda.to/forum/index.php?showforum=98</v>
      </c>
      <c r="R1109" t="s">
        <v>295</v>
      </c>
      <c r="S1109" t="s">
        <v>125</v>
      </c>
      <c r="AM1109" t="s">
        <v>129</v>
      </c>
      <c r="AN1109" t="s">
        <v>130</v>
      </c>
      <c r="AP1109" t="s">
        <v>41</v>
      </c>
      <c r="AT1109" t="s">
        <v>45</v>
      </c>
      <c r="AZ1109" t="s">
        <v>51</v>
      </c>
      <c r="BA1109" t="s">
        <v>52</v>
      </c>
    </row>
    <row r="1110" spans="1:89" x14ac:dyDescent="0.2">
      <c r="A1110" t="s">
        <v>4052</v>
      </c>
      <c r="B1110" t="s">
        <v>4277</v>
      </c>
      <c r="C1110" t="s">
        <v>4273</v>
      </c>
      <c r="D1110" t="s">
        <v>4274</v>
      </c>
      <c r="E1110" t="s">
        <v>4278</v>
      </c>
      <c r="F1110" t="s">
        <v>180</v>
      </c>
      <c r="G1110" t="str">
        <f>HYPERLINK("https://4pda.to/forum/index.php?showtopic=544619&amp;st=76040#entry108168857")</f>
        <v>https://4pda.to/forum/index.php?showtopic=544619&amp;st=76040#entry108168857</v>
      </c>
      <c r="H1110" t="s">
        <v>119</v>
      </c>
      <c r="I1110" t="s">
        <v>4279</v>
      </c>
      <c r="J1110" t="str">
        <f>HYPERLINK("https://4pda.to/forum/index.php?showuser=3137611")</f>
        <v>https://4pda.to/forum/index.php?showuser=3137611</v>
      </c>
      <c r="N1110" t="s">
        <v>293</v>
      </c>
      <c r="O1110" t="s">
        <v>1526</v>
      </c>
      <c r="P1110" t="str">
        <f>HYPERLINK("https://4pda.to/forum/index.php?showforum=98")</f>
        <v>https://4pda.to/forum/index.php?showforum=98</v>
      </c>
      <c r="R1110" t="s">
        <v>295</v>
      </c>
      <c r="S1110" t="s">
        <v>125</v>
      </c>
      <c r="AM1110" t="s">
        <v>129</v>
      </c>
      <c r="AN1110" t="s">
        <v>130</v>
      </c>
      <c r="AP1110" t="s">
        <v>41</v>
      </c>
      <c r="AY1110" t="s">
        <v>50</v>
      </c>
      <c r="AZ1110" t="s">
        <v>51</v>
      </c>
      <c r="BA1110" t="s">
        <v>52</v>
      </c>
      <c r="BM1110" t="s">
        <v>64</v>
      </c>
    </row>
    <row r="1111" spans="1:89" x14ac:dyDescent="0.2">
      <c r="A1111" t="s">
        <v>4052</v>
      </c>
      <c r="B1111" t="s">
        <v>3061</v>
      </c>
      <c r="C1111" t="s">
        <v>4280</v>
      </c>
      <c r="D1111" t="s">
        <v>1697</v>
      </c>
      <c r="E1111" t="s">
        <v>4281</v>
      </c>
      <c r="F1111" t="s">
        <v>180</v>
      </c>
      <c r="G1111" t="str">
        <f>HYPERLINK("https://apps.apple.com/ru/app/мой-триколор/id1204321194#7609021674")</f>
        <v>https://apps.apple.com/ru/app/мой-триколор/id1204321194#7609021674</v>
      </c>
      <c r="H1111" t="s">
        <v>181</v>
      </c>
      <c r="I1111" t="s">
        <v>4282</v>
      </c>
      <c r="J1111" t="str">
        <f>HYPERLINK("https://itunes.apple.com/reviews?userProfileId=702857089")</f>
        <v>https://itunes.apple.com/reviews?userProfileId=702857089</v>
      </c>
      <c r="N1111" t="s">
        <v>1411</v>
      </c>
      <c r="O1111" t="s">
        <v>1697</v>
      </c>
      <c r="P1111" t="str">
        <f>HYPERLINK("https://apps.apple.com/ru/app/мой-триколор/id1204321194")</f>
        <v>https://apps.apple.com/ru/app/мой-триколор/id1204321194</v>
      </c>
      <c r="R1111" t="s">
        <v>184</v>
      </c>
      <c r="S1111" t="s">
        <v>125</v>
      </c>
      <c r="AH1111">
        <v>5</v>
      </c>
      <c r="AM1111" t="s">
        <v>129</v>
      </c>
      <c r="AN1111" t="s">
        <v>130</v>
      </c>
      <c r="AP1111" t="s">
        <v>41</v>
      </c>
      <c r="AZ1111" t="s">
        <v>51</v>
      </c>
      <c r="BA1111" t="s">
        <v>52</v>
      </c>
      <c r="BQ1111" t="s">
        <v>68</v>
      </c>
    </row>
    <row r="1112" spans="1:89" x14ac:dyDescent="0.2">
      <c r="A1112" t="s">
        <v>4052</v>
      </c>
      <c r="B1112" t="s">
        <v>4283</v>
      </c>
      <c r="C1112" t="s">
        <v>4284</v>
      </c>
      <c r="D1112" t="s">
        <v>4285</v>
      </c>
      <c r="E1112" t="s">
        <v>4286</v>
      </c>
      <c r="F1112" t="s">
        <v>118</v>
      </c>
      <c r="G1112" t="str">
        <f>HYPERLINK("https://vk.com/wall-61101621_254745?reply=254751&amp;thread=254749")</f>
        <v>https://vk.com/wall-61101621_254745?reply=254751&amp;thread=254749</v>
      </c>
      <c r="H1112" t="s">
        <v>119</v>
      </c>
      <c r="I1112" t="s">
        <v>4287</v>
      </c>
      <c r="J1112" t="str">
        <f>HYPERLINK("http://vk.com/id617199246")</f>
        <v>http://vk.com/id617199246</v>
      </c>
      <c r="K1112">
        <v>74</v>
      </c>
      <c r="L1112" t="s">
        <v>121</v>
      </c>
      <c r="M1112">
        <v>24</v>
      </c>
      <c r="N1112" t="s">
        <v>122</v>
      </c>
      <c r="O1112" t="s">
        <v>160</v>
      </c>
      <c r="P1112" t="str">
        <f>HYPERLINK("http://vk.com/club61101621")</f>
        <v>http://vk.com/club61101621</v>
      </c>
      <c r="Q1112">
        <v>21119</v>
      </c>
      <c r="R1112" t="s">
        <v>124</v>
      </c>
      <c r="S1112" t="s">
        <v>125</v>
      </c>
      <c r="AM1112" t="s">
        <v>129</v>
      </c>
      <c r="AN1112" t="s">
        <v>130</v>
      </c>
      <c r="AP1112" t="s">
        <v>41</v>
      </c>
      <c r="AU1112" t="s">
        <v>46</v>
      </c>
      <c r="AZ1112" t="s">
        <v>51</v>
      </c>
      <c r="BA1112" t="s">
        <v>52</v>
      </c>
    </row>
    <row r="1113" spans="1:89" x14ac:dyDescent="0.2">
      <c r="A1113" t="s">
        <v>4052</v>
      </c>
      <c r="B1113" t="s">
        <v>4288</v>
      </c>
      <c r="C1113" t="s">
        <v>4289</v>
      </c>
      <c r="D1113" t="s">
        <v>4290</v>
      </c>
      <c r="E1113" t="s">
        <v>4291</v>
      </c>
      <c r="F1113" t="s">
        <v>118</v>
      </c>
      <c r="G1113" t="str">
        <f>HYPERLINK("https://vk.com/wall-27863223_292056?reply=292059")</f>
        <v>https://vk.com/wall-27863223_292056?reply=292059</v>
      </c>
      <c r="H1113" t="s">
        <v>119</v>
      </c>
      <c r="I1113" t="s">
        <v>2603</v>
      </c>
      <c r="J1113" t="str">
        <f>HYPERLINK("http://vk.com/id660908621")</f>
        <v>http://vk.com/id660908621</v>
      </c>
      <c r="K1113">
        <v>0</v>
      </c>
      <c r="L1113" t="s">
        <v>121</v>
      </c>
      <c r="M1113">
        <v>22</v>
      </c>
      <c r="N1113" t="s">
        <v>122</v>
      </c>
      <c r="O1113" t="s">
        <v>175</v>
      </c>
      <c r="P1113" t="str">
        <f>HYPERLINK("http://vk.com/club27863223")</f>
        <v>http://vk.com/club27863223</v>
      </c>
      <c r="Q1113">
        <v>134698</v>
      </c>
      <c r="R1113" t="s">
        <v>124</v>
      </c>
      <c r="W1113">
        <v>0</v>
      </c>
      <c r="X1113">
        <v>0</v>
      </c>
      <c r="AM1113" t="s">
        <v>129</v>
      </c>
      <c r="AN1113" t="s">
        <v>130</v>
      </c>
      <c r="AP1113" t="s">
        <v>41</v>
      </c>
      <c r="AU1113" t="s">
        <v>46</v>
      </c>
      <c r="AY1113" t="s">
        <v>50</v>
      </c>
      <c r="AZ1113" t="s">
        <v>51</v>
      </c>
      <c r="BA1113" t="s">
        <v>52</v>
      </c>
    </row>
    <row r="1114" spans="1:89" x14ac:dyDescent="0.2">
      <c r="A1114" t="s">
        <v>4052</v>
      </c>
      <c r="B1114" t="s">
        <v>4288</v>
      </c>
      <c r="C1114" t="s">
        <v>4292</v>
      </c>
      <c r="D1114" t="s">
        <v>3301</v>
      </c>
      <c r="E1114" t="s">
        <v>4291</v>
      </c>
      <c r="F1114" t="s">
        <v>118</v>
      </c>
      <c r="G1114" t="str">
        <f>HYPERLINK("https://vk.com/wall-27863223_292057?reply=292058")</f>
        <v>https://vk.com/wall-27863223_292057?reply=292058</v>
      </c>
      <c r="H1114" t="s">
        <v>119</v>
      </c>
      <c r="I1114" t="s">
        <v>2603</v>
      </c>
      <c r="J1114" t="str">
        <f>HYPERLINK("http://vk.com/id660908621")</f>
        <v>http://vk.com/id660908621</v>
      </c>
      <c r="K1114">
        <v>0</v>
      </c>
      <c r="L1114" t="s">
        <v>121</v>
      </c>
      <c r="M1114">
        <v>22</v>
      </c>
      <c r="N1114" t="s">
        <v>122</v>
      </c>
      <c r="O1114" t="s">
        <v>175</v>
      </c>
      <c r="P1114" t="str">
        <f>HYPERLINK("http://vk.com/club27863223")</f>
        <v>http://vk.com/club27863223</v>
      </c>
      <c r="Q1114">
        <v>134698</v>
      </c>
      <c r="R1114" t="s">
        <v>124</v>
      </c>
      <c r="AM1114" t="s">
        <v>129</v>
      </c>
      <c r="AN1114" t="s">
        <v>130</v>
      </c>
      <c r="AP1114" t="s">
        <v>41</v>
      </c>
      <c r="AU1114" t="s">
        <v>46</v>
      </c>
      <c r="AY1114" t="s">
        <v>50</v>
      </c>
      <c r="AZ1114" t="s">
        <v>51</v>
      </c>
      <c r="BA1114" t="s">
        <v>52</v>
      </c>
    </row>
    <row r="1115" spans="1:89" x14ac:dyDescent="0.2">
      <c r="A1115" t="s">
        <v>4052</v>
      </c>
      <c r="B1115" t="s">
        <v>4293</v>
      </c>
      <c r="C1115" t="s">
        <v>4294</v>
      </c>
      <c r="D1115" t="s">
        <v>4295</v>
      </c>
      <c r="E1115" t="s">
        <v>4296</v>
      </c>
      <c r="F1115" t="s">
        <v>118</v>
      </c>
      <c r="G1115" t="str">
        <f>HYPERLINK("https://otzovik.com/review_12199254.html#90030430")</f>
        <v>https://otzovik.com/review_12199254.html#90030430</v>
      </c>
      <c r="H1115" t="s">
        <v>228</v>
      </c>
      <c r="I1115" t="s">
        <v>4297</v>
      </c>
      <c r="J1115" t="str">
        <f>HYPERLINK("http://otzovik.com/profile/AndBaks")</f>
        <v>http://otzovik.com/profile/AndBaks</v>
      </c>
      <c r="N1115" t="s">
        <v>390</v>
      </c>
      <c r="O1115" t="s">
        <v>4298</v>
      </c>
      <c r="P1115" t="str">
        <f>HYPERLINK("https://otzovik.com/reviews/sputnikovoe_televidenie_mts_russia/")</f>
        <v>https://otzovik.com/reviews/sputnikovoe_televidenie_mts_russia/</v>
      </c>
      <c r="R1115" t="s">
        <v>184</v>
      </c>
      <c r="S1115" t="s">
        <v>125</v>
      </c>
      <c r="AM1115" t="s">
        <v>129</v>
      </c>
      <c r="AN1115" t="s">
        <v>130</v>
      </c>
      <c r="AP1115" t="s">
        <v>41</v>
      </c>
      <c r="AT1115" t="s">
        <v>45</v>
      </c>
      <c r="AY1115" t="s">
        <v>50</v>
      </c>
      <c r="AZ1115" t="s">
        <v>51</v>
      </c>
      <c r="BA1115" t="s">
        <v>52</v>
      </c>
    </row>
    <row r="1116" spans="1:89" x14ac:dyDescent="0.2">
      <c r="A1116" t="s">
        <v>4052</v>
      </c>
      <c r="B1116" t="s">
        <v>2026</v>
      </c>
      <c r="C1116" t="s">
        <v>4299</v>
      </c>
      <c r="D1116" t="s">
        <v>4300</v>
      </c>
      <c r="E1116" t="s">
        <v>4301</v>
      </c>
      <c r="F1116" t="s">
        <v>180</v>
      </c>
      <c r="G1116" t="str">
        <f>HYPERLINK("https://www.cableman.ru/content/trikolor-vzyskal-cherez-sud-sotni-tysyach-rublei-s-saitov-dvoinikov")</f>
        <v>https://www.cableman.ru/content/trikolor-vzyskal-cherez-sud-sotni-tysyach-rublei-s-saitov-dvoinikov</v>
      </c>
      <c r="H1116" t="s">
        <v>119</v>
      </c>
      <c r="N1116" t="s">
        <v>934</v>
      </c>
      <c r="R1116" t="s">
        <v>785</v>
      </c>
      <c r="S1116" t="s">
        <v>125</v>
      </c>
      <c r="AJ1116" t="s">
        <v>588</v>
      </c>
      <c r="AK1116" t="s">
        <v>876</v>
      </c>
      <c r="AL1116" t="str">
        <f>HYPERLINK("https://www.cableman.ru/sites/all/themes/openpublish_theme/images/logo-1.png")</f>
        <v>https://www.cableman.ru/sites/all/themes/openpublish_theme/images/logo-1.png</v>
      </c>
      <c r="AM1116" t="s">
        <v>129</v>
      </c>
      <c r="AN1116" t="s">
        <v>130</v>
      </c>
      <c r="AV1116" t="s">
        <v>47</v>
      </c>
    </row>
    <row r="1117" spans="1:89" x14ac:dyDescent="0.2">
      <c r="A1117" t="s">
        <v>4052</v>
      </c>
      <c r="B1117" t="s">
        <v>2026</v>
      </c>
      <c r="C1117" t="s">
        <v>4289</v>
      </c>
      <c r="D1117" t="s">
        <v>4302</v>
      </c>
      <c r="E1117" t="s">
        <v>4303</v>
      </c>
      <c r="F1117" t="s">
        <v>180</v>
      </c>
      <c r="G1117" t="str">
        <f>HYPERLINK("https://www.cableman.ru/content/trikolor-preduprezhdaet-o-saitakh-dvoinikakh")</f>
        <v>https://www.cableman.ru/content/trikolor-preduprezhdaet-o-saitakh-dvoinikakh</v>
      </c>
      <c r="H1117" t="s">
        <v>119</v>
      </c>
      <c r="N1117" t="s">
        <v>934</v>
      </c>
      <c r="R1117" t="s">
        <v>785</v>
      </c>
      <c r="S1117" t="s">
        <v>125</v>
      </c>
      <c r="AJ1117" t="s">
        <v>588</v>
      </c>
      <c r="AK1117" t="s">
        <v>876</v>
      </c>
      <c r="AL1117" t="str">
        <f>HYPERLINK("https://www.cableman.ru/sites/all/themes/openpublish_theme/images/logo-1.png")</f>
        <v>https://www.cableman.ru/sites/all/themes/openpublish_theme/images/logo-1.png</v>
      </c>
      <c r="AM1117" t="s">
        <v>129</v>
      </c>
      <c r="AN1117" t="s">
        <v>130</v>
      </c>
      <c r="AV1117" t="s">
        <v>47</v>
      </c>
    </row>
    <row r="1118" spans="1:89" x14ac:dyDescent="0.2">
      <c r="A1118" t="s">
        <v>4052</v>
      </c>
      <c r="B1118" t="s">
        <v>4304</v>
      </c>
      <c r="C1118" t="s">
        <v>4305</v>
      </c>
      <c r="D1118" t="s">
        <v>129</v>
      </c>
      <c r="E1118" t="s">
        <v>4306</v>
      </c>
      <c r="F1118" t="s">
        <v>180</v>
      </c>
      <c r="G1118" t="str">
        <f>HYPERLINK("https://vk.com/wall-203164403_803")</f>
        <v>https://vk.com/wall-203164403_803</v>
      </c>
      <c r="H1118" t="s">
        <v>119</v>
      </c>
      <c r="I1118" t="s">
        <v>4307</v>
      </c>
      <c r="J1118" t="str">
        <f>HYPERLINK("http://vk.com/club203164403")</f>
        <v>http://vk.com/club203164403</v>
      </c>
      <c r="K1118">
        <v>96</v>
      </c>
      <c r="L1118" t="s">
        <v>340</v>
      </c>
      <c r="N1118" t="s">
        <v>122</v>
      </c>
      <c r="O1118" t="s">
        <v>4307</v>
      </c>
      <c r="P1118" t="str">
        <f>HYPERLINK("http://vk.com/club203164403")</f>
        <v>http://vk.com/club203164403</v>
      </c>
      <c r="Q1118">
        <v>96</v>
      </c>
      <c r="R1118" t="s">
        <v>124</v>
      </c>
      <c r="S1118" t="s">
        <v>125</v>
      </c>
      <c r="W1118">
        <v>0</v>
      </c>
      <c r="X1118">
        <v>0</v>
      </c>
      <c r="AE1118">
        <v>0</v>
      </c>
      <c r="AF1118">
        <v>0</v>
      </c>
      <c r="AG1118">
        <v>28</v>
      </c>
      <c r="AM1118" t="s">
        <v>129</v>
      </c>
      <c r="AN1118" t="s">
        <v>130</v>
      </c>
      <c r="AP1118" t="s">
        <v>41</v>
      </c>
      <c r="AT1118" t="s">
        <v>45</v>
      </c>
      <c r="AZ1118" t="s">
        <v>51</v>
      </c>
      <c r="BA1118" t="s">
        <v>52</v>
      </c>
      <c r="BQ1118" t="s">
        <v>68</v>
      </c>
    </row>
    <row r="1119" spans="1:89" x14ac:dyDescent="0.2">
      <c r="A1119" t="s">
        <v>4052</v>
      </c>
      <c r="B1119" t="s">
        <v>2571</v>
      </c>
      <c r="C1119" t="s">
        <v>4308</v>
      </c>
      <c r="D1119" t="s">
        <v>4219</v>
      </c>
      <c r="E1119" t="s">
        <v>4309</v>
      </c>
      <c r="F1119" t="s">
        <v>118</v>
      </c>
      <c r="G1119" t="str">
        <f>HYPERLINK("https://vk.com/wall-22935147_368633?reply=368637")</f>
        <v>https://vk.com/wall-22935147_368633?reply=368637</v>
      </c>
      <c r="H1119" t="s">
        <v>119</v>
      </c>
      <c r="I1119" t="s">
        <v>4310</v>
      </c>
      <c r="J1119" t="str">
        <f>HYPERLINK("http://vk.com/id175290755")</f>
        <v>http://vk.com/id175290755</v>
      </c>
      <c r="K1119">
        <v>180</v>
      </c>
      <c r="L1119" t="s">
        <v>121</v>
      </c>
      <c r="M1119">
        <v>22</v>
      </c>
      <c r="N1119" t="s">
        <v>122</v>
      </c>
      <c r="O1119" t="s">
        <v>1093</v>
      </c>
      <c r="P1119" t="str">
        <f>HYPERLINK("http://vk.com/club22935147")</f>
        <v>http://vk.com/club22935147</v>
      </c>
      <c r="Q1119">
        <v>8943</v>
      </c>
      <c r="R1119" t="s">
        <v>124</v>
      </c>
      <c r="S1119" t="s">
        <v>125</v>
      </c>
      <c r="T1119" t="s">
        <v>1365</v>
      </c>
      <c r="U1119" t="s">
        <v>1366</v>
      </c>
      <c r="W1119">
        <v>0</v>
      </c>
      <c r="X1119">
        <v>0</v>
      </c>
      <c r="AM1119" t="s">
        <v>129</v>
      </c>
      <c r="AN1119" t="s">
        <v>130</v>
      </c>
      <c r="AP1119" t="s">
        <v>41</v>
      </c>
      <c r="AU1119" t="s">
        <v>46</v>
      </c>
      <c r="AZ1119" t="s">
        <v>51</v>
      </c>
      <c r="BA1119" t="s">
        <v>52</v>
      </c>
    </row>
    <row r="1120" spans="1:89" x14ac:dyDescent="0.2">
      <c r="A1120" t="s">
        <v>4052</v>
      </c>
      <c r="B1120" t="s">
        <v>3092</v>
      </c>
      <c r="C1120" t="s">
        <v>4311</v>
      </c>
      <c r="D1120" t="s">
        <v>175</v>
      </c>
      <c r="E1120" t="s">
        <v>4312</v>
      </c>
      <c r="F1120" t="s">
        <v>180</v>
      </c>
      <c r="G1120" t="str">
        <f>HYPERLINK("https://yandex.ru/maps/org/47006992790#zkxtgpTvYx8W9KCgsbswjsF9MEHldN")</f>
        <v>https://yandex.ru/maps/org/47006992790#zkxtgpTvYx8W9KCgsbswjsF9MEHldN</v>
      </c>
      <c r="H1120" t="s">
        <v>228</v>
      </c>
      <c r="I1120" t="s">
        <v>4313</v>
      </c>
      <c r="J1120" t="str">
        <f>HYPERLINK("https://yandex.ru/user/z35263yab2fatebt9q6rrfc6ac")</f>
        <v>https://yandex.ru/user/z35263yab2fatebt9q6rrfc6ac</v>
      </c>
      <c r="L1120" t="s">
        <v>121</v>
      </c>
      <c r="N1120" t="s">
        <v>236</v>
      </c>
      <c r="O1120" t="s">
        <v>175</v>
      </c>
      <c r="P1120" t="str">
        <f>HYPERLINK("https://yandex.ru/maps/org/47006992790")</f>
        <v>https://yandex.ru/maps/org/47006992790</v>
      </c>
      <c r="R1120" t="s">
        <v>184</v>
      </c>
      <c r="S1120" t="s">
        <v>125</v>
      </c>
      <c r="T1120" t="s">
        <v>218</v>
      </c>
      <c r="U1120" t="s">
        <v>4314</v>
      </c>
      <c r="W1120">
        <v>1</v>
      </c>
      <c r="X1120">
        <v>1</v>
      </c>
      <c r="AH1120">
        <v>1</v>
      </c>
      <c r="AM1120" t="s">
        <v>129</v>
      </c>
      <c r="AN1120" t="s">
        <v>130</v>
      </c>
      <c r="AP1120" t="s">
        <v>41</v>
      </c>
      <c r="AY1120" t="s">
        <v>50</v>
      </c>
      <c r="BD1120" t="s">
        <v>55</v>
      </c>
      <c r="BF1120" t="s">
        <v>57</v>
      </c>
      <c r="CK1120" t="s">
        <v>88</v>
      </c>
    </row>
    <row r="1121" spans="1:65" x14ac:dyDescent="0.2">
      <c r="A1121" t="s">
        <v>4052</v>
      </c>
      <c r="B1121" t="s">
        <v>3112</v>
      </c>
      <c r="C1121" t="s">
        <v>4315</v>
      </c>
      <c r="D1121" t="s">
        <v>129</v>
      </c>
      <c r="E1121" t="s">
        <v>4316</v>
      </c>
      <c r="F1121" t="s">
        <v>180</v>
      </c>
      <c r="G1121" t="str">
        <f>HYPERLINK("https://www.facebook.com/permalink.php?story_fbid=3043191165953218&amp;id=100007870933987")</f>
        <v>https://www.facebook.com/permalink.php?story_fbid=3043191165953218&amp;id=100007870933987</v>
      </c>
      <c r="H1121" t="s">
        <v>119</v>
      </c>
      <c r="I1121" t="s">
        <v>4317</v>
      </c>
      <c r="J1121" t="str">
        <f>HYPERLINK("https://www.facebook.com/100007870933987")</f>
        <v>https://www.facebook.com/100007870933987</v>
      </c>
      <c r="K1121">
        <v>123</v>
      </c>
      <c r="L1121" t="s">
        <v>121</v>
      </c>
      <c r="N1121" t="s">
        <v>305</v>
      </c>
      <c r="O1121" t="s">
        <v>4317</v>
      </c>
      <c r="P1121" t="str">
        <f>HYPERLINK("https://www.facebook.com/100007870933987")</f>
        <v>https://www.facebook.com/100007870933987</v>
      </c>
      <c r="Q1121">
        <v>123</v>
      </c>
      <c r="R1121" t="s">
        <v>124</v>
      </c>
      <c r="S1121" t="s">
        <v>125</v>
      </c>
      <c r="T1121" t="s">
        <v>169</v>
      </c>
      <c r="U1121" t="s">
        <v>169</v>
      </c>
      <c r="W1121">
        <v>0</v>
      </c>
      <c r="X1121">
        <v>0</v>
      </c>
      <c r="AE1121">
        <v>0</v>
      </c>
      <c r="AF1121">
        <v>0</v>
      </c>
      <c r="AM1121" t="s">
        <v>129</v>
      </c>
      <c r="AN1121" t="s">
        <v>130</v>
      </c>
      <c r="AP1121" t="s">
        <v>41</v>
      </c>
      <c r="AU1121" t="s">
        <v>46</v>
      </c>
      <c r="AZ1121" t="s">
        <v>51</v>
      </c>
      <c r="BA1121" t="s">
        <v>52</v>
      </c>
    </row>
    <row r="1122" spans="1:65" x14ac:dyDescent="0.2">
      <c r="A1122" t="s">
        <v>4052</v>
      </c>
      <c r="B1122" t="s">
        <v>1588</v>
      </c>
      <c r="C1122" t="s">
        <v>4318</v>
      </c>
      <c r="D1122" t="s">
        <v>4255</v>
      </c>
      <c r="E1122" t="s">
        <v>4319</v>
      </c>
      <c r="F1122" t="s">
        <v>118</v>
      </c>
      <c r="G1122" t="str">
        <f>HYPERLINK("https://vk.com/wall-46768714_796995?reply=797000")</f>
        <v>https://vk.com/wall-46768714_796995?reply=797000</v>
      </c>
      <c r="H1122" t="s">
        <v>119</v>
      </c>
      <c r="I1122" t="s">
        <v>4320</v>
      </c>
      <c r="J1122" t="str">
        <f>HYPERLINK("http://vk.com/id54061721")</f>
        <v>http://vk.com/id54061721</v>
      </c>
      <c r="K1122">
        <v>322</v>
      </c>
      <c r="L1122" t="s">
        <v>121</v>
      </c>
      <c r="N1122" t="s">
        <v>122</v>
      </c>
      <c r="O1122" t="s">
        <v>4258</v>
      </c>
      <c r="P1122" t="str">
        <f>HYPERLINK("http://vk.com/club46768714")</f>
        <v>http://vk.com/club46768714</v>
      </c>
      <c r="Q1122">
        <v>42801</v>
      </c>
      <c r="R1122" t="s">
        <v>124</v>
      </c>
      <c r="S1122" t="s">
        <v>125</v>
      </c>
      <c r="T1122" t="s">
        <v>169</v>
      </c>
      <c r="U1122" t="s">
        <v>169</v>
      </c>
      <c r="AM1122" t="s">
        <v>129</v>
      </c>
      <c r="AN1122" t="s">
        <v>130</v>
      </c>
      <c r="AP1122" t="s">
        <v>41</v>
      </c>
      <c r="AW1122" t="s">
        <v>48</v>
      </c>
      <c r="AZ1122" t="s">
        <v>51</v>
      </c>
      <c r="BA1122" t="s">
        <v>52</v>
      </c>
    </row>
    <row r="1123" spans="1:65" x14ac:dyDescent="0.2">
      <c r="A1123" t="s">
        <v>4052</v>
      </c>
      <c r="B1123" t="s">
        <v>3131</v>
      </c>
      <c r="C1123" t="s">
        <v>4321</v>
      </c>
      <c r="D1123" t="s">
        <v>129</v>
      </c>
      <c r="E1123" t="s">
        <v>4322</v>
      </c>
      <c r="F1123" t="s">
        <v>180</v>
      </c>
      <c r="G1123" t="str">
        <f>HYPERLINK("https://twitter.com/360582757/status/1418533209822928900")</f>
        <v>https://twitter.com/360582757/status/1418533209822928900</v>
      </c>
      <c r="H1123" t="s">
        <v>119</v>
      </c>
      <c r="I1123" t="s">
        <v>175</v>
      </c>
      <c r="J1123" t="str">
        <f>HYPERLINK("http://twitter.com/tricolortv")</f>
        <v>http://twitter.com/tricolortv</v>
      </c>
      <c r="K1123">
        <v>5663</v>
      </c>
      <c r="N1123" t="s">
        <v>350</v>
      </c>
      <c r="R1123" t="s">
        <v>124</v>
      </c>
      <c r="S1123" t="s">
        <v>125</v>
      </c>
      <c r="W1123">
        <v>1</v>
      </c>
      <c r="X1123">
        <v>1</v>
      </c>
      <c r="AE1123">
        <v>0</v>
      </c>
      <c r="AF1123">
        <v>0</v>
      </c>
      <c r="AJ1123" t="s">
        <v>129</v>
      </c>
      <c r="AK1123" t="s">
        <v>129</v>
      </c>
      <c r="AL1123" t="str">
        <f>HYPERLINK("https://pbs.twimg.com/media/E6-kYY4WYAIShYf.jpg")</f>
        <v>https://pbs.twimg.com/media/E6-kYY4WYAIShYf.jpg</v>
      </c>
      <c r="AM1123" t="s">
        <v>129</v>
      </c>
      <c r="AN1123" t="s">
        <v>130</v>
      </c>
      <c r="BI1123" t="s">
        <v>60</v>
      </c>
    </row>
    <row r="1124" spans="1:65" x14ac:dyDescent="0.2">
      <c r="A1124" t="s">
        <v>4052</v>
      </c>
      <c r="B1124" t="s">
        <v>466</v>
      </c>
      <c r="C1124" t="s">
        <v>4323</v>
      </c>
      <c r="D1124" t="s">
        <v>3301</v>
      </c>
      <c r="E1124" t="s">
        <v>4322</v>
      </c>
      <c r="F1124" t="s">
        <v>180</v>
      </c>
      <c r="G1124" t="str">
        <f>HYPERLINK("https://ok.ru/group/51085510115462/topic/153479665198470")</f>
        <v>https://ok.ru/group/51085510115462/topic/153479665198470</v>
      </c>
      <c r="H1124" t="s">
        <v>119</v>
      </c>
      <c r="I1124" t="s">
        <v>175</v>
      </c>
      <c r="J1124" t="str">
        <f>HYPERLINK("https://ok.ru/group/51085510115462")</f>
        <v>https://ok.ru/group/51085510115462</v>
      </c>
      <c r="K1124">
        <v>94768</v>
      </c>
      <c r="L1124" t="s">
        <v>340</v>
      </c>
      <c r="N1124" t="s">
        <v>347</v>
      </c>
      <c r="O1124" t="s">
        <v>175</v>
      </c>
      <c r="P1124" t="str">
        <f>HYPERLINK("https://ok.ru/group/51085510115462")</f>
        <v>https://ok.ru/group/51085510115462</v>
      </c>
      <c r="Q1124">
        <v>94768</v>
      </c>
      <c r="R1124" t="s">
        <v>124</v>
      </c>
      <c r="W1124">
        <v>47</v>
      </c>
      <c r="X1124">
        <v>47</v>
      </c>
      <c r="Y1124">
        <v>0</v>
      </c>
      <c r="Z1124">
        <v>0</v>
      </c>
      <c r="AA1124">
        <v>0</v>
      </c>
      <c r="AB1124">
        <v>0</v>
      </c>
      <c r="AE1124">
        <v>1</v>
      </c>
      <c r="AF1124">
        <v>1</v>
      </c>
      <c r="AJ1124" t="s">
        <v>129</v>
      </c>
      <c r="AK1124" t="s">
        <v>129</v>
      </c>
      <c r="AL1124" t="str">
        <f>HYPERLINK("https://i.mycdn.me/image?id=918881181318&amp;t=20&amp;plc=API&amp;aid=1131601408&amp;tkn=*PtQ1nXdaiVsQjkKe-MwqULtjMTM")</f>
        <v>https://i.mycdn.me/image?id=918881181318&amp;t=20&amp;plc=API&amp;aid=1131601408&amp;tkn=*PtQ1nXdaiVsQjkKe-MwqULtjMTM</v>
      </c>
      <c r="AM1124" t="s">
        <v>129</v>
      </c>
      <c r="AN1124" t="s">
        <v>130</v>
      </c>
      <c r="BI1124" t="s">
        <v>60</v>
      </c>
    </row>
    <row r="1125" spans="1:65" x14ac:dyDescent="0.2">
      <c r="A1125" t="s">
        <v>4052</v>
      </c>
      <c r="B1125" t="s">
        <v>1008</v>
      </c>
      <c r="C1125" t="s">
        <v>4190</v>
      </c>
      <c r="D1125" t="s">
        <v>129</v>
      </c>
      <c r="E1125" t="s">
        <v>4322</v>
      </c>
      <c r="F1125" t="s">
        <v>180</v>
      </c>
      <c r="G1125" t="str">
        <f>HYPERLINK("https://www.facebook.com/tricolortv/posts/4109882962399276")</f>
        <v>https://www.facebook.com/tricolortv/posts/4109882962399276</v>
      </c>
      <c r="H1125" t="s">
        <v>119</v>
      </c>
      <c r="I1125" t="s">
        <v>175</v>
      </c>
      <c r="J1125" t="str">
        <f>HYPERLINK("https://www.facebook.com/206198386101106")</f>
        <v>https://www.facebook.com/206198386101106</v>
      </c>
      <c r="K1125">
        <v>16432</v>
      </c>
      <c r="L1125" t="s">
        <v>340</v>
      </c>
      <c r="N1125" t="s">
        <v>305</v>
      </c>
      <c r="O1125" t="s">
        <v>175</v>
      </c>
      <c r="P1125" t="str">
        <f>HYPERLINK("https://www.facebook.com/206198386101106")</f>
        <v>https://www.facebook.com/206198386101106</v>
      </c>
      <c r="Q1125">
        <v>16432</v>
      </c>
      <c r="R1125" t="s">
        <v>124</v>
      </c>
      <c r="W1125">
        <v>1</v>
      </c>
      <c r="X1125">
        <v>1</v>
      </c>
      <c r="Y1125">
        <v>0</v>
      </c>
      <c r="Z1125">
        <v>0</v>
      </c>
      <c r="AA1125">
        <v>0</v>
      </c>
      <c r="AB1125">
        <v>0</v>
      </c>
      <c r="AC1125">
        <v>0</v>
      </c>
      <c r="AE1125">
        <v>0</v>
      </c>
      <c r="AF1125">
        <v>0</v>
      </c>
      <c r="AJ1125" t="s">
        <v>129</v>
      </c>
      <c r="AK1125" t="s">
        <v>129</v>
      </c>
      <c r="AL1125" t="s">
        <v>4324</v>
      </c>
      <c r="AM1125" t="s">
        <v>129</v>
      </c>
      <c r="AN1125" t="s">
        <v>130</v>
      </c>
      <c r="BI1125" t="s">
        <v>60</v>
      </c>
    </row>
    <row r="1126" spans="1:65" x14ac:dyDescent="0.2">
      <c r="A1126" t="s">
        <v>4052</v>
      </c>
      <c r="B1126" t="s">
        <v>1602</v>
      </c>
      <c r="C1126" t="s">
        <v>4325</v>
      </c>
      <c r="D1126" t="s">
        <v>129</v>
      </c>
      <c r="E1126" t="s">
        <v>4326</v>
      </c>
      <c r="F1126" t="s">
        <v>180</v>
      </c>
      <c r="G1126" t="str">
        <f>HYPERLINK("https://vk.com/wall-22935147_368635")</f>
        <v>https://vk.com/wall-22935147_368635</v>
      </c>
      <c r="H1126" t="s">
        <v>119</v>
      </c>
      <c r="I1126" t="s">
        <v>4327</v>
      </c>
      <c r="J1126" t="str">
        <f>HYPERLINK("http://vk.com/id365342892")</f>
        <v>http://vk.com/id365342892</v>
      </c>
      <c r="K1126">
        <v>11</v>
      </c>
      <c r="L1126" t="s">
        <v>121</v>
      </c>
      <c r="N1126" t="s">
        <v>122</v>
      </c>
      <c r="O1126" t="s">
        <v>1093</v>
      </c>
      <c r="P1126" t="str">
        <f>HYPERLINK("http://vk.com/club22935147")</f>
        <v>http://vk.com/club22935147</v>
      </c>
      <c r="Q1126">
        <v>8943</v>
      </c>
      <c r="R1126" t="s">
        <v>124</v>
      </c>
      <c r="S1126" t="s">
        <v>125</v>
      </c>
      <c r="T1126" t="s">
        <v>364</v>
      </c>
      <c r="U1126" t="s">
        <v>4328</v>
      </c>
      <c r="W1126">
        <v>10</v>
      </c>
      <c r="X1126">
        <v>10</v>
      </c>
      <c r="AE1126">
        <v>2</v>
      </c>
      <c r="AF1126">
        <v>0</v>
      </c>
      <c r="AG1126">
        <v>1902</v>
      </c>
      <c r="AM1126" t="s">
        <v>129</v>
      </c>
      <c r="AN1126" t="s">
        <v>130</v>
      </c>
      <c r="AP1126" t="s">
        <v>41</v>
      </c>
      <c r="AU1126" t="s">
        <v>46</v>
      </c>
      <c r="AZ1126" t="s">
        <v>51</v>
      </c>
      <c r="BA1126" t="s">
        <v>52</v>
      </c>
      <c r="BM1126" t="s">
        <v>64</v>
      </c>
    </row>
    <row r="1127" spans="1:65" x14ac:dyDescent="0.2">
      <c r="A1127" t="s">
        <v>4052</v>
      </c>
      <c r="B1127" t="s">
        <v>2059</v>
      </c>
      <c r="C1127" t="s">
        <v>4329</v>
      </c>
      <c r="D1127" t="s">
        <v>4330</v>
      </c>
      <c r="E1127" t="s">
        <v>4331</v>
      </c>
      <c r="F1127" t="s">
        <v>180</v>
      </c>
      <c r="G1127" t="str">
        <f>HYPERLINK("https://www.ozon.ru/context/detail/id/218706300/#61505237")</f>
        <v>https://www.ozon.ru/context/detail/id/218706300/#61505237</v>
      </c>
      <c r="H1127" t="s">
        <v>181</v>
      </c>
      <c r="I1127" t="s">
        <v>4332</v>
      </c>
      <c r="J1127" t="str">
        <f>HYPERLINK("https://www.ozon.ru/context/client_opinion/ClientGuid/1a02a0f5-fc65-4334-b9f7-0be1a36d6914/")</f>
        <v>https://www.ozon.ru/context/client_opinion/ClientGuid/1a02a0f5-fc65-4334-b9f7-0be1a36d6914/</v>
      </c>
      <c r="L1127" t="s">
        <v>121</v>
      </c>
      <c r="N1127" t="s">
        <v>183</v>
      </c>
      <c r="O1127" t="s">
        <v>4330</v>
      </c>
      <c r="P1127" t="str">
        <f>HYPERLINK("https://www.ozon.ru/context/detail/id/218706300/")</f>
        <v>https://www.ozon.ru/context/detail/id/218706300/</v>
      </c>
      <c r="R1127" t="s">
        <v>184</v>
      </c>
      <c r="S1127" t="s">
        <v>125</v>
      </c>
      <c r="W1127">
        <v>0</v>
      </c>
      <c r="X1127">
        <v>0</v>
      </c>
      <c r="AH1127">
        <v>5</v>
      </c>
      <c r="AM1127" t="s">
        <v>129</v>
      </c>
      <c r="AN1127" t="s">
        <v>130</v>
      </c>
      <c r="AP1127" t="s">
        <v>41</v>
      </c>
      <c r="AZ1127" t="s">
        <v>51</v>
      </c>
      <c r="BA1127" t="s">
        <v>52</v>
      </c>
      <c r="BL1127" t="s">
        <v>63</v>
      </c>
    </row>
    <row r="1128" spans="1:65" x14ac:dyDescent="0.2">
      <c r="A1128" t="s">
        <v>4052</v>
      </c>
      <c r="B1128" t="s">
        <v>4333</v>
      </c>
      <c r="C1128" t="s">
        <v>4329</v>
      </c>
      <c r="D1128" t="s">
        <v>1328</v>
      </c>
      <c r="E1128" t="s">
        <v>4334</v>
      </c>
      <c r="F1128" t="s">
        <v>180</v>
      </c>
      <c r="G1128" t="str">
        <f>HYPERLINK("https://www.ozon.ru/context/detail/id/223365373/#61504423")</f>
        <v>https://www.ozon.ru/context/detail/id/223365373/#61504423</v>
      </c>
      <c r="H1128" t="s">
        <v>181</v>
      </c>
      <c r="I1128" t="s">
        <v>4332</v>
      </c>
      <c r="J1128" t="str">
        <f>HYPERLINK("https://www.ozon.ru/context/client_opinion/ClientGuid/1a02a0f5-fc65-4334-b9f7-0be1a36d6914/")</f>
        <v>https://www.ozon.ru/context/client_opinion/ClientGuid/1a02a0f5-fc65-4334-b9f7-0be1a36d6914/</v>
      </c>
      <c r="L1128" t="s">
        <v>121</v>
      </c>
      <c r="N1128" t="s">
        <v>183</v>
      </c>
      <c r="O1128" t="s">
        <v>1328</v>
      </c>
      <c r="P1128" t="str">
        <f>HYPERLINK("https://www.ozon.ru/context/detail/id/223365373/")</f>
        <v>https://www.ozon.ru/context/detail/id/223365373/</v>
      </c>
      <c r="R1128" t="s">
        <v>184</v>
      </c>
      <c r="S1128" t="s">
        <v>125</v>
      </c>
      <c r="W1128">
        <v>0</v>
      </c>
      <c r="X1128">
        <v>0</v>
      </c>
      <c r="AH1128">
        <v>5</v>
      </c>
      <c r="AM1128" t="s">
        <v>129</v>
      </c>
      <c r="AN1128" t="s">
        <v>130</v>
      </c>
      <c r="AP1128" t="s">
        <v>41</v>
      </c>
      <c r="AT1128" t="s">
        <v>45</v>
      </c>
      <c r="AW1128" t="s">
        <v>48</v>
      </c>
      <c r="AZ1128" t="s">
        <v>51</v>
      </c>
      <c r="BA1128" t="s">
        <v>52</v>
      </c>
    </row>
    <row r="1129" spans="1:65" x14ac:dyDescent="0.2">
      <c r="A1129" t="s">
        <v>4052</v>
      </c>
      <c r="B1129" t="s">
        <v>4335</v>
      </c>
      <c r="C1129" t="s">
        <v>4336</v>
      </c>
      <c r="D1129" t="s">
        <v>4337</v>
      </c>
      <c r="E1129" t="s">
        <v>4338</v>
      </c>
      <c r="F1129" t="s">
        <v>118</v>
      </c>
      <c r="G1129" t="str">
        <f>HYPERLINK("https://ru-radio-electr.livejournal.com/1575085.html?thread=32342701#t32342701")</f>
        <v>https://ru-radio-electr.livejournal.com/1575085.html?thread=32342701#t32342701</v>
      </c>
      <c r="H1129" t="s">
        <v>119</v>
      </c>
      <c r="I1129" t="s">
        <v>4339</v>
      </c>
      <c r="J1129" t="str">
        <f>HYPERLINK("http://t0msa.livejournal.com/")</f>
        <v>http://t0msa.livejournal.com/</v>
      </c>
      <c r="K1129">
        <v>1</v>
      </c>
      <c r="L1129" t="s">
        <v>121</v>
      </c>
      <c r="N1129" t="s">
        <v>4340</v>
      </c>
      <c r="O1129" t="s">
        <v>4341</v>
      </c>
      <c r="P1129" t="str">
        <f>HYPERLINK("http://ru_radio_electr.livejournal.com/")</f>
        <v>http://ru_radio_electr.livejournal.com/</v>
      </c>
      <c r="Q1129">
        <v>1988</v>
      </c>
      <c r="R1129" t="s">
        <v>404</v>
      </c>
      <c r="S1129" t="s">
        <v>125</v>
      </c>
      <c r="T1129" t="s">
        <v>169</v>
      </c>
      <c r="U1129" t="s">
        <v>169</v>
      </c>
      <c r="AM1129" t="s">
        <v>129</v>
      </c>
      <c r="AN1129" t="s">
        <v>130</v>
      </c>
      <c r="AP1129" t="s">
        <v>41</v>
      </c>
      <c r="AZ1129" t="s">
        <v>51</v>
      </c>
      <c r="BC1129" t="s">
        <v>54</v>
      </c>
      <c r="BL1129" t="s">
        <v>63</v>
      </c>
    </row>
    <row r="1130" spans="1:65" x14ac:dyDescent="0.2">
      <c r="A1130" t="s">
        <v>4052</v>
      </c>
      <c r="B1130" t="s">
        <v>4342</v>
      </c>
      <c r="C1130" t="s">
        <v>4343</v>
      </c>
      <c r="D1130" t="s">
        <v>3733</v>
      </c>
      <c r="E1130" t="s">
        <v>4344</v>
      </c>
      <c r="F1130" t="s">
        <v>118</v>
      </c>
      <c r="G1130" t="str">
        <f>HYPERLINK("https://vk.com/wall-179985743_162138?reply=162736&amp;thread=162151")</f>
        <v>https://vk.com/wall-179985743_162138?reply=162736&amp;thread=162151</v>
      </c>
      <c r="H1130" t="s">
        <v>181</v>
      </c>
      <c r="I1130" t="s">
        <v>4345</v>
      </c>
      <c r="J1130" t="str">
        <f>HYPERLINK("http://vk.com/id431057595")</f>
        <v>http://vk.com/id431057595</v>
      </c>
      <c r="K1130">
        <v>449</v>
      </c>
      <c r="L1130" t="s">
        <v>121</v>
      </c>
      <c r="N1130" t="s">
        <v>122</v>
      </c>
      <c r="O1130" t="s">
        <v>3736</v>
      </c>
      <c r="P1130" t="str">
        <f>HYPERLINK("http://vk.com/club179985743")</f>
        <v>http://vk.com/club179985743</v>
      </c>
      <c r="Q1130">
        <v>180913</v>
      </c>
      <c r="R1130" t="s">
        <v>124</v>
      </c>
      <c r="S1130" t="s">
        <v>125</v>
      </c>
      <c r="AM1130" t="s">
        <v>129</v>
      </c>
      <c r="AN1130" t="s">
        <v>130</v>
      </c>
      <c r="AP1130" t="s">
        <v>41</v>
      </c>
      <c r="AU1130" t="s">
        <v>46</v>
      </c>
      <c r="AY1130" t="s">
        <v>50</v>
      </c>
      <c r="AZ1130" t="s">
        <v>51</v>
      </c>
      <c r="BA1130" t="s">
        <v>52</v>
      </c>
    </row>
    <row r="1131" spans="1:65" x14ac:dyDescent="0.2">
      <c r="A1131" t="s">
        <v>4052</v>
      </c>
      <c r="B1131" t="s">
        <v>1614</v>
      </c>
      <c r="C1131" t="s">
        <v>4346</v>
      </c>
      <c r="D1131" t="s">
        <v>4347</v>
      </c>
      <c r="E1131" t="s">
        <v>4348</v>
      </c>
      <c r="F1131" t="s">
        <v>118</v>
      </c>
      <c r="G1131" t="str">
        <f>HYPERLINK("https://vk.com/wall-126892066_896318?reply=896510&amp;thread=896452")</f>
        <v>https://vk.com/wall-126892066_896318?reply=896510&amp;thread=896452</v>
      </c>
      <c r="H1131" t="s">
        <v>119</v>
      </c>
      <c r="I1131" t="s">
        <v>4349</v>
      </c>
      <c r="J1131" t="str">
        <f>HYPERLINK("http://vk.com/id52407330")</f>
        <v>http://vk.com/id52407330</v>
      </c>
      <c r="K1131">
        <v>185</v>
      </c>
      <c r="L1131" t="s">
        <v>121</v>
      </c>
      <c r="N1131" t="s">
        <v>122</v>
      </c>
      <c r="O1131" t="s">
        <v>4350</v>
      </c>
      <c r="P1131" t="str">
        <f>HYPERLINK("http://vk.com/club126892066")</f>
        <v>http://vk.com/club126892066</v>
      </c>
      <c r="Q1131">
        <v>117683</v>
      </c>
      <c r="R1131" t="s">
        <v>124</v>
      </c>
      <c r="S1131" t="s">
        <v>125</v>
      </c>
      <c r="AM1131" t="s">
        <v>129</v>
      </c>
      <c r="AN1131" t="s">
        <v>130</v>
      </c>
      <c r="AP1131" t="s">
        <v>41</v>
      </c>
      <c r="AT1131" t="s">
        <v>45</v>
      </c>
      <c r="AY1131" t="s">
        <v>50</v>
      </c>
      <c r="AZ1131" t="s">
        <v>51</v>
      </c>
      <c r="BA1131" t="s">
        <v>52</v>
      </c>
    </row>
    <row r="1132" spans="1:65" x14ac:dyDescent="0.2">
      <c r="A1132" t="s">
        <v>4052</v>
      </c>
      <c r="B1132" t="s">
        <v>2074</v>
      </c>
      <c r="C1132" t="s">
        <v>4351</v>
      </c>
      <c r="D1132" t="s">
        <v>1926</v>
      </c>
      <c r="E1132" t="s">
        <v>4352</v>
      </c>
      <c r="F1132" t="s">
        <v>118</v>
      </c>
      <c r="G1132" t="str">
        <f>HYPERLINK("https://vk.com/wall-64239643_216062?reply=216088&amp;thread=216065")</f>
        <v>https://vk.com/wall-64239643_216062?reply=216088&amp;thread=216065</v>
      </c>
      <c r="H1132" t="s">
        <v>119</v>
      </c>
      <c r="I1132" t="s">
        <v>4353</v>
      </c>
      <c r="J1132" t="str">
        <f>HYPERLINK("http://vk.com/id172759424")</f>
        <v>http://vk.com/id172759424</v>
      </c>
      <c r="K1132">
        <v>952</v>
      </c>
      <c r="L1132" t="s">
        <v>121</v>
      </c>
      <c r="M1132">
        <v>41</v>
      </c>
      <c r="N1132" t="s">
        <v>122</v>
      </c>
      <c r="O1132" t="s">
        <v>1929</v>
      </c>
      <c r="P1132" t="str">
        <f>HYPERLINK("http://vk.com/club64239643")</f>
        <v>http://vk.com/club64239643</v>
      </c>
      <c r="Q1132">
        <v>10621</v>
      </c>
      <c r="R1132" t="s">
        <v>124</v>
      </c>
      <c r="S1132" t="s">
        <v>125</v>
      </c>
      <c r="T1132" t="s">
        <v>1283</v>
      </c>
      <c r="U1132" t="s">
        <v>4354</v>
      </c>
      <c r="AM1132" t="s">
        <v>129</v>
      </c>
      <c r="AN1132" t="s">
        <v>130</v>
      </c>
      <c r="AP1132" t="s">
        <v>41</v>
      </c>
      <c r="AY1132" t="s">
        <v>50</v>
      </c>
      <c r="AZ1132" t="s">
        <v>51</v>
      </c>
      <c r="BA1132" t="s">
        <v>52</v>
      </c>
    </row>
    <row r="1133" spans="1:65" x14ac:dyDescent="0.2">
      <c r="A1133" t="s">
        <v>4052</v>
      </c>
      <c r="B1133" t="s">
        <v>2084</v>
      </c>
      <c r="C1133" t="s">
        <v>4355</v>
      </c>
      <c r="D1133" t="s">
        <v>4356</v>
      </c>
      <c r="E1133" t="s">
        <v>4357</v>
      </c>
      <c r="F1133" t="s">
        <v>180</v>
      </c>
      <c r="G1133" t="str">
        <f>HYPERLINK("https://www.ozon.ru/context/detail/id/229857377/#61495551")</f>
        <v>https://www.ozon.ru/context/detail/id/229857377/#61495551</v>
      </c>
      <c r="H1133" t="s">
        <v>119</v>
      </c>
      <c r="I1133" t="s">
        <v>512</v>
      </c>
      <c r="J1133" t="str">
        <f>HYPERLINK("https://www.ozon.ru/context/client_opinion/ClientGuid//")</f>
        <v>https://www.ozon.ru/context/client_opinion/ClientGuid//</v>
      </c>
      <c r="N1133" t="s">
        <v>183</v>
      </c>
      <c r="O1133" t="s">
        <v>4356</v>
      </c>
      <c r="P1133" t="str">
        <f>HYPERLINK("https://www.ozon.ru/context/detail/id/229857377/")</f>
        <v>https://www.ozon.ru/context/detail/id/229857377/</v>
      </c>
      <c r="R1133" t="s">
        <v>184</v>
      </c>
      <c r="S1133" t="s">
        <v>125</v>
      </c>
      <c r="W1133">
        <v>0</v>
      </c>
      <c r="X1133">
        <v>0</v>
      </c>
      <c r="AH1133">
        <v>4</v>
      </c>
      <c r="AM1133" t="s">
        <v>129</v>
      </c>
      <c r="AN1133" t="s">
        <v>130</v>
      </c>
      <c r="AP1133" t="s">
        <v>41</v>
      </c>
      <c r="AT1133" t="s">
        <v>45</v>
      </c>
      <c r="AY1133" t="s">
        <v>50</v>
      </c>
      <c r="AZ1133" t="s">
        <v>51</v>
      </c>
      <c r="BA1133" t="s">
        <v>52</v>
      </c>
    </row>
    <row r="1134" spans="1:65" x14ac:dyDescent="0.2">
      <c r="A1134" t="s">
        <v>4052</v>
      </c>
      <c r="B1134" t="s">
        <v>2646</v>
      </c>
      <c r="C1134" t="s">
        <v>4358</v>
      </c>
      <c r="D1134" t="s">
        <v>4359</v>
      </c>
      <c r="E1134" t="s">
        <v>4360</v>
      </c>
      <c r="F1134" t="s">
        <v>118</v>
      </c>
      <c r="G1134" t="str">
        <f>HYPERLINK("https://www.facebook.com/story.php?story_fbid=4109352395785666&amp;id=206198386101106&amp;comment_id=4109581109096128&amp;reply_comment_id=4109692215751684")</f>
        <v>https://www.facebook.com/story.php?story_fbid=4109352395785666&amp;id=206198386101106&amp;comment_id=4109581109096128&amp;reply_comment_id=4109692215751684</v>
      </c>
      <c r="H1134" t="s">
        <v>119</v>
      </c>
      <c r="I1134" t="s">
        <v>175</v>
      </c>
      <c r="J1134" t="str">
        <f>HYPERLINK("https://www.facebook.com/206198386101106")</f>
        <v>https://www.facebook.com/206198386101106</v>
      </c>
      <c r="K1134">
        <v>16432</v>
      </c>
      <c r="L1134" t="s">
        <v>340</v>
      </c>
      <c r="N1134" t="s">
        <v>305</v>
      </c>
      <c r="O1134" t="s">
        <v>175</v>
      </c>
      <c r="P1134" t="str">
        <f>HYPERLINK("https://www.facebook.com/206198386101106")</f>
        <v>https://www.facebook.com/206198386101106</v>
      </c>
      <c r="Q1134">
        <v>16432</v>
      </c>
      <c r="R1134" t="s">
        <v>124</v>
      </c>
      <c r="W1134">
        <v>0</v>
      </c>
      <c r="X1134">
        <v>0</v>
      </c>
      <c r="AE1134">
        <v>0</v>
      </c>
      <c r="AJ1134" t="s">
        <v>875</v>
      </c>
      <c r="AK1134" t="s">
        <v>129</v>
      </c>
      <c r="AL1134" t="str">
        <f>HYPERLINK("https://www.tricolor.tv/social2.jpg")</f>
        <v>https://www.tricolor.tv/social2.jpg</v>
      </c>
      <c r="AM1134" t="s">
        <v>129</v>
      </c>
      <c r="AN1134" t="s">
        <v>130</v>
      </c>
      <c r="BI1134" t="s">
        <v>60</v>
      </c>
    </row>
    <row r="1135" spans="1:65" x14ac:dyDescent="0.2">
      <c r="A1135" t="s">
        <v>4052</v>
      </c>
      <c r="B1135" t="s">
        <v>4361</v>
      </c>
      <c r="C1135" t="s">
        <v>4358</v>
      </c>
      <c r="D1135" t="s">
        <v>4359</v>
      </c>
      <c r="E1135" t="s">
        <v>4362</v>
      </c>
      <c r="F1135" t="s">
        <v>118</v>
      </c>
      <c r="G1135" t="str">
        <f>HYPERLINK("https://www.facebook.com/story.php?story_fbid=4109352395785666&amp;id=206198386101106&amp;comment_id=4109581109096128&amp;reply_comment_id=4109674175753488")</f>
        <v>https://www.facebook.com/story.php?story_fbid=4109352395785666&amp;id=206198386101106&amp;comment_id=4109581109096128&amp;reply_comment_id=4109674175753488</v>
      </c>
      <c r="H1135" t="s">
        <v>119</v>
      </c>
      <c r="I1135" t="s">
        <v>4363</v>
      </c>
      <c r="J1135" t="str">
        <f>HYPERLINK("https://www.facebook.com/100051223535194")</f>
        <v>https://www.facebook.com/100051223535194</v>
      </c>
      <c r="K1135">
        <v>47</v>
      </c>
      <c r="L1135" t="s">
        <v>151</v>
      </c>
      <c r="N1135" t="s">
        <v>305</v>
      </c>
      <c r="O1135" t="s">
        <v>175</v>
      </c>
      <c r="P1135" t="str">
        <f>HYPERLINK("https://www.facebook.com/206198386101106")</f>
        <v>https://www.facebook.com/206198386101106</v>
      </c>
      <c r="Q1135">
        <v>16432</v>
      </c>
      <c r="R1135" t="s">
        <v>124</v>
      </c>
      <c r="S1135" t="s">
        <v>125</v>
      </c>
      <c r="T1135" t="s">
        <v>169</v>
      </c>
      <c r="U1135" t="s">
        <v>169</v>
      </c>
      <c r="W1135">
        <v>0</v>
      </c>
      <c r="X1135">
        <v>0</v>
      </c>
      <c r="AE1135">
        <v>0</v>
      </c>
      <c r="AM1135" t="s">
        <v>129</v>
      </c>
      <c r="AN1135" t="s">
        <v>130</v>
      </c>
      <c r="AP1135" t="s">
        <v>41</v>
      </c>
      <c r="AW1135" t="s">
        <v>48</v>
      </c>
      <c r="AZ1135" t="s">
        <v>51</v>
      </c>
      <c r="BA1135" t="s">
        <v>52</v>
      </c>
    </row>
    <row r="1136" spans="1:65" x14ac:dyDescent="0.2">
      <c r="A1136" t="s">
        <v>4052</v>
      </c>
      <c r="B1136" t="s">
        <v>3879</v>
      </c>
      <c r="C1136" t="s">
        <v>4358</v>
      </c>
      <c r="D1136" t="s">
        <v>4359</v>
      </c>
      <c r="E1136" t="s">
        <v>4364</v>
      </c>
      <c r="F1136" t="s">
        <v>118</v>
      </c>
      <c r="G1136" t="str">
        <f>HYPERLINK("https://www.facebook.com/story.php?story_fbid=4109352395785666&amp;id=206198386101106&amp;comment_id=4109581109096128&amp;reply_comment_id=4109635252424047")</f>
        <v>https://www.facebook.com/story.php?story_fbid=4109352395785666&amp;id=206198386101106&amp;comment_id=4109581109096128&amp;reply_comment_id=4109635252424047</v>
      </c>
      <c r="H1136" t="s">
        <v>119</v>
      </c>
      <c r="I1136" t="s">
        <v>175</v>
      </c>
      <c r="J1136" t="str">
        <f>HYPERLINK("https://www.facebook.com/206198386101106")</f>
        <v>https://www.facebook.com/206198386101106</v>
      </c>
      <c r="K1136">
        <v>16432</v>
      </c>
      <c r="L1136" t="s">
        <v>340</v>
      </c>
      <c r="N1136" t="s">
        <v>305</v>
      </c>
      <c r="O1136" t="s">
        <v>175</v>
      </c>
      <c r="P1136" t="str">
        <f>HYPERLINK("https://www.facebook.com/206198386101106")</f>
        <v>https://www.facebook.com/206198386101106</v>
      </c>
      <c r="Q1136">
        <v>16432</v>
      </c>
      <c r="R1136" t="s">
        <v>124</v>
      </c>
      <c r="W1136">
        <v>0</v>
      </c>
      <c r="X1136">
        <v>0</v>
      </c>
      <c r="AE1136">
        <v>0</v>
      </c>
      <c r="AJ1136" t="s">
        <v>875</v>
      </c>
      <c r="AK1136" t="s">
        <v>129</v>
      </c>
      <c r="AL1136" t="str">
        <f>HYPERLINK("https://www.tricolor.tv/social2.jpg")</f>
        <v>https://www.tricolor.tv/social2.jpg</v>
      </c>
      <c r="AM1136" t="s">
        <v>129</v>
      </c>
      <c r="AN1136" t="s">
        <v>130</v>
      </c>
      <c r="BI1136" t="s">
        <v>60</v>
      </c>
    </row>
    <row r="1137" spans="1:77" x14ac:dyDescent="0.2">
      <c r="A1137" t="s">
        <v>4052</v>
      </c>
      <c r="B1137" t="s">
        <v>1657</v>
      </c>
      <c r="C1137" t="s">
        <v>4241</v>
      </c>
      <c r="D1137" t="s">
        <v>2833</v>
      </c>
      <c r="E1137" t="s">
        <v>4365</v>
      </c>
      <c r="F1137" t="s">
        <v>118</v>
      </c>
      <c r="G1137" t="str">
        <f>HYPERLINK("https://ok.ru/group/51085510115462/topic/153410793088390#MTYyNzAzMjQyNDc5NzotNDMzNzoxNjI3MDMyNDI0Nzk3OjE1MzQxMDc5MzA4ODM5MDox")</f>
        <v>https://ok.ru/group/51085510115462/topic/153410793088390#MTYyNzAzMjQyNDc5NzotNDMzNzoxNjI3MDMyNDI0Nzk3OjE1MzQxMDc5MzA4ODM5MDox</v>
      </c>
      <c r="H1137" t="s">
        <v>119</v>
      </c>
      <c r="I1137" t="s">
        <v>175</v>
      </c>
      <c r="J1137" t="str">
        <f>HYPERLINK("https://ok.ru/group/51085510115462")</f>
        <v>https://ok.ru/group/51085510115462</v>
      </c>
      <c r="K1137">
        <v>94768</v>
      </c>
      <c r="L1137" t="s">
        <v>340</v>
      </c>
      <c r="N1137" t="s">
        <v>347</v>
      </c>
      <c r="O1137" t="s">
        <v>175</v>
      </c>
      <c r="P1137" t="str">
        <f>HYPERLINK("https://ok.ru/group/51085510115462")</f>
        <v>https://ok.ru/group/51085510115462</v>
      </c>
      <c r="Q1137">
        <v>94768</v>
      </c>
      <c r="R1137" t="s">
        <v>124</v>
      </c>
      <c r="W1137">
        <v>0</v>
      </c>
      <c r="X1137">
        <v>0</v>
      </c>
      <c r="AM1137" t="s">
        <v>129</v>
      </c>
      <c r="AN1137" t="s">
        <v>130</v>
      </c>
      <c r="BI1137" t="s">
        <v>60</v>
      </c>
    </row>
    <row r="1138" spans="1:77" x14ac:dyDescent="0.2">
      <c r="A1138" t="s">
        <v>4052</v>
      </c>
      <c r="B1138" t="s">
        <v>2121</v>
      </c>
      <c r="C1138" t="s">
        <v>4366</v>
      </c>
      <c r="D1138" t="s">
        <v>4367</v>
      </c>
      <c r="E1138" t="s">
        <v>4368</v>
      </c>
      <c r="F1138" t="s">
        <v>118</v>
      </c>
      <c r="G1138" t="str">
        <f>HYPERLINK("https://vk.com/wall-30852787_6211?reply=6260&amp;thread=6242")</f>
        <v>https://vk.com/wall-30852787_6211?reply=6260&amp;thread=6242</v>
      </c>
      <c r="H1138" t="s">
        <v>119</v>
      </c>
      <c r="I1138" t="s">
        <v>4369</v>
      </c>
      <c r="J1138" t="str">
        <f>HYPERLINK("http://vk.com/id176038527")</f>
        <v>http://vk.com/id176038527</v>
      </c>
      <c r="K1138">
        <v>92</v>
      </c>
      <c r="L1138" t="s">
        <v>121</v>
      </c>
      <c r="M1138">
        <v>24</v>
      </c>
      <c r="N1138" t="s">
        <v>122</v>
      </c>
      <c r="O1138" t="s">
        <v>4370</v>
      </c>
      <c r="P1138" t="str">
        <f>HYPERLINK("http://vk.com/club30852787")</f>
        <v>http://vk.com/club30852787</v>
      </c>
      <c r="Q1138">
        <v>2885</v>
      </c>
      <c r="R1138" t="s">
        <v>124</v>
      </c>
      <c r="S1138" t="s">
        <v>125</v>
      </c>
      <c r="AM1138" t="s">
        <v>129</v>
      </c>
      <c r="AN1138" t="s">
        <v>130</v>
      </c>
      <c r="AP1138" t="s">
        <v>41</v>
      </c>
      <c r="AZ1138" t="s">
        <v>51</v>
      </c>
      <c r="BA1138" t="s">
        <v>52</v>
      </c>
      <c r="BL1138" t="s">
        <v>63</v>
      </c>
    </row>
    <row r="1139" spans="1:77" x14ac:dyDescent="0.2">
      <c r="A1139" t="s">
        <v>4052</v>
      </c>
      <c r="B1139" t="s">
        <v>2121</v>
      </c>
      <c r="C1139" t="s">
        <v>4358</v>
      </c>
      <c r="D1139" t="s">
        <v>4359</v>
      </c>
      <c r="E1139" t="s">
        <v>4371</v>
      </c>
      <c r="F1139" t="s">
        <v>118</v>
      </c>
      <c r="G1139" t="str">
        <f>HYPERLINK("https://www.facebook.com/story.php?story_fbid=4109352395785666&amp;id=206198386101106&amp;comment_id=4109581109096128&amp;reply_comment_id=4109591062428466")</f>
        <v>https://www.facebook.com/story.php?story_fbid=4109352395785666&amp;id=206198386101106&amp;comment_id=4109581109096128&amp;reply_comment_id=4109591062428466</v>
      </c>
      <c r="H1139" t="s">
        <v>119</v>
      </c>
      <c r="I1139" t="s">
        <v>175</v>
      </c>
      <c r="J1139" t="str">
        <f>HYPERLINK("https://www.facebook.com/206198386101106")</f>
        <v>https://www.facebook.com/206198386101106</v>
      </c>
      <c r="K1139">
        <v>16432</v>
      </c>
      <c r="L1139" t="s">
        <v>340</v>
      </c>
      <c r="N1139" t="s">
        <v>305</v>
      </c>
      <c r="O1139" t="s">
        <v>175</v>
      </c>
      <c r="P1139" t="str">
        <f>HYPERLINK("https://www.facebook.com/206198386101106")</f>
        <v>https://www.facebook.com/206198386101106</v>
      </c>
      <c r="Q1139">
        <v>16432</v>
      </c>
      <c r="R1139" t="s">
        <v>124</v>
      </c>
      <c r="W1139">
        <v>0</v>
      </c>
      <c r="X1139">
        <v>0</v>
      </c>
      <c r="AE1139">
        <v>0</v>
      </c>
      <c r="AJ1139" t="s">
        <v>875</v>
      </c>
      <c r="AK1139" t="s">
        <v>129</v>
      </c>
      <c r="AL1139" t="str">
        <f>HYPERLINK("https://www.tricolor.tv/social2.jpg")</f>
        <v>https://www.tricolor.tv/social2.jpg</v>
      </c>
      <c r="AM1139" t="s">
        <v>129</v>
      </c>
      <c r="AN1139" t="s">
        <v>130</v>
      </c>
      <c r="BI1139" t="s">
        <v>60</v>
      </c>
    </row>
    <row r="1140" spans="1:77" x14ac:dyDescent="0.2">
      <c r="A1140" t="s">
        <v>4052</v>
      </c>
      <c r="B1140" t="s">
        <v>556</v>
      </c>
      <c r="C1140" t="s">
        <v>4372</v>
      </c>
      <c r="D1140" t="s">
        <v>4373</v>
      </c>
      <c r="E1140" t="s">
        <v>4374</v>
      </c>
      <c r="F1140" t="s">
        <v>118</v>
      </c>
      <c r="G1140" t="str">
        <f>HYPERLINK("https://vk.com/wall-59270260_1299886?reply=1299926")</f>
        <v>https://vk.com/wall-59270260_1299886?reply=1299926</v>
      </c>
      <c r="H1140" t="s">
        <v>119</v>
      </c>
      <c r="I1140" t="s">
        <v>4375</v>
      </c>
      <c r="J1140" t="str">
        <f>HYPERLINK("http://vk.com/id649468247")</f>
        <v>http://vk.com/id649468247</v>
      </c>
      <c r="K1140">
        <v>0</v>
      </c>
      <c r="L1140" t="s">
        <v>121</v>
      </c>
      <c r="M1140">
        <v>33</v>
      </c>
      <c r="N1140" t="s">
        <v>122</v>
      </c>
      <c r="O1140" t="s">
        <v>4376</v>
      </c>
      <c r="P1140" t="str">
        <f>HYPERLINK("http://vk.com/club59270260")</f>
        <v>http://vk.com/club59270260</v>
      </c>
      <c r="Q1140">
        <v>200899</v>
      </c>
      <c r="R1140" t="s">
        <v>124</v>
      </c>
      <c r="S1140" t="s">
        <v>125</v>
      </c>
      <c r="T1140" t="s">
        <v>2388</v>
      </c>
      <c r="U1140" t="s">
        <v>4377</v>
      </c>
      <c r="AM1140" t="s">
        <v>129</v>
      </c>
      <c r="AN1140" t="s">
        <v>130</v>
      </c>
      <c r="AP1140" t="s">
        <v>41</v>
      </c>
      <c r="AU1140" t="s">
        <v>46</v>
      </c>
      <c r="AZ1140" t="s">
        <v>51</v>
      </c>
      <c r="BA1140" t="s">
        <v>52</v>
      </c>
    </row>
    <row r="1141" spans="1:77" x14ac:dyDescent="0.2">
      <c r="A1141" t="s">
        <v>4052</v>
      </c>
      <c r="B1141" t="s">
        <v>1094</v>
      </c>
      <c r="C1141" t="s">
        <v>4358</v>
      </c>
      <c r="D1141" t="s">
        <v>4359</v>
      </c>
      <c r="E1141" t="s">
        <v>4378</v>
      </c>
      <c r="F1141" t="s">
        <v>118</v>
      </c>
      <c r="G1141" t="str">
        <f>HYPERLINK("https://www.facebook.com/story.php?story_fbid=4109352395785666&amp;id=206198386101106&amp;comment_id=4109581109096128")</f>
        <v>https://www.facebook.com/story.php?story_fbid=4109352395785666&amp;id=206198386101106&amp;comment_id=4109581109096128</v>
      </c>
      <c r="H1141" t="s">
        <v>228</v>
      </c>
      <c r="I1141" t="s">
        <v>4363</v>
      </c>
      <c r="J1141" t="str">
        <f>HYPERLINK("https://www.facebook.com/100051223535194")</f>
        <v>https://www.facebook.com/100051223535194</v>
      </c>
      <c r="K1141">
        <v>47</v>
      </c>
      <c r="L1141" t="s">
        <v>151</v>
      </c>
      <c r="N1141" t="s">
        <v>305</v>
      </c>
      <c r="O1141" t="s">
        <v>175</v>
      </c>
      <c r="P1141" t="str">
        <f>HYPERLINK("https://www.facebook.com/206198386101106")</f>
        <v>https://www.facebook.com/206198386101106</v>
      </c>
      <c r="Q1141">
        <v>16432</v>
      </c>
      <c r="R1141" t="s">
        <v>124</v>
      </c>
      <c r="S1141" t="s">
        <v>125</v>
      </c>
      <c r="T1141" t="s">
        <v>169</v>
      </c>
      <c r="U1141" t="s">
        <v>169</v>
      </c>
      <c r="W1141">
        <v>0</v>
      </c>
      <c r="X1141">
        <v>0</v>
      </c>
      <c r="AE1141">
        <v>9</v>
      </c>
      <c r="AJ1141" t="s">
        <v>4379</v>
      </c>
      <c r="AK1141" t="s">
        <v>4380</v>
      </c>
      <c r="AL1141" t="s">
        <v>4381</v>
      </c>
      <c r="AM1141" t="s">
        <v>129</v>
      </c>
      <c r="AN1141" t="s">
        <v>130</v>
      </c>
      <c r="AP1141" t="s">
        <v>41</v>
      </c>
      <c r="AU1141" t="s">
        <v>46</v>
      </c>
      <c r="AW1141" t="s">
        <v>48</v>
      </c>
      <c r="BA1141" t="s">
        <v>52</v>
      </c>
      <c r="BE1141" t="s">
        <v>56</v>
      </c>
    </row>
    <row r="1142" spans="1:77" x14ac:dyDescent="0.2">
      <c r="A1142" t="s">
        <v>4052</v>
      </c>
      <c r="B1142" t="s">
        <v>1686</v>
      </c>
      <c r="C1142" t="s">
        <v>4382</v>
      </c>
      <c r="D1142" t="s">
        <v>4383</v>
      </c>
      <c r="E1142" t="s">
        <v>4384</v>
      </c>
      <c r="F1142" t="s">
        <v>118</v>
      </c>
      <c r="G1142" t="str">
        <f>HYPERLINK("https://www.facebook.com/story.php?story_fbid=1279632669135559&amp;id=100012665139946&amp;comment_id=1279658922466267&amp;reply_comment_id=1279977812434378")</f>
        <v>https://www.facebook.com/story.php?story_fbid=1279632669135559&amp;id=100012665139946&amp;comment_id=1279658922466267&amp;reply_comment_id=1279977812434378</v>
      </c>
      <c r="H1142" t="s">
        <v>119</v>
      </c>
      <c r="I1142" t="s">
        <v>695</v>
      </c>
      <c r="J1142" t="str">
        <f>HYPERLINK("https://www.facebook.com/100002360413124")</f>
        <v>https://www.facebook.com/100002360413124</v>
      </c>
      <c r="K1142">
        <v>5211</v>
      </c>
      <c r="L1142" t="s">
        <v>121</v>
      </c>
      <c r="N1142" t="s">
        <v>305</v>
      </c>
      <c r="O1142" t="s">
        <v>4385</v>
      </c>
      <c r="P1142" t="str">
        <f>HYPERLINK("https://www.facebook.com/100012665139946")</f>
        <v>https://www.facebook.com/100012665139946</v>
      </c>
      <c r="Q1142">
        <v>1587</v>
      </c>
      <c r="R1142" t="s">
        <v>124</v>
      </c>
      <c r="S1142" t="s">
        <v>125</v>
      </c>
      <c r="T1142" t="s">
        <v>372</v>
      </c>
      <c r="U1142" t="s">
        <v>373</v>
      </c>
      <c r="W1142">
        <v>0</v>
      </c>
      <c r="X1142">
        <v>0</v>
      </c>
      <c r="AE1142">
        <v>0</v>
      </c>
      <c r="AM1142" t="s">
        <v>129</v>
      </c>
      <c r="AN1142" t="s">
        <v>130</v>
      </c>
      <c r="AP1142" t="s">
        <v>41</v>
      </c>
      <c r="AU1142" t="s">
        <v>46</v>
      </c>
      <c r="AZ1142" t="s">
        <v>51</v>
      </c>
      <c r="BA1142" t="s">
        <v>52</v>
      </c>
      <c r="BY1142" t="s">
        <v>76</v>
      </c>
    </row>
    <row r="1143" spans="1:77" x14ac:dyDescent="0.2">
      <c r="A1143" t="s">
        <v>4052</v>
      </c>
      <c r="B1143" t="s">
        <v>4386</v>
      </c>
      <c r="C1143" t="s">
        <v>4387</v>
      </c>
      <c r="D1143" t="s">
        <v>3391</v>
      </c>
      <c r="E1143" t="s">
        <v>4388</v>
      </c>
      <c r="F1143" t="s">
        <v>180</v>
      </c>
      <c r="G1143" t="str">
        <f>HYPERLINK("https://www.wildberries.ru/catalog/14072152/detail.aspx?targetUrl=ES#Comments")</f>
        <v>https://www.wildberries.ru/catalog/14072152/detail.aspx?targetUrl=ES#Comments</v>
      </c>
      <c r="H1143" t="s">
        <v>181</v>
      </c>
      <c r="I1143" t="s">
        <v>4389</v>
      </c>
      <c r="J1143" t="str">
        <f>HYPERLINK("https://www.wildberries.ru/profile/w7TDssOkw7PCu8KwwrnCtsK5wrHCs8KwwrY=")</f>
        <v>https://www.wildberries.ru/profile/w7TDssOkw7PCu8KwwrnCtsK5wrHCs8KwwrY=</v>
      </c>
      <c r="L1143" t="s">
        <v>151</v>
      </c>
      <c r="N1143" t="s">
        <v>534</v>
      </c>
      <c r="O1143" t="s">
        <v>3391</v>
      </c>
      <c r="P1143" t="str">
        <f>HYPERLINK("https://www.wildberries.ru/catalog/10526045/detail.aspx")</f>
        <v>https://www.wildberries.ru/catalog/10526045/detail.aspx</v>
      </c>
      <c r="R1143" t="s">
        <v>184</v>
      </c>
      <c r="S1143" t="s">
        <v>125</v>
      </c>
      <c r="W1143">
        <v>0</v>
      </c>
      <c r="X1143">
        <v>0</v>
      </c>
      <c r="AH1143">
        <v>5</v>
      </c>
      <c r="AM1143" t="s">
        <v>129</v>
      </c>
      <c r="AN1143" t="s">
        <v>130</v>
      </c>
      <c r="AP1143" t="s">
        <v>41</v>
      </c>
      <c r="AZ1143" t="s">
        <v>51</v>
      </c>
      <c r="BA1143" t="s">
        <v>52</v>
      </c>
      <c r="BK1143" t="s">
        <v>62</v>
      </c>
      <c r="BL1143" t="s">
        <v>63</v>
      </c>
    </row>
    <row r="1144" spans="1:77" x14ac:dyDescent="0.2">
      <c r="A1144" t="s">
        <v>4052</v>
      </c>
      <c r="B1144" t="s">
        <v>4390</v>
      </c>
      <c r="C1144" t="s">
        <v>4391</v>
      </c>
      <c r="D1144" t="s">
        <v>1926</v>
      </c>
      <c r="E1144" t="s">
        <v>4392</v>
      </c>
      <c r="F1144" t="s">
        <v>118</v>
      </c>
      <c r="G1144" t="str">
        <f>HYPERLINK("https://vk.com/wall-64239643_216062?reply=216065")</f>
        <v>https://vk.com/wall-64239643_216062?reply=216065</v>
      </c>
      <c r="H1144" t="s">
        <v>119</v>
      </c>
      <c r="I1144" t="s">
        <v>4393</v>
      </c>
      <c r="J1144" t="str">
        <f>HYPERLINK("http://vk.com/id490336098")</f>
        <v>http://vk.com/id490336098</v>
      </c>
      <c r="K1144">
        <v>491</v>
      </c>
      <c r="L1144" t="s">
        <v>121</v>
      </c>
      <c r="N1144" t="s">
        <v>122</v>
      </c>
      <c r="O1144" t="s">
        <v>1929</v>
      </c>
      <c r="P1144" t="str">
        <f>HYPERLINK("http://vk.com/club64239643")</f>
        <v>http://vk.com/club64239643</v>
      </c>
      <c r="Q1144">
        <v>10621</v>
      </c>
      <c r="R1144" t="s">
        <v>124</v>
      </c>
      <c r="S1144" t="s">
        <v>125</v>
      </c>
      <c r="T1144" t="s">
        <v>1275</v>
      </c>
      <c r="U1144" t="s">
        <v>4394</v>
      </c>
      <c r="AM1144" t="s">
        <v>129</v>
      </c>
      <c r="AN1144" t="s">
        <v>130</v>
      </c>
      <c r="AP1144" t="s">
        <v>41</v>
      </c>
      <c r="AX1144" t="s">
        <v>49</v>
      </c>
      <c r="AY1144" t="s">
        <v>50</v>
      </c>
      <c r="AZ1144" t="s">
        <v>51</v>
      </c>
      <c r="BA1144" t="s">
        <v>52</v>
      </c>
      <c r="BL1144" t="s">
        <v>63</v>
      </c>
      <c r="BO1144" t="s">
        <v>66</v>
      </c>
    </row>
    <row r="1145" spans="1:77" x14ac:dyDescent="0.2">
      <c r="A1145" t="s">
        <v>4052</v>
      </c>
      <c r="B1145" t="s">
        <v>2713</v>
      </c>
      <c r="C1145" t="s">
        <v>4395</v>
      </c>
      <c r="D1145" t="s">
        <v>4396</v>
      </c>
      <c r="E1145" t="s">
        <v>4397</v>
      </c>
      <c r="F1145" t="s">
        <v>180</v>
      </c>
      <c r="G1145" t="str">
        <f>HYPERLINK("https://telesputnik.ru/materials/companies/news/krivoe-zerkalo-s-vladeltsev-saytov-dvoynikov-sudy-vzyskivayut-krupnye-kompensatsii/")</f>
        <v>https://telesputnik.ru/materials/companies/news/krivoe-zerkalo-s-vladeltsev-saytov-dvoynikov-sudy-vzyskivayut-krupnye-kompensatsii/</v>
      </c>
      <c r="H1145" t="s">
        <v>119</v>
      </c>
      <c r="N1145" t="s">
        <v>335</v>
      </c>
      <c r="R1145" t="s">
        <v>785</v>
      </c>
      <c r="S1145" t="s">
        <v>125</v>
      </c>
      <c r="AM1145" t="s">
        <v>129</v>
      </c>
      <c r="AN1145" t="s">
        <v>130</v>
      </c>
      <c r="AV1145" t="s">
        <v>47</v>
      </c>
    </row>
    <row r="1146" spans="1:77" x14ac:dyDescent="0.2">
      <c r="A1146" t="s">
        <v>4052</v>
      </c>
      <c r="B1146" t="s">
        <v>2713</v>
      </c>
      <c r="C1146" t="s">
        <v>4398</v>
      </c>
      <c r="D1146" t="s">
        <v>4396</v>
      </c>
      <c r="E1146" t="s">
        <v>4399</v>
      </c>
      <c r="F1146" t="s">
        <v>180</v>
      </c>
      <c r="G1146" t="str">
        <f>HYPERLINK("https://www.telesputnik.ru/materials/companies/news/krivoe-zerkalo-s-vladeltsev-saytov-dvoynikov-sudy-vzyskivayut-krupnye-kompensatsii/")</f>
        <v>https://www.telesputnik.ru/materials/companies/news/krivoe-zerkalo-s-vladeltsev-saytov-dvoynikov-sudy-vzyskivayut-krupnye-kompensatsii/</v>
      </c>
      <c r="H1146" t="s">
        <v>119</v>
      </c>
      <c r="N1146" t="s">
        <v>335</v>
      </c>
      <c r="R1146" t="s">
        <v>785</v>
      </c>
      <c r="S1146" t="s">
        <v>125</v>
      </c>
      <c r="T1146" t="s">
        <v>487</v>
      </c>
      <c r="U1146" t="s">
        <v>1456</v>
      </c>
      <c r="AJ1146" t="s">
        <v>4400</v>
      </c>
      <c r="AK1146" t="s">
        <v>129</v>
      </c>
      <c r="AL1146" t="str">
        <f>HYPERLINK("http://www.telesputnik.ru/upload/iblock/fe0/krivoe_zerkalo_s_vladeltsev_saytov_dvoynikov_sudy_vzyskivayut_krupnye_kompensatsii.jpg")</f>
        <v>http://www.telesputnik.ru/upload/iblock/fe0/krivoe_zerkalo_s_vladeltsev_saytov_dvoynikov_sudy_vzyskivayut_krupnye_kompensatsii.jpg</v>
      </c>
      <c r="AM1146" t="s">
        <v>129</v>
      </c>
      <c r="AN1146" t="s">
        <v>130</v>
      </c>
      <c r="AV1146" t="s">
        <v>47</v>
      </c>
    </row>
    <row r="1147" spans="1:77" x14ac:dyDescent="0.2">
      <c r="A1147" t="s">
        <v>4052</v>
      </c>
      <c r="B1147" t="s">
        <v>1704</v>
      </c>
      <c r="C1147" t="s">
        <v>4079</v>
      </c>
      <c r="D1147" t="s">
        <v>175</v>
      </c>
      <c r="E1147" t="s">
        <v>4401</v>
      </c>
      <c r="F1147" t="s">
        <v>180</v>
      </c>
      <c r="G1147" t="str">
        <f>HYPERLINK("https://yandex.ru/maps/org/214188145917#EVkhKZ_QHkr6Hnc0sW9J6tD133rNXYs")</f>
        <v>https://yandex.ru/maps/org/214188145917#EVkhKZ_QHkr6Hnc0sW9J6tD133rNXYs</v>
      </c>
      <c r="H1147" t="s">
        <v>119</v>
      </c>
      <c r="I1147" t="s">
        <v>4402</v>
      </c>
      <c r="J1147" t="str">
        <f>HYPERLINK("https://yandex.ru/user/xng3k8m4n3kjfzq2wztpazwybw")</f>
        <v>https://yandex.ru/user/xng3k8m4n3kjfzq2wztpazwybw</v>
      </c>
      <c r="L1147" t="s">
        <v>121</v>
      </c>
      <c r="N1147" t="s">
        <v>236</v>
      </c>
      <c r="O1147" t="s">
        <v>175</v>
      </c>
      <c r="P1147" t="str">
        <f>HYPERLINK("https://yandex.ru/maps/org/214188145917")</f>
        <v>https://yandex.ru/maps/org/214188145917</v>
      </c>
      <c r="R1147" t="s">
        <v>184</v>
      </c>
      <c r="S1147" t="s">
        <v>125</v>
      </c>
      <c r="T1147" t="s">
        <v>364</v>
      </c>
      <c r="U1147" t="s">
        <v>2610</v>
      </c>
      <c r="W1147">
        <v>0</v>
      </c>
      <c r="X1147">
        <v>0</v>
      </c>
      <c r="AH1147">
        <v>4</v>
      </c>
      <c r="AM1147" t="s">
        <v>129</v>
      </c>
      <c r="AN1147" t="s">
        <v>130</v>
      </c>
      <c r="AP1147" t="s">
        <v>41</v>
      </c>
      <c r="AX1147" t="s">
        <v>49</v>
      </c>
      <c r="AY1147" t="s">
        <v>50</v>
      </c>
      <c r="AZ1147" t="s">
        <v>51</v>
      </c>
      <c r="BD1147" t="s">
        <v>55</v>
      </c>
    </row>
    <row r="1148" spans="1:77" x14ac:dyDescent="0.2">
      <c r="A1148" t="s">
        <v>4052</v>
      </c>
      <c r="B1148" t="s">
        <v>1710</v>
      </c>
      <c r="C1148" t="s">
        <v>4366</v>
      </c>
      <c r="D1148" t="s">
        <v>4403</v>
      </c>
      <c r="E1148" t="s">
        <v>4404</v>
      </c>
      <c r="F1148" t="s">
        <v>180</v>
      </c>
      <c r="G1148" t="str">
        <f>HYPERLINK("https://otzovik.com/review_12208148.html")</f>
        <v>https://otzovik.com/review_12208148.html</v>
      </c>
      <c r="H1148" t="s">
        <v>119</v>
      </c>
      <c r="I1148" t="s">
        <v>4405</v>
      </c>
      <c r="J1148" t="str">
        <f>HYPERLINK("http://otzovik.com/profile/Аноним4131208")</f>
        <v>http://otzovik.com/profile/Аноним4131208</v>
      </c>
      <c r="N1148" t="s">
        <v>390</v>
      </c>
      <c r="O1148" t="s">
        <v>4406</v>
      </c>
      <c r="P1148" t="str">
        <f>HYPERLINK("https://otzovik.com/reviews/cifrovaya_dvuhtyunernaya_pristavka_gs_b626l/")</f>
        <v>https://otzovik.com/reviews/cifrovaya_dvuhtyunernaya_pristavka_gs_b626l/</v>
      </c>
      <c r="R1148" t="s">
        <v>184</v>
      </c>
      <c r="S1148" t="s">
        <v>125</v>
      </c>
      <c r="T1148" t="s">
        <v>4407</v>
      </c>
      <c r="U1148" t="s">
        <v>4408</v>
      </c>
      <c r="W1148">
        <v>0</v>
      </c>
      <c r="X1148">
        <v>0</v>
      </c>
      <c r="AE1148">
        <v>0</v>
      </c>
      <c r="AH1148">
        <v>4</v>
      </c>
      <c r="AM1148" t="s">
        <v>129</v>
      </c>
      <c r="AN1148" t="s">
        <v>130</v>
      </c>
      <c r="AP1148" t="s">
        <v>41</v>
      </c>
      <c r="AT1148" t="s">
        <v>45</v>
      </c>
      <c r="AW1148" t="s">
        <v>48</v>
      </c>
      <c r="AZ1148" t="s">
        <v>51</v>
      </c>
      <c r="BA1148" t="s">
        <v>52</v>
      </c>
      <c r="BL1148" t="s">
        <v>63</v>
      </c>
    </row>
    <row r="1149" spans="1:77" x14ac:dyDescent="0.2">
      <c r="A1149" t="s">
        <v>4052</v>
      </c>
      <c r="B1149" t="s">
        <v>3919</v>
      </c>
      <c r="C1149" t="s">
        <v>4409</v>
      </c>
      <c r="D1149" t="s">
        <v>4410</v>
      </c>
      <c r="E1149" t="s">
        <v>4411</v>
      </c>
      <c r="F1149" t="s">
        <v>118</v>
      </c>
      <c r="G1149" t="str">
        <f>HYPERLINK("https://www.youtube.com/watch?v=SBOnTeFxKFk&amp;lc=Ugxbvwzp___-hBhNnp14AaABAg")</f>
        <v>https://www.youtube.com/watch?v=SBOnTeFxKFk&amp;lc=Ugxbvwzp___-hBhNnp14AaABAg</v>
      </c>
      <c r="H1149" t="s">
        <v>119</v>
      </c>
      <c r="I1149" t="s">
        <v>4412</v>
      </c>
      <c r="J1149" t="str">
        <f>HYPERLINK("https://www.youtube.com/channel/UC0ug47EZEvC7DSvxxk6J6gQ")</f>
        <v>https://www.youtube.com/channel/UC0ug47EZEvC7DSvxxk6J6gQ</v>
      </c>
      <c r="K1149">
        <v>0</v>
      </c>
      <c r="L1149" t="s">
        <v>121</v>
      </c>
      <c r="N1149" t="s">
        <v>248</v>
      </c>
      <c r="O1149" t="s">
        <v>1910</v>
      </c>
      <c r="P1149" t="str">
        <f>HYPERLINK("https://www.youtube.com/channel/UCQgd9Ks9oBckRf9hadmZFdA")</f>
        <v>https://www.youtube.com/channel/UCQgd9Ks9oBckRf9hadmZFdA</v>
      </c>
      <c r="Q1149">
        <v>66700</v>
      </c>
      <c r="R1149" t="s">
        <v>124</v>
      </c>
      <c r="S1149" t="s">
        <v>125</v>
      </c>
      <c r="W1149">
        <v>1</v>
      </c>
      <c r="X1149">
        <v>1</v>
      </c>
      <c r="AE1149">
        <v>0</v>
      </c>
      <c r="AM1149" t="s">
        <v>129</v>
      </c>
      <c r="AN1149" t="s">
        <v>130</v>
      </c>
      <c r="AP1149" t="s">
        <v>41</v>
      </c>
      <c r="AW1149" t="s">
        <v>48</v>
      </c>
      <c r="AZ1149" t="s">
        <v>51</v>
      </c>
      <c r="BA1149" t="s">
        <v>52</v>
      </c>
      <c r="BL1149" t="s">
        <v>63</v>
      </c>
      <c r="BM1149" t="s">
        <v>64</v>
      </c>
    </row>
    <row r="1150" spans="1:77" x14ac:dyDescent="0.2">
      <c r="A1150" t="s">
        <v>4052</v>
      </c>
      <c r="B1150" t="s">
        <v>2727</v>
      </c>
      <c r="C1150" t="s">
        <v>4413</v>
      </c>
      <c r="D1150" t="s">
        <v>567</v>
      </c>
      <c r="E1150" t="s">
        <v>4414</v>
      </c>
      <c r="F1150" t="s">
        <v>118</v>
      </c>
      <c r="G1150" t="str">
        <f>HYPERLINK("https://vk.com/topic-27863223_35936941?post=115982")</f>
        <v>https://vk.com/topic-27863223_35936941?post=115982</v>
      </c>
      <c r="H1150" t="s">
        <v>119</v>
      </c>
      <c r="I1150" t="s">
        <v>4415</v>
      </c>
      <c r="J1150" t="str">
        <f>HYPERLINK("http://vk.com/id284818")</f>
        <v>http://vk.com/id284818</v>
      </c>
      <c r="K1150">
        <v>281</v>
      </c>
      <c r="L1150" t="s">
        <v>121</v>
      </c>
      <c r="N1150" t="s">
        <v>122</v>
      </c>
      <c r="O1150" t="s">
        <v>175</v>
      </c>
      <c r="P1150" t="str">
        <f>HYPERLINK("http://vk.com/club27863223")</f>
        <v>http://vk.com/club27863223</v>
      </c>
      <c r="Q1150">
        <v>134698</v>
      </c>
      <c r="R1150" t="s">
        <v>124</v>
      </c>
      <c r="S1150" t="s">
        <v>125</v>
      </c>
      <c r="T1150" t="s">
        <v>137</v>
      </c>
      <c r="U1150" t="s">
        <v>137</v>
      </c>
      <c r="AM1150" t="s">
        <v>129</v>
      </c>
      <c r="AN1150" t="s">
        <v>130</v>
      </c>
      <c r="AP1150" t="s">
        <v>41</v>
      </c>
      <c r="AU1150" t="s">
        <v>46</v>
      </c>
      <c r="AY1150" t="s">
        <v>50</v>
      </c>
      <c r="AZ1150" t="s">
        <v>51</v>
      </c>
      <c r="BA1150" t="s">
        <v>52</v>
      </c>
    </row>
    <row r="1151" spans="1:77" x14ac:dyDescent="0.2">
      <c r="A1151" t="s">
        <v>4052</v>
      </c>
      <c r="B1151" t="s">
        <v>621</v>
      </c>
      <c r="C1151" t="s">
        <v>4416</v>
      </c>
      <c r="D1151" t="s">
        <v>567</v>
      </c>
      <c r="E1151" t="s">
        <v>4417</v>
      </c>
      <c r="F1151" t="s">
        <v>118</v>
      </c>
      <c r="G1151" t="str">
        <f>HYPERLINK("https://vk.com/topic-27863223_35936941?post=115979")</f>
        <v>https://vk.com/topic-27863223_35936941?post=115979</v>
      </c>
      <c r="H1151" t="s">
        <v>119</v>
      </c>
      <c r="I1151" t="s">
        <v>4415</v>
      </c>
      <c r="J1151" t="str">
        <f>HYPERLINK("http://vk.com/id284818")</f>
        <v>http://vk.com/id284818</v>
      </c>
      <c r="K1151">
        <v>281</v>
      </c>
      <c r="L1151" t="s">
        <v>121</v>
      </c>
      <c r="N1151" t="s">
        <v>122</v>
      </c>
      <c r="O1151" t="s">
        <v>175</v>
      </c>
      <c r="P1151" t="str">
        <f>HYPERLINK("http://vk.com/club27863223")</f>
        <v>http://vk.com/club27863223</v>
      </c>
      <c r="Q1151">
        <v>134698</v>
      </c>
      <c r="R1151" t="s">
        <v>124</v>
      </c>
      <c r="S1151" t="s">
        <v>125</v>
      </c>
      <c r="T1151" t="s">
        <v>137</v>
      </c>
      <c r="U1151" t="s">
        <v>137</v>
      </c>
      <c r="AJ1151" t="s">
        <v>588</v>
      </c>
      <c r="AK1151" t="s">
        <v>453</v>
      </c>
      <c r="AL1151" t="str">
        <f>HYPERLINK("https://sun9-74.userapi.com/impg/bpVyux4rRATZha_PAseCUbEXQL7V-Rc8jtvNnQ/gWSe4XLh3Kg.jpg?size=750x643&amp;quality=96&amp;sign=5bfe8bfc22caa4b40cce3c223e7097c4&amp;c_uniq_tag=K2cIE5HOBSEq4x4VssVMRcqAXCD21mnCksM3PTeh5b4&amp;type=album")</f>
        <v>https://sun9-74.userapi.com/impg/bpVyux4rRATZha_PAseCUbEXQL7V-Rc8jtvNnQ/gWSe4XLh3Kg.jpg?size=750x643&amp;quality=96&amp;sign=5bfe8bfc22caa4b40cce3c223e7097c4&amp;c_uniq_tag=K2cIE5HOBSEq4x4VssVMRcqAXCD21mnCksM3PTeh5b4&amp;type=album</v>
      </c>
      <c r="AM1151" t="s">
        <v>129</v>
      </c>
      <c r="AN1151" t="s">
        <v>130</v>
      </c>
      <c r="AP1151" t="s">
        <v>41</v>
      </c>
      <c r="AY1151" t="s">
        <v>50</v>
      </c>
      <c r="AZ1151" t="s">
        <v>51</v>
      </c>
      <c r="BA1151" t="s">
        <v>52</v>
      </c>
      <c r="BL1151" t="s">
        <v>63</v>
      </c>
    </row>
    <row r="1152" spans="1:77" x14ac:dyDescent="0.2">
      <c r="A1152" t="s">
        <v>4052</v>
      </c>
      <c r="B1152" t="s">
        <v>3936</v>
      </c>
      <c r="C1152" t="s">
        <v>4418</v>
      </c>
      <c r="D1152" t="s">
        <v>4419</v>
      </c>
      <c r="E1152" t="s">
        <v>4420</v>
      </c>
      <c r="F1152" t="s">
        <v>118</v>
      </c>
      <c r="G1152" t="str">
        <f>HYPERLINK("https://vk.com/wall-204351896_461?reply=488&amp;thread=469")</f>
        <v>https://vk.com/wall-204351896_461?reply=488&amp;thread=469</v>
      </c>
      <c r="H1152" t="s">
        <v>119</v>
      </c>
      <c r="I1152" t="s">
        <v>254</v>
      </c>
      <c r="J1152" t="str">
        <f>HYPERLINK("http://vk.com/id286061518")</f>
        <v>http://vk.com/id286061518</v>
      </c>
      <c r="K1152">
        <v>5170</v>
      </c>
      <c r="L1152" t="s">
        <v>121</v>
      </c>
      <c r="M1152">
        <v>34</v>
      </c>
      <c r="N1152" t="s">
        <v>122</v>
      </c>
      <c r="O1152" t="s">
        <v>359</v>
      </c>
      <c r="P1152" t="str">
        <f>HYPERLINK("http://vk.com/club204351896")</f>
        <v>http://vk.com/club204351896</v>
      </c>
      <c r="Q1152">
        <v>272</v>
      </c>
      <c r="R1152" t="s">
        <v>124</v>
      </c>
      <c r="S1152" t="s">
        <v>125</v>
      </c>
      <c r="T1152" t="s">
        <v>256</v>
      </c>
      <c r="U1152" t="s">
        <v>257</v>
      </c>
      <c r="AM1152" t="s">
        <v>129</v>
      </c>
      <c r="AN1152" t="s">
        <v>130</v>
      </c>
      <c r="AP1152" t="s">
        <v>41</v>
      </c>
      <c r="AU1152" t="s">
        <v>46</v>
      </c>
      <c r="AZ1152" t="s">
        <v>51</v>
      </c>
      <c r="BA1152" t="s">
        <v>52</v>
      </c>
    </row>
    <row r="1153" spans="1:69" x14ac:dyDescent="0.2">
      <c r="A1153" t="s">
        <v>4052</v>
      </c>
      <c r="B1153" t="s">
        <v>4421</v>
      </c>
      <c r="C1153" t="s">
        <v>4422</v>
      </c>
      <c r="D1153" t="s">
        <v>129</v>
      </c>
      <c r="E1153" t="s">
        <v>4423</v>
      </c>
      <c r="F1153" t="s">
        <v>180</v>
      </c>
      <c r="G1153" t="str">
        <f>HYPERLINK("https://twitter.com/360582757/status/1418474111689445381")</f>
        <v>https://twitter.com/360582757/status/1418474111689445381</v>
      </c>
      <c r="H1153" t="s">
        <v>119</v>
      </c>
      <c r="I1153" t="s">
        <v>175</v>
      </c>
      <c r="J1153" t="str">
        <f>HYPERLINK("http://twitter.com/tricolortv")</f>
        <v>http://twitter.com/tricolortv</v>
      </c>
      <c r="K1153">
        <v>5663</v>
      </c>
      <c r="N1153" t="s">
        <v>350</v>
      </c>
      <c r="R1153" t="s">
        <v>124</v>
      </c>
      <c r="S1153" t="s">
        <v>125</v>
      </c>
      <c r="T1153" t="s">
        <v>137</v>
      </c>
      <c r="U1153" t="s">
        <v>137</v>
      </c>
      <c r="W1153">
        <v>0</v>
      </c>
      <c r="X1153">
        <v>0</v>
      </c>
      <c r="AE1153">
        <v>0</v>
      </c>
      <c r="AF1153">
        <v>0</v>
      </c>
      <c r="AJ1153" t="s">
        <v>588</v>
      </c>
      <c r="AK1153" t="s">
        <v>129</v>
      </c>
      <c r="AL1153" t="str">
        <f>HYPERLINK("https://pbs.twimg.com/media/E69unlZXEAAFzKt.jpg")</f>
        <v>https://pbs.twimg.com/media/E69unlZXEAAFzKt.jpg</v>
      </c>
      <c r="AM1153" t="s">
        <v>129</v>
      </c>
      <c r="AN1153" t="s">
        <v>130</v>
      </c>
      <c r="BI1153" t="s">
        <v>60</v>
      </c>
    </row>
    <row r="1154" spans="1:69" x14ac:dyDescent="0.2">
      <c r="A1154" t="s">
        <v>4052</v>
      </c>
      <c r="B1154" t="s">
        <v>4421</v>
      </c>
      <c r="C1154" t="s">
        <v>4424</v>
      </c>
      <c r="D1154" t="s">
        <v>4419</v>
      </c>
      <c r="E1154" t="s">
        <v>4425</v>
      </c>
      <c r="F1154" t="s">
        <v>118</v>
      </c>
      <c r="G1154" t="str">
        <f>HYPERLINK("https://vk.com/wall-204351896_461?reply=487&amp;thread=469")</f>
        <v>https://vk.com/wall-204351896_461?reply=487&amp;thread=469</v>
      </c>
      <c r="H1154" t="s">
        <v>119</v>
      </c>
      <c r="I1154" t="s">
        <v>254</v>
      </c>
      <c r="J1154" t="str">
        <f>HYPERLINK("http://vk.com/id286061518")</f>
        <v>http://vk.com/id286061518</v>
      </c>
      <c r="K1154">
        <v>5170</v>
      </c>
      <c r="L1154" t="s">
        <v>121</v>
      </c>
      <c r="M1154">
        <v>34</v>
      </c>
      <c r="N1154" t="s">
        <v>122</v>
      </c>
      <c r="O1154" t="s">
        <v>359</v>
      </c>
      <c r="P1154" t="str">
        <f>HYPERLINK("http://vk.com/club204351896")</f>
        <v>http://vk.com/club204351896</v>
      </c>
      <c r="Q1154">
        <v>272</v>
      </c>
      <c r="R1154" t="s">
        <v>124</v>
      </c>
      <c r="S1154" t="s">
        <v>125</v>
      </c>
      <c r="T1154" t="s">
        <v>256</v>
      </c>
      <c r="U1154" t="s">
        <v>257</v>
      </c>
      <c r="AM1154" t="s">
        <v>129</v>
      </c>
      <c r="AN1154" t="s">
        <v>130</v>
      </c>
      <c r="AP1154" t="s">
        <v>41</v>
      </c>
      <c r="AU1154" t="s">
        <v>46</v>
      </c>
      <c r="AZ1154" t="s">
        <v>51</v>
      </c>
      <c r="BA1154" t="s">
        <v>52</v>
      </c>
    </row>
    <row r="1155" spans="1:69" x14ac:dyDescent="0.2">
      <c r="A1155" t="s">
        <v>4052</v>
      </c>
      <c r="B1155" t="s">
        <v>4421</v>
      </c>
      <c r="C1155" t="s">
        <v>4424</v>
      </c>
      <c r="D1155" t="s">
        <v>4419</v>
      </c>
      <c r="E1155" t="s">
        <v>4426</v>
      </c>
      <c r="F1155" t="s">
        <v>118</v>
      </c>
      <c r="G1155" t="str">
        <f>HYPERLINK("https://vk.com/wall-204351896_461?reply=486&amp;thread=469")</f>
        <v>https://vk.com/wall-204351896_461?reply=486&amp;thread=469</v>
      </c>
      <c r="H1155" t="s">
        <v>119</v>
      </c>
      <c r="I1155" t="s">
        <v>254</v>
      </c>
      <c r="J1155" t="str">
        <f>HYPERLINK("http://vk.com/id286061518")</f>
        <v>http://vk.com/id286061518</v>
      </c>
      <c r="K1155">
        <v>5170</v>
      </c>
      <c r="L1155" t="s">
        <v>121</v>
      </c>
      <c r="M1155">
        <v>34</v>
      </c>
      <c r="N1155" t="s">
        <v>122</v>
      </c>
      <c r="O1155" t="s">
        <v>359</v>
      </c>
      <c r="P1155" t="str">
        <f>HYPERLINK("http://vk.com/club204351896")</f>
        <v>http://vk.com/club204351896</v>
      </c>
      <c r="Q1155">
        <v>272</v>
      </c>
      <c r="R1155" t="s">
        <v>124</v>
      </c>
      <c r="S1155" t="s">
        <v>125</v>
      </c>
      <c r="T1155" t="s">
        <v>256</v>
      </c>
      <c r="U1155" t="s">
        <v>257</v>
      </c>
      <c r="AM1155" t="s">
        <v>129</v>
      </c>
      <c r="AN1155" t="s">
        <v>130</v>
      </c>
      <c r="AP1155" t="s">
        <v>41</v>
      </c>
      <c r="AU1155" t="s">
        <v>46</v>
      </c>
      <c r="AZ1155" t="s">
        <v>51</v>
      </c>
      <c r="BA1155" t="s">
        <v>52</v>
      </c>
    </row>
    <row r="1156" spans="1:69" x14ac:dyDescent="0.2">
      <c r="A1156" t="s">
        <v>4052</v>
      </c>
      <c r="B1156" t="s">
        <v>639</v>
      </c>
      <c r="C1156" t="s">
        <v>4427</v>
      </c>
      <c r="D1156" t="s">
        <v>4428</v>
      </c>
      <c r="E1156" t="s">
        <v>4429</v>
      </c>
      <c r="F1156" t="s">
        <v>118</v>
      </c>
      <c r="G1156" t="str">
        <f>HYPERLINK("https://vk.com/wall-204351896_475?reply=485")</f>
        <v>https://vk.com/wall-204351896_475?reply=485</v>
      </c>
      <c r="H1156" t="s">
        <v>119</v>
      </c>
      <c r="I1156" t="s">
        <v>254</v>
      </c>
      <c r="J1156" t="str">
        <f>HYPERLINK("http://vk.com/id286061518")</f>
        <v>http://vk.com/id286061518</v>
      </c>
      <c r="K1156">
        <v>5170</v>
      </c>
      <c r="L1156" t="s">
        <v>121</v>
      </c>
      <c r="M1156">
        <v>34</v>
      </c>
      <c r="N1156" t="s">
        <v>122</v>
      </c>
      <c r="O1156" t="s">
        <v>359</v>
      </c>
      <c r="P1156" t="str">
        <f>HYPERLINK("http://vk.com/club204351896")</f>
        <v>http://vk.com/club204351896</v>
      </c>
      <c r="Q1156">
        <v>272</v>
      </c>
      <c r="R1156" t="s">
        <v>124</v>
      </c>
      <c r="S1156" t="s">
        <v>125</v>
      </c>
      <c r="T1156" t="s">
        <v>256</v>
      </c>
      <c r="U1156" t="s">
        <v>257</v>
      </c>
      <c r="AM1156" t="s">
        <v>129</v>
      </c>
      <c r="AN1156" t="s">
        <v>130</v>
      </c>
      <c r="AP1156" t="s">
        <v>41</v>
      </c>
      <c r="AU1156" t="s">
        <v>46</v>
      </c>
      <c r="AZ1156" t="s">
        <v>51</v>
      </c>
      <c r="BA1156" t="s">
        <v>52</v>
      </c>
    </row>
    <row r="1157" spans="1:69" x14ac:dyDescent="0.2">
      <c r="A1157" t="s">
        <v>4052</v>
      </c>
      <c r="B1157" t="s">
        <v>3224</v>
      </c>
      <c r="C1157" t="s">
        <v>4430</v>
      </c>
      <c r="D1157" t="s">
        <v>4431</v>
      </c>
      <c r="E1157" t="s">
        <v>4432</v>
      </c>
      <c r="F1157" t="s">
        <v>180</v>
      </c>
      <c r="G1157" t="str">
        <f>HYPERLINK("https://www.ozon.ru/context/detail/id/243329148/#61441425")</f>
        <v>https://www.ozon.ru/context/detail/id/243329148/#61441425</v>
      </c>
      <c r="H1157" t="s">
        <v>181</v>
      </c>
      <c r="I1157" t="s">
        <v>4433</v>
      </c>
      <c r="J1157" t="str">
        <f>HYPERLINK("https://www.ozon.ru/context/client_opinion/ClientGuid/9408589a-2722-4f18-9059-0b601628a546/")</f>
        <v>https://www.ozon.ru/context/client_opinion/ClientGuid/9408589a-2722-4f18-9059-0b601628a546/</v>
      </c>
      <c r="L1157" t="s">
        <v>121</v>
      </c>
      <c r="N1157" t="s">
        <v>183</v>
      </c>
      <c r="O1157" t="s">
        <v>4431</v>
      </c>
      <c r="P1157" t="str">
        <f>HYPERLINK("https://www.ozon.ru/context/detail/id/243329148/")</f>
        <v>https://www.ozon.ru/context/detail/id/243329148/</v>
      </c>
      <c r="R1157" t="s">
        <v>184</v>
      </c>
      <c r="S1157" t="s">
        <v>125</v>
      </c>
      <c r="W1157">
        <v>0</v>
      </c>
      <c r="X1157">
        <v>0</v>
      </c>
      <c r="AH1157">
        <v>5</v>
      </c>
      <c r="AM1157" t="s">
        <v>129</v>
      </c>
      <c r="AN1157" t="s">
        <v>130</v>
      </c>
      <c r="AP1157" t="s">
        <v>41</v>
      </c>
      <c r="AT1157" t="s">
        <v>45</v>
      </c>
      <c r="AZ1157" t="s">
        <v>51</v>
      </c>
      <c r="BA1157" t="s">
        <v>52</v>
      </c>
      <c r="BM1157" t="s">
        <v>64</v>
      </c>
    </row>
    <row r="1158" spans="1:69" x14ac:dyDescent="0.2">
      <c r="A1158" t="s">
        <v>4052</v>
      </c>
      <c r="B1158" t="s">
        <v>1747</v>
      </c>
      <c r="C1158" t="s">
        <v>4434</v>
      </c>
      <c r="D1158" t="s">
        <v>3109</v>
      </c>
      <c r="E1158" t="s">
        <v>4435</v>
      </c>
      <c r="F1158" t="s">
        <v>180</v>
      </c>
      <c r="G1158" t="str">
        <f>HYPERLINK("https://market.yandex.ru/product/965124214/reviews?id=135073629")</f>
        <v>https://market.yandex.ru/product/965124214/reviews?id=135073629</v>
      </c>
      <c r="H1158" t="s">
        <v>119</v>
      </c>
      <c r="I1158" t="s">
        <v>4436</v>
      </c>
      <c r="J1158" t="str">
        <f>HYPERLINK("https://market.yandex.ru/user/wwndr96aap919u6k4ah5f7e9wc/reviews")</f>
        <v>https://market.yandex.ru/user/wwndr96aap919u6k4ah5f7e9wc/reviews</v>
      </c>
      <c r="L1158" t="s">
        <v>121</v>
      </c>
      <c r="N1158" t="s">
        <v>611</v>
      </c>
      <c r="O1158" t="s">
        <v>3109</v>
      </c>
      <c r="P1158" t="str">
        <f>HYPERLINK("https://market.yandex.ru/product/965124214")</f>
        <v>https://market.yandex.ru/product/965124214</v>
      </c>
      <c r="R1158" t="s">
        <v>184</v>
      </c>
      <c r="S1158" t="s">
        <v>125</v>
      </c>
      <c r="T1158" t="s">
        <v>137</v>
      </c>
      <c r="U1158" t="s">
        <v>137</v>
      </c>
      <c r="W1158">
        <v>0</v>
      </c>
      <c r="X1158">
        <v>0</v>
      </c>
      <c r="AH1158">
        <v>4</v>
      </c>
      <c r="AM1158" t="s">
        <v>129</v>
      </c>
      <c r="AN1158" t="s">
        <v>130</v>
      </c>
      <c r="AP1158" t="s">
        <v>41</v>
      </c>
      <c r="AT1158" t="s">
        <v>45</v>
      </c>
      <c r="AZ1158" t="s">
        <v>51</v>
      </c>
      <c r="BA1158" t="s">
        <v>52</v>
      </c>
      <c r="BL1158" t="s">
        <v>63</v>
      </c>
    </row>
    <row r="1159" spans="1:69" x14ac:dyDescent="0.2">
      <c r="A1159" t="s">
        <v>4052</v>
      </c>
      <c r="B1159" t="s">
        <v>1749</v>
      </c>
      <c r="C1159" t="s">
        <v>4418</v>
      </c>
      <c r="D1159" t="s">
        <v>4290</v>
      </c>
      <c r="E1159" t="s">
        <v>4437</v>
      </c>
      <c r="F1159" t="s">
        <v>180</v>
      </c>
      <c r="G1159" t="str">
        <f>HYPERLINK("https://ok.ru/group/51085510115462/topic/153478997583238")</f>
        <v>https://ok.ru/group/51085510115462/topic/153478997583238</v>
      </c>
      <c r="H1159" t="s">
        <v>119</v>
      </c>
      <c r="I1159" t="s">
        <v>175</v>
      </c>
      <c r="J1159" t="str">
        <f>HYPERLINK("https://ok.ru/group/51085510115462")</f>
        <v>https://ok.ru/group/51085510115462</v>
      </c>
      <c r="K1159">
        <v>94768</v>
      </c>
      <c r="L1159" t="s">
        <v>340</v>
      </c>
      <c r="N1159" t="s">
        <v>347</v>
      </c>
      <c r="O1159" t="s">
        <v>175</v>
      </c>
      <c r="P1159" t="str">
        <f>HYPERLINK("https://ok.ru/group/51085510115462")</f>
        <v>https://ok.ru/group/51085510115462</v>
      </c>
      <c r="Q1159">
        <v>94768</v>
      </c>
      <c r="R1159" t="s">
        <v>124</v>
      </c>
      <c r="W1159">
        <v>15</v>
      </c>
      <c r="X1159">
        <v>15</v>
      </c>
      <c r="Y1159">
        <v>0</v>
      </c>
      <c r="Z1159">
        <v>0</v>
      </c>
      <c r="AA1159">
        <v>0</v>
      </c>
      <c r="AB1159">
        <v>0</v>
      </c>
      <c r="AE1159">
        <v>0</v>
      </c>
      <c r="AF1159">
        <v>0</v>
      </c>
      <c r="AJ1159" t="s">
        <v>588</v>
      </c>
      <c r="AK1159" t="s">
        <v>129</v>
      </c>
      <c r="AL1159" t="str">
        <f>HYPERLINK("https://i.mycdn.me/image?id=918872187782&amp;t=20&amp;plc=API&amp;aid=1131601408&amp;tkn=*yJhij-ju8fohynKB1MwJYN1-FwA")</f>
        <v>https://i.mycdn.me/image?id=918872187782&amp;t=20&amp;plc=API&amp;aid=1131601408&amp;tkn=*yJhij-ju8fohynKB1MwJYN1-FwA</v>
      </c>
      <c r="AM1159" t="s">
        <v>129</v>
      </c>
      <c r="AN1159" t="s">
        <v>130</v>
      </c>
      <c r="BI1159" t="s">
        <v>60</v>
      </c>
    </row>
    <row r="1160" spans="1:69" x14ac:dyDescent="0.2">
      <c r="A1160" t="s">
        <v>4052</v>
      </c>
      <c r="B1160" t="s">
        <v>2181</v>
      </c>
      <c r="C1160" t="s">
        <v>4438</v>
      </c>
      <c r="D1160" t="s">
        <v>129</v>
      </c>
      <c r="E1160" t="s">
        <v>4439</v>
      </c>
      <c r="F1160" t="s">
        <v>180</v>
      </c>
      <c r="G1160" t="str">
        <f>HYPERLINK("https://www.facebook.com/tricolortv/posts/4109352395785666")</f>
        <v>https://www.facebook.com/tricolortv/posts/4109352395785666</v>
      </c>
      <c r="H1160" t="s">
        <v>119</v>
      </c>
      <c r="I1160" t="s">
        <v>175</v>
      </c>
      <c r="J1160" t="str">
        <f>HYPERLINK("https://www.facebook.com/206198386101106")</f>
        <v>https://www.facebook.com/206198386101106</v>
      </c>
      <c r="K1160">
        <v>16432</v>
      </c>
      <c r="L1160" t="s">
        <v>340</v>
      </c>
      <c r="N1160" t="s">
        <v>305</v>
      </c>
      <c r="O1160" t="s">
        <v>175</v>
      </c>
      <c r="P1160" t="str">
        <f>HYPERLINK("https://www.facebook.com/206198386101106")</f>
        <v>https://www.facebook.com/206198386101106</v>
      </c>
      <c r="Q1160">
        <v>16432</v>
      </c>
      <c r="R1160" t="s">
        <v>124</v>
      </c>
      <c r="W1160">
        <v>2</v>
      </c>
      <c r="X1160">
        <v>2</v>
      </c>
      <c r="Y1160">
        <v>0</v>
      </c>
      <c r="Z1160">
        <v>0</v>
      </c>
      <c r="AA1160">
        <v>0</v>
      </c>
      <c r="AB1160">
        <v>0</v>
      </c>
      <c r="AC1160">
        <v>0</v>
      </c>
      <c r="AE1160">
        <v>10</v>
      </c>
      <c r="AF1160">
        <v>0</v>
      </c>
      <c r="AJ1160" t="s">
        <v>588</v>
      </c>
      <c r="AK1160" t="s">
        <v>129</v>
      </c>
      <c r="AL1160" t="s">
        <v>4440</v>
      </c>
      <c r="AM1160" t="s">
        <v>129</v>
      </c>
      <c r="AN1160" t="s">
        <v>130</v>
      </c>
      <c r="BI1160" t="s">
        <v>60</v>
      </c>
    </row>
    <row r="1161" spans="1:69" x14ac:dyDescent="0.2">
      <c r="A1161" t="s">
        <v>4052</v>
      </c>
      <c r="B1161" t="s">
        <v>3960</v>
      </c>
      <c r="C1161" t="s">
        <v>4441</v>
      </c>
      <c r="D1161" t="s">
        <v>129</v>
      </c>
      <c r="E1161" t="s">
        <v>4442</v>
      </c>
      <c r="F1161" t="s">
        <v>180</v>
      </c>
      <c r="G1161" t="str">
        <f>HYPERLINK("https://vk.com/wall-29017_656384")</f>
        <v>https://vk.com/wall-29017_656384</v>
      </c>
      <c r="H1161" t="s">
        <v>119</v>
      </c>
      <c r="I1161" t="s">
        <v>4443</v>
      </c>
      <c r="J1161" t="str">
        <f>HYPERLINK("http://vk.com/id61800393")</f>
        <v>http://vk.com/id61800393</v>
      </c>
      <c r="K1161">
        <v>103</v>
      </c>
      <c r="L1161" t="s">
        <v>151</v>
      </c>
      <c r="N1161" t="s">
        <v>122</v>
      </c>
      <c r="O1161" t="s">
        <v>4444</v>
      </c>
      <c r="P1161" t="str">
        <f>HYPERLINK("http://vk.com/club29017")</f>
        <v>http://vk.com/club29017</v>
      </c>
      <c r="Q1161">
        <v>28247</v>
      </c>
      <c r="R1161" t="s">
        <v>124</v>
      </c>
      <c r="S1161" t="s">
        <v>125</v>
      </c>
      <c r="T1161" t="s">
        <v>1401</v>
      </c>
      <c r="U1161" t="s">
        <v>4445</v>
      </c>
      <c r="AM1161" t="s">
        <v>129</v>
      </c>
      <c r="AN1161" t="s">
        <v>130</v>
      </c>
      <c r="AP1161" t="s">
        <v>41</v>
      </c>
      <c r="AU1161" t="s">
        <v>46</v>
      </c>
      <c r="BA1161" t="s">
        <v>52</v>
      </c>
      <c r="BE1161" t="s">
        <v>56</v>
      </c>
    </row>
    <row r="1162" spans="1:69" x14ac:dyDescent="0.2">
      <c r="A1162" t="s">
        <v>4052</v>
      </c>
      <c r="B1162" t="s">
        <v>1139</v>
      </c>
      <c r="C1162" t="s">
        <v>4446</v>
      </c>
      <c r="D1162" t="s">
        <v>1697</v>
      </c>
      <c r="E1162" t="s">
        <v>4447</v>
      </c>
      <c r="F1162" t="s">
        <v>180</v>
      </c>
      <c r="G1162" t="str">
        <f>HYPERLINK("https://apps.apple.com/ru/app/мой-триколор/id1204321194#7607945297")</f>
        <v>https://apps.apple.com/ru/app/мой-триколор/id1204321194#7607945297</v>
      </c>
      <c r="H1162" t="s">
        <v>228</v>
      </c>
      <c r="I1162" t="s">
        <v>4448</v>
      </c>
      <c r="J1162" t="str">
        <f>HYPERLINK("https://itunes.apple.com/reviews?userProfileId=656833680")</f>
        <v>https://itunes.apple.com/reviews?userProfileId=656833680</v>
      </c>
      <c r="N1162" t="s">
        <v>1411</v>
      </c>
      <c r="O1162" t="s">
        <v>1697</v>
      </c>
      <c r="P1162" t="str">
        <f>HYPERLINK("https://apps.apple.com/ru/app/мой-триколор/id1204321194")</f>
        <v>https://apps.apple.com/ru/app/мой-триколор/id1204321194</v>
      </c>
      <c r="R1162" t="s">
        <v>184</v>
      </c>
      <c r="S1162" t="s">
        <v>125</v>
      </c>
      <c r="AH1162">
        <v>1</v>
      </c>
      <c r="AM1162" t="s">
        <v>129</v>
      </c>
      <c r="AN1162" t="s">
        <v>130</v>
      </c>
      <c r="AP1162" t="s">
        <v>41</v>
      </c>
      <c r="AZ1162" t="s">
        <v>51</v>
      </c>
      <c r="BA1162" t="s">
        <v>52</v>
      </c>
      <c r="BQ1162" t="s">
        <v>68</v>
      </c>
    </row>
    <row r="1163" spans="1:69" x14ac:dyDescent="0.2">
      <c r="A1163" t="s">
        <v>4052</v>
      </c>
      <c r="B1163" t="s">
        <v>4449</v>
      </c>
      <c r="C1163" t="s">
        <v>2441</v>
      </c>
      <c r="D1163" t="s">
        <v>4450</v>
      </c>
      <c r="E1163" t="s">
        <v>4451</v>
      </c>
      <c r="F1163" t="s">
        <v>180</v>
      </c>
      <c r="G1163" t="str">
        <f>HYPERLINK("https://www.ozon.ru/context/detail/id/194435202/#61427264")</f>
        <v>https://www.ozon.ru/context/detail/id/194435202/#61427264</v>
      </c>
      <c r="H1163" t="s">
        <v>119</v>
      </c>
      <c r="I1163" t="s">
        <v>4452</v>
      </c>
      <c r="J1163" t="str">
        <f>HYPERLINK("https://www.ozon.ru/context/client_opinion/ClientGuid/5dd2c607-b837-451d-8f8d-fc74cc351368/")</f>
        <v>https://www.ozon.ru/context/client_opinion/ClientGuid/5dd2c607-b837-451d-8f8d-fc74cc351368/</v>
      </c>
      <c r="L1163" t="s">
        <v>121</v>
      </c>
      <c r="N1163" t="s">
        <v>183</v>
      </c>
      <c r="O1163" t="s">
        <v>4450</v>
      </c>
      <c r="P1163" t="str">
        <f>HYPERLINK("https://www.ozon.ru/context/detail/id/194435202/")</f>
        <v>https://www.ozon.ru/context/detail/id/194435202/</v>
      </c>
      <c r="R1163" t="s">
        <v>184</v>
      </c>
      <c r="S1163" t="s">
        <v>125</v>
      </c>
      <c r="W1163">
        <v>0</v>
      </c>
      <c r="X1163">
        <v>0</v>
      </c>
      <c r="AH1163">
        <v>2</v>
      </c>
      <c r="AM1163" t="s">
        <v>129</v>
      </c>
      <c r="AN1163" t="s">
        <v>130</v>
      </c>
      <c r="AP1163" t="s">
        <v>41</v>
      </c>
      <c r="AU1163" t="s">
        <v>46</v>
      </c>
      <c r="AZ1163" t="s">
        <v>51</v>
      </c>
      <c r="BA1163" t="s">
        <v>52</v>
      </c>
      <c r="BL1163" t="s">
        <v>63</v>
      </c>
    </row>
    <row r="1164" spans="1:69" x14ac:dyDescent="0.2">
      <c r="A1164" t="s">
        <v>4052</v>
      </c>
      <c r="B1164" t="s">
        <v>1779</v>
      </c>
      <c r="C1164" t="s">
        <v>4453</v>
      </c>
      <c r="D1164" t="s">
        <v>4454</v>
      </c>
      <c r="E1164" t="s">
        <v>4455</v>
      </c>
      <c r="F1164" t="s">
        <v>180</v>
      </c>
      <c r="G1164" t="str">
        <f>HYPERLINK("https://www.wildberries.ru/catalog/19655320/detail.aspx?targetUrl=ES#Comments")</f>
        <v>https://www.wildberries.ru/catalog/19655320/detail.aspx?targetUrl=ES#Comments</v>
      </c>
      <c r="H1164" t="s">
        <v>181</v>
      </c>
      <c r="I1164" t="s">
        <v>4456</v>
      </c>
      <c r="J1164" t="str">
        <f>HYPERLINK("https://www.wildberries.ru/profile/w7TDssOkw7PCu8K1wrfCtcKzwrHCs8K2wrk=")</f>
        <v>https://www.wildberries.ru/profile/w7TDssOkw7PCu8K1wrfCtcKzwrHCs8K2wrk=</v>
      </c>
      <c r="L1164" t="s">
        <v>151</v>
      </c>
      <c r="N1164" t="s">
        <v>534</v>
      </c>
      <c r="O1164" t="s">
        <v>4454</v>
      </c>
      <c r="P1164" t="str">
        <f>HYPERLINK("https://www.wildberries.ru/catalog/14544176/detail.aspx")</f>
        <v>https://www.wildberries.ru/catalog/14544176/detail.aspx</v>
      </c>
      <c r="R1164" t="s">
        <v>184</v>
      </c>
      <c r="S1164" t="s">
        <v>125</v>
      </c>
      <c r="W1164">
        <v>0</v>
      </c>
      <c r="X1164">
        <v>0</v>
      </c>
      <c r="AH1164">
        <v>5</v>
      </c>
      <c r="AJ1164" t="s">
        <v>129</v>
      </c>
      <c r="AK1164" t="s">
        <v>129</v>
      </c>
      <c r="AL1164" t="str">
        <f>HYPERLINK("http://feedbackphotos.wbstatic.net/feedbacks/1454/14544176/28596d48-a8f9-4711-a2f5-9ea810a745c6_fs.jpg")</f>
        <v>http://feedbackphotos.wbstatic.net/feedbacks/1454/14544176/28596d48-a8f9-4711-a2f5-9ea810a745c6_fs.jpg</v>
      </c>
      <c r="AM1164" t="s">
        <v>129</v>
      </c>
      <c r="AN1164" t="s">
        <v>130</v>
      </c>
      <c r="AP1164" t="s">
        <v>41</v>
      </c>
      <c r="AT1164" t="s">
        <v>45</v>
      </c>
      <c r="AZ1164" t="s">
        <v>51</v>
      </c>
      <c r="BA1164" t="s">
        <v>52</v>
      </c>
      <c r="BL1164" t="s">
        <v>63</v>
      </c>
    </row>
    <row r="1165" spans="1:69" x14ac:dyDescent="0.2">
      <c r="A1165" t="s">
        <v>4052</v>
      </c>
      <c r="B1165" t="s">
        <v>1790</v>
      </c>
      <c r="C1165" t="s">
        <v>4457</v>
      </c>
      <c r="D1165" t="s">
        <v>4458</v>
      </c>
      <c r="E1165" t="s">
        <v>4459</v>
      </c>
      <c r="F1165" t="s">
        <v>180</v>
      </c>
      <c r="G1165" t="str">
        <f>HYPERLINK("https://www.ozon.ru/context/detail/id/180483130/#61416067")</f>
        <v>https://www.ozon.ru/context/detail/id/180483130/#61416067</v>
      </c>
      <c r="H1165" t="s">
        <v>181</v>
      </c>
      <c r="I1165" t="s">
        <v>4460</v>
      </c>
      <c r="J1165" t="str">
        <f>HYPERLINK("https://www.ozon.ru/context/client_opinion/ClientGuid/0f5c02cf-b7d8-42ad-9fae-2d5e0b6d5cad/")</f>
        <v>https://www.ozon.ru/context/client_opinion/ClientGuid/0f5c02cf-b7d8-42ad-9fae-2d5e0b6d5cad/</v>
      </c>
      <c r="L1165" t="s">
        <v>151</v>
      </c>
      <c r="N1165" t="s">
        <v>183</v>
      </c>
      <c r="O1165" t="s">
        <v>4458</v>
      </c>
      <c r="P1165" t="str">
        <f>HYPERLINK("https://www.ozon.ru/context/detail/id/180483130/")</f>
        <v>https://www.ozon.ru/context/detail/id/180483130/</v>
      </c>
      <c r="R1165" t="s">
        <v>184</v>
      </c>
      <c r="S1165" t="s">
        <v>125</v>
      </c>
      <c r="W1165">
        <v>0</v>
      </c>
      <c r="X1165">
        <v>0</v>
      </c>
      <c r="AH1165">
        <v>5</v>
      </c>
      <c r="AM1165" t="s">
        <v>129</v>
      </c>
      <c r="AN1165" t="s">
        <v>130</v>
      </c>
      <c r="AP1165" t="s">
        <v>41</v>
      </c>
      <c r="AZ1165" t="s">
        <v>51</v>
      </c>
      <c r="BA1165" t="s">
        <v>52</v>
      </c>
      <c r="BK1165" t="s">
        <v>62</v>
      </c>
      <c r="BL1165" t="s">
        <v>63</v>
      </c>
    </row>
    <row r="1166" spans="1:69" x14ac:dyDescent="0.2">
      <c r="A1166" t="s">
        <v>4052</v>
      </c>
      <c r="B1166" t="s">
        <v>1790</v>
      </c>
      <c r="C1166" t="s">
        <v>4461</v>
      </c>
      <c r="D1166" t="s">
        <v>3986</v>
      </c>
      <c r="E1166" t="s">
        <v>4462</v>
      </c>
      <c r="F1166" t="s">
        <v>118</v>
      </c>
      <c r="G1166" t="str">
        <f>HYPERLINK("https://vk.com/wall-291357_129042?reply=129062&amp;thread=129043")</f>
        <v>https://vk.com/wall-291357_129042?reply=129062&amp;thread=129043</v>
      </c>
      <c r="H1166" t="s">
        <v>119</v>
      </c>
      <c r="I1166" t="s">
        <v>3988</v>
      </c>
      <c r="J1166" t="str">
        <f>HYPERLINK("http://vk.com/id22371591")</f>
        <v>http://vk.com/id22371591</v>
      </c>
      <c r="K1166">
        <v>211</v>
      </c>
      <c r="L1166" t="s">
        <v>121</v>
      </c>
      <c r="M1166">
        <v>32</v>
      </c>
      <c r="N1166" t="s">
        <v>122</v>
      </c>
      <c r="O1166" t="s">
        <v>3989</v>
      </c>
      <c r="P1166" t="str">
        <f>HYPERLINK("http://vk.com/club291357")</f>
        <v>http://vk.com/club291357</v>
      </c>
      <c r="Q1166">
        <v>11168</v>
      </c>
      <c r="R1166" t="s">
        <v>124</v>
      </c>
      <c r="S1166" t="s">
        <v>125</v>
      </c>
      <c r="T1166" t="s">
        <v>1027</v>
      </c>
      <c r="U1166" t="s">
        <v>3990</v>
      </c>
      <c r="AM1166" t="s">
        <v>129</v>
      </c>
      <c r="AN1166" t="s">
        <v>130</v>
      </c>
      <c r="AP1166" t="s">
        <v>41</v>
      </c>
      <c r="AY1166" t="s">
        <v>50</v>
      </c>
      <c r="BA1166" t="s">
        <v>52</v>
      </c>
      <c r="BE1166" t="s">
        <v>56</v>
      </c>
    </row>
    <row r="1167" spans="1:69" x14ac:dyDescent="0.2">
      <c r="A1167" t="s">
        <v>4052</v>
      </c>
      <c r="B1167" t="s">
        <v>1790</v>
      </c>
      <c r="C1167" t="s">
        <v>4463</v>
      </c>
      <c r="D1167" t="s">
        <v>4464</v>
      </c>
      <c r="E1167" t="s">
        <v>4465</v>
      </c>
      <c r="F1167" t="s">
        <v>118</v>
      </c>
      <c r="G1167" t="str">
        <f>HYPERLINK("https://www.youtube.com/watch?v=CFFfuDoJpm4&amp;lc=UgxvtqH20Jw9fgNDKiV4AaABAg")</f>
        <v>https://www.youtube.com/watch?v=CFFfuDoJpm4&amp;lc=UgxvtqH20Jw9fgNDKiV4AaABAg</v>
      </c>
      <c r="H1167" t="s">
        <v>119</v>
      </c>
      <c r="I1167" t="s">
        <v>4466</v>
      </c>
      <c r="J1167" t="str">
        <f>HYPERLINK("https://www.youtube.com/channel/UCICa3xMWMdwY1IeFOl7mpWw")</f>
        <v>https://www.youtube.com/channel/UCICa3xMWMdwY1IeFOl7mpWw</v>
      </c>
      <c r="K1167">
        <v>0</v>
      </c>
      <c r="L1167" t="s">
        <v>121</v>
      </c>
      <c r="N1167" t="s">
        <v>248</v>
      </c>
      <c r="O1167" t="s">
        <v>4467</v>
      </c>
      <c r="P1167" t="str">
        <f>HYPERLINK("https://www.youtube.com/channel/UCDIX7PZESQ3xIjmGhxNI39A")</f>
        <v>https://www.youtube.com/channel/UCDIX7PZESQ3xIjmGhxNI39A</v>
      </c>
      <c r="Q1167">
        <v>420000</v>
      </c>
      <c r="R1167" t="s">
        <v>124</v>
      </c>
      <c r="S1167" t="s">
        <v>125</v>
      </c>
      <c r="W1167">
        <v>0</v>
      </c>
      <c r="X1167">
        <v>0</v>
      </c>
      <c r="AE1167">
        <v>0</v>
      </c>
      <c r="AM1167" t="s">
        <v>129</v>
      </c>
      <c r="AN1167" t="s">
        <v>130</v>
      </c>
      <c r="AP1167" t="s">
        <v>41</v>
      </c>
      <c r="AU1167" t="s">
        <v>46</v>
      </c>
      <c r="AY1167" t="s">
        <v>50</v>
      </c>
      <c r="AZ1167" t="s">
        <v>51</v>
      </c>
      <c r="BA1167" t="s">
        <v>52</v>
      </c>
    </row>
    <row r="1168" spans="1:69" x14ac:dyDescent="0.2">
      <c r="A1168" t="s">
        <v>4052</v>
      </c>
      <c r="B1168" t="s">
        <v>4468</v>
      </c>
      <c r="C1168" t="s">
        <v>4446</v>
      </c>
      <c r="D1168" t="s">
        <v>1697</v>
      </c>
      <c r="E1168" t="s">
        <v>4469</v>
      </c>
      <c r="F1168" t="s">
        <v>180</v>
      </c>
      <c r="G1168" t="str">
        <f>HYPERLINK("https://apps.apple.com/ru/app/мой-триколор/id1204321194#7607774038")</f>
        <v>https://apps.apple.com/ru/app/мой-триколор/id1204321194#7607774038</v>
      </c>
      <c r="H1168" t="s">
        <v>228</v>
      </c>
      <c r="I1168" t="s">
        <v>4470</v>
      </c>
      <c r="J1168" t="str">
        <f>HYPERLINK("https://itunes.apple.com/reviews?userProfileId=319523133")</f>
        <v>https://itunes.apple.com/reviews?userProfileId=319523133</v>
      </c>
      <c r="N1168" t="s">
        <v>1411</v>
      </c>
      <c r="O1168" t="s">
        <v>1697</v>
      </c>
      <c r="P1168" t="str">
        <f>HYPERLINK("https://apps.apple.com/ru/app/мой-триколор/id1204321194")</f>
        <v>https://apps.apple.com/ru/app/мой-триколор/id1204321194</v>
      </c>
      <c r="R1168" t="s">
        <v>184</v>
      </c>
      <c r="S1168" t="s">
        <v>125</v>
      </c>
      <c r="AH1168">
        <v>1</v>
      </c>
      <c r="AM1168" t="s">
        <v>129</v>
      </c>
      <c r="AN1168" t="s">
        <v>130</v>
      </c>
      <c r="AP1168" t="s">
        <v>41</v>
      </c>
      <c r="AZ1168" t="s">
        <v>51</v>
      </c>
      <c r="BA1168" t="s">
        <v>52</v>
      </c>
      <c r="BQ1168" t="s">
        <v>68</v>
      </c>
    </row>
    <row r="1169" spans="1:77" x14ac:dyDescent="0.2">
      <c r="A1169" t="s">
        <v>4052</v>
      </c>
      <c r="B1169" t="s">
        <v>4471</v>
      </c>
      <c r="C1169" t="s">
        <v>4472</v>
      </c>
      <c r="D1169" t="s">
        <v>3261</v>
      </c>
      <c r="E1169" t="s">
        <v>4473</v>
      </c>
      <c r="F1169" t="s">
        <v>180</v>
      </c>
      <c r="G1169" t="str">
        <f>HYPERLINK("https://www.wildberries.ru/catalog/5691258/detail.aspx?targetUrl=ES#Comments")</f>
        <v>https://www.wildberries.ru/catalog/5691258/detail.aspx?targetUrl=ES#Comments</v>
      </c>
      <c r="H1169" t="s">
        <v>119</v>
      </c>
      <c r="I1169" t="s">
        <v>924</v>
      </c>
      <c r="J1169" t="str">
        <f>HYPERLINK("https://www.wildberries.ru/profile/w7TDssOkw7PCu8K0wrXCscK5wrPCscK3wrQ=")</f>
        <v>https://www.wildberries.ru/profile/w7TDssOkw7PCu8K0wrXCscK5wrPCscK3wrQ=</v>
      </c>
      <c r="L1169" t="s">
        <v>121</v>
      </c>
      <c r="N1169" t="s">
        <v>534</v>
      </c>
      <c r="O1169" t="s">
        <v>3261</v>
      </c>
      <c r="P1169" t="str">
        <f>HYPERLINK("https://www.wildberries.ru/catalog/4570035/detail.aspx")</f>
        <v>https://www.wildberries.ru/catalog/4570035/detail.aspx</v>
      </c>
      <c r="R1169" t="s">
        <v>184</v>
      </c>
      <c r="S1169" t="s">
        <v>125</v>
      </c>
      <c r="W1169">
        <v>0</v>
      </c>
      <c r="X1169">
        <v>0</v>
      </c>
      <c r="AH1169">
        <v>1</v>
      </c>
      <c r="AM1169" t="s">
        <v>129</v>
      </c>
      <c r="AN1169" t="s">
        <v>130</v>
      </c>
      <c r="AP1169" t="s">
        <v>41</v>
      </c>
      <c r="AZ1169" t="s">
        <v>51</v>
      </c>
      <c r="BA1169" t="s">
        <v>52</v>
      </c>
      <c r="BK1169" t="s">
        <v>62</v>
      </c>
      <c r="BL1169" t="s">
        <v>63</v>
      </c>
    </row>
    <row r="1170" spans="1:77" x14ac:dyDescent="0.2">
      <c r="A1170" t="s">
        <v>4052</v>
      </c>
      <c r="B1170" t="s">
        <v>4474</v>
      </c>
      <c r="C1170" t="s">
        <v>4475</v>
      </c>
      <c r="D1170" t="s">
        <v>4476</v>
      </c>
      <c r="E1170" t="s">
        <v>4477</v>
      </c>
      <c r="F1170" t="s">
        <v>118</v>
      </c>
      <c r="G1170" t="str">
        <f>HYPERLINK("https://vk.com/wall-161278487_39579?reply=39741&amp;thread=39701")</f>
        <v>https://vk.com/wall-161278487_39579?reply=39741&amp;thread=39701</v>
      </c>
      <c r="H1170" t="s">
        <v>119</v>
      </c>
      <c r="I1170" t="s">
        <v>4478</v>
      </c>
      <c r="J1170" t="str">
        <f>HYPERLINK("http://vk.com/id426776329")</f>
        <v>http://vk.com/id426776329</v>
      </c>
      <c r="K1170">
        <v>1</v>
      </c>
      <c r="L1170" t="s">
        <v>151</v>
      </c>
      <c r="M1170">
        <v>60</v>
      </c>
      <c r="N1170" t="s">
        <v>122</v>
      </c>
      <c r="O1170" t="s">
        <v>4479</v>
      </c>
      <c r="P1170" t="str">
        <f>HYPERLINK("http://vk.com/club161278487")</f>
        <v>http://vk.com/club161278487</v>
      </c>
      <c r="Q1170">
        <v>8116</v>
      </c>
      <c r="R1170" t="s">
        <v>124</v>
      </c>
      <c r="S1170" t="s">
        <v>125</v>
      </c>
      <c r="T1170" t="s">
        <v>487</v>
      </c>
      <c r="U1170" t="s">
        <v>4480</v>
      </c>
      <c r="AM1170" t="s">
        <v>129</v>
      </c>
      <c r="AN1170" t="s">
        <v>130</v>
      </c>
      <c r="AP1170" t="s">
        <v>41</v>
      </c>
      <c r="AZ1170" t="s">
        <v>51</v>
      </c>
      <c r="BA1170" t="s">
        <v>52</v>
      </c>
      <c r="BL1170" t="s">
        <v>63</v>
      </c>
    </row>
    <row r="1171" spans="1:77" x14ac:dyDescent="0.2">
      <c r="A1171" t="s">
        <v>4052</v>
      </c>
      <c r="B1171" t="s">
        <v>4481</v>
      </c>
      <c r="C1171" t="s">
        <v>4453</v>
      </c>
      <c r="D1171" t="s">
        <v>4147</v>
      </c>
      <c r="E1171" t="s">
        <v>4482</v>
      </c>
      <c r="F1171" t="s">
        <v>180</v>
      </c>
      <c r="G1171" t="str">
        <f>HYPERLINK("https://www.wildberries.ru/catalog/15145842/detail.aspx?targetUrl=ES#Comments")</f>
        <v>https://www.wildberries.ru/catalog/15145842/detail.aspx?targetUrl=ES#Comments</v>
      </c>
      <c r="H1171" t="s">
        <v>181</v>
      </c>
      <c r="I1171" t="s">
        <v>2054</v>
      </c>
      <c r="J1171" t="str">
        <f>HYPERLINK("https://www.wildberries.ru/profile/w7TDssOkw7PCu8K1wrLCsMKwwrXCtcK0")</f>
        <v>https://www.wildberries.ru/profile/w7TDssOkw7PCu8K1wrLCsMKwwrXCtcK0</v>
      </c>
      <c r="L1171" t="s">
        <v>151</v>
      </c>
      <c r="N1171" t="s">
        <v>534</v>
      </c>
      <c r="O1171" t="s">
        <v>4147</v>
      </c>
      <c r="P1171" t="str">
        <f>HYPERLINK("https://www.wildberries.ru/catalog/11323741/detail.aspx")</f>
        <v>https://www.wildberries.ru/catalog/11323741/detail.aspx</v>
      </c>
      <c r="R1171" t="s">
        <v>184</v>
      </c>
      <c r="S1171" t="s">
        <v>125</v>
      </c>
      <c r="W1171">
        <v>0</v>
      </c>
      <c r="X1171">
        <v>0</v>
      </c>
      <c r="AH1171">
        <v>5</v>
      </c>
      <c r="AM1171" t="s">
        <v>129</v>
      </c>
      <c r="AN1171" t="s">
        <v>130</v>
      </c>
      <c r="AP1171" t="s">
        <v>41</v>
      </c>
      <c r="AT1171" t="s">
        <v>45</v>
      </c>
      <c r="AZ1171" t="s">
        <v>51</v>
      </c>
      <c r="BA1171" t="s">
        <v>52</v>
      </c>
      <c r="BL1171" t="s">
        <v>63</v>
      </c>
    </row>
    <row r="1172" spans="1:77" x14ac:dyDescent="0.2">
      <c r="A1172" t="s">
        <v>4052</v>
      </c>
      <c r="B1172" t="s">
        <v>2841</v>
      </c>
      <c r="C1172" t="s">
        <v>4483</v>
      </c>
      <c r="D1172" t="s">
        <v>4484</v>
      </c>
      <c r="E1172" t="s">
        <v>4485</v>
      </c>
      <c r="F1172" t="s">
        <v>180</v>
      </c>
      <c r="G1172" t="str">
        <f>HYPERLINK("https://telesputnik.ru/forum/viewtopic.php?f=7&amp;t=87895#p2482254")</f>
        <v>https://telesputnik.ru/forum/viewtopic.php?f=7&amp;t=87895#p2482254</v>
      </c>
      <c r="H1172" t="s">
        <v>119</v>
      </c>
      <c r="I1172" t="s">
        <v>334</v>
      </c>
      <c r="J1172" t="str">
        <f>HYPERLINK("https://telesputnik.ru/forum/memberlist.php?mode=viewprofile&amp;u=330723")</f>
        <v>https://telesputnik.ru/forum/memberlist.php?mode=viewprofile&amp;u=330723</v>
      </c>
      <c r="N1172" t="s">
        <v>335</v>
      </c>
      <c r="O1172" t="s">
        <v>1126</v>
      </c>
      <c r="P1172" t="str">
        <f>HYPERLINK("https://telesputnik.ru/forum/viewforum.php?f=7")</f>
        <v>https://telesputnik.ru/forum/viewforum.php?f=7</v>
      </c>
      <c r="R1172" t="s">
        <v>295</v>
      </c>
      <c r="S1172" t="s">
        <v>125</v>
      </c>
      <c r="AM1172" t="s">
        <v>129</v>
      </c>
      <c r="AN1172" t="s">
        <v>130</v>
      </c>
      <c r="AP1172" t="s">
        <v>41</v>
      </c>
      <c r="AT1172" t="s">
        <v>45</v>
      </c>
      <c r="AZ1172" t="s">
        <v>51</v>
      </c>
      <c r="BA1172" t="s">
        <v>52</v>
      </c>
    </row>
    <row r="1173" spans="1:77" x14ac:dyDescent="0.2">
      <c r="A1173" t="s">
        <v>4052</v>
      </c>
      <c r="B1173" t="s">
        <v>4486</v>
      </c>
      <c r="C1173" t="s">
        <v>4487</v>
      </c>
      <c r="D1173" t="s">
        <v>4488</v>
      </c>
      <c r="E1173" t="s">
        <v>4489</v>
      </c>
      <c r="F1173" t="s">
        <v>118</v>
      </c>
      <c r="G1173" t="str">
        <f>HYPERLINK("https://vk.com/wall-22378299_430669?reply=430675")</f>
        <v>https://vk.com/wall-22378299_430669?reply=430675</v>
      </c>
      <c r="H1173" t="s">
        <v>119</v>
      </c>
      <c r="I1173" t="s">
        <v>4490</v>
      </c>
      <c r="J1173" t="str">
        <f>HYPERLINK("http://vk.com/id112635468")</f>
        <v>http://vk.com/id112635468</v>
      </c>
      <c r="K1173">
        <v>4405</v>
      </c>
      <c r="L1173" t="s">
        <v>151</v>
      </c>
      <c r="N1173" t="s">
        <v>122</v>
      </c>
      <c r="O1173" t="s">
        <v>4491</v>
      </c>
      <c r="P1173" t="str">
        <f>HYPERLINK("http://vk.com/club22378299")</f>
        <v>http://vk.com/club22378299</v>
      </c>
      <c r="Q1173">
        <v>10491</v>
      </c>
      <c r="R1173" t="s">
        <v>124</v>
      </c>
      <c r="S1173" t="s">
        <v>125</v>
      </c>
      <c r="AM1173" t="s">
        <v>129</v>
      </c>
      <c r="AN1173" t="s">
        <v>130</v>
      </c>
      <c r="AP1173" t="s">
        <v>41</v>
      </c>
      <c r="AZ1173" t="s">
        <v>51</v>
      </c>
      <c r="BA1173" t="s">
        <v>52</v>
      </c>
    </row>
    <row r="1174" spans="1:77" x14ac:dyDescent="0.2">
      <c r="A1174" t="s">
        <v>4052</v>
      </c>
      <c r="B1174" t="s">
        <v>1184</v>
      </c>
      <c r="C1174" t="s">
        <v>4492</v>
      </c>
      <c r="D1174" t="s">
        <v>4493</v>
      </c>
      <c r="E1174" t="s">
        <v>4494</v>
      </c>
      <c r="F1174" t="s">
        <v>118</v>
      </c>
      <c r="G1174" t="str">
        <f>HYPERLINK("https://www.youtube.com/watch?v=1SBIbJI3czM&amp;lc=UgxxynTcbyJ6WODxpBp4AaABAg")</f>
        <v>https://www.youtube.com/watch?v=1SBIbJI3czM&amp;lc=UgxxynTcbyJ6WODxpBp4AaABAg</v>
      </c>
      <c r="H1174" t="s">
        <v>119</v>
      </c>
      <c r="I1174" t="s">
        <v>4495</v>
      </c>
      <c r="J1174" t="str">
        <f>HYPERLINK("https://www.youtube.com/channel/UCpUfXMiFnUs9eFoAINzRaJA")</f>
        <v>https://www.youtube.com/channel/UCpUfXMiFnUs9eFoAINzRaJA</v>
      </c>
      <c r="K1174">
        <v>3</v>
      </c>
      <c r="N1174" t="s">
        <v>248</v>
      </c>
      <c r="O1174" t="s">
        <v>4496</v>
      </c>
      <c r="P1174" t="str">
        <f>HYPERLINK("https://www.youtube.com/channel/UCIKsOvms5_CYAzWTRbiHWpQ")</f>
        <v>https://www.youtube.com/channel/UCIKsOvms5_CYAzWTRbiHWpQ</v>
      </c>
      <c r="Q1174">
        <v>7990</v>
      </c>
      <c r="R1174" t="s">
        <v>124</v>
      </c>
      <c r="S1174" t="s">
        <v>125</v>
      </c>
      <c r="W1174">
        <v>0</v>
      </c>
      <c r="X1174">
        <v>0</v>
      </c>
      <c r="AE1174">
        <v>1</v>
      </c>
      <c r="AM1174" t="s">
        <v>129</v>
      </c>
      <c r="AN1174" t="s">
        <v>130</v>
      </c>
      <c r="AP1174" t="s">
        <v>41</v>
      </c>
      <c r="AU1174" t="s">
        <v>46</v>
      </c>
      <c r="AZ1174" t="s">
        <v>51</v>
      </c>
      <c r="BA1174" t="s">
        <v>52</v>
      </c>
    </row>
    <row r="1175" spans="1:77" x14ac:dyDescent="0.2">
      <c r="A1175" t="s">
        <v>4052</v>
      </c>
      <c r="B1175" t="s">
        <v>4497</v>
      </c>
      <c r="C1175" t="s">
        <v>4498</v>
      </c>
      <c r="D1175" t="s">
        <v>4499</v>
      </c>
      <c r="E1175" t="s">
        <v>4500</v>
      </c>
      <c r="F1175" t="s">
        <v>118</v>
      </c>
      <c r="G1175" t="str">
        <f>HYPERLINK("https://www.eldorado.ru/cat/detail/71377684/?sort_responses=date&amp;show=response#7273e2d5dffd6b059a603e0720726d4f")</f>
        <v>https://www.eldorado.ru/cat/detail/71377684/?sort_responses=date&amp;show=response#7273e2d5dffd6b059a603e0720726d4f</v>
      </c>
      <c r="H1175" t="s">
        <v>181</v>
      </c>
      <c r="I1175" t="s">
        <v>3393</v>
      </c>
      <c r="J1175" t="str">
        <f>HYPERLINK("https://www.eldorado.ru/cat/detail/71377684/?sort_responses=date&amp;show=response#7273e2d5dffd6b059a603e0720726d4f")</f>
        <v>https://www.eldorado.ru/cat/detail/71377684/?sort_responses=date&amp;show=response#7273e2d5dffd6b059a603e0720726d4f</v>
      </c>
      <c r="L1175" t="s">
        <v>121</v>
      </c>
      <c r="N1175" t="s">
        <v>4501</v>
      </c>
      <c r="O1175" t="s">
        <v>4502</v>
      </c>
      <c r="P1175" t="str">
        <f>HYPERLINK("https://www.eldorado.ru/")</f>
        <v>https://www.eldorado.ru/</v>
      </c>
      <c r="R1175" t="s">
        <v>184</v>
      </c>
      <c r="S1175" t="s">
        <v>125</v>
      </c>
      <c r="AH1175">
        <v>5</v>
      </c>
      <c r="AL1175" t="str">
        <f>HYPERLINK("https://www.eldorado.ru/photos/71/713/776/84/new_71377684_l_1532431153.jpeg")</f>
        <v>https://www.eldorado.ru/photos/71/713/776/84/new_71377684_l_1532431153.jpeg</v>
      </c>
      <c r="AM1175" t="s">
        <v>129</v>
      </c>
      <c r="AN1175" t="s">
        <v>130</v>
      </c>
      <c r="AP1175" t="s">
        <v>41</v>
      </c>
      <c r="AT1175" t="s">
        <v>45</v>
      </c>
      <c r="AZ1175" t="s">
        <v>51</v>
      </c>
      <c r="BA1175" t="s">
        <v>52</v>
      </c>
    </row>
    <row r="1176" spans="1:77" x14ac:dyDescent="0.2">
      <c r="A1176" t="s">
        <v>4052</v>
      </c>
      <c r="B1176" t="s">
        <v>4503</v>
      </c>
      <c r="C1176" t="s">
        <v>4504</v>
      </c>
      <c r="D1176" t="s">
        <v>4505</v>
      </c>
      <c r="E1176" t="s">
        <v>4506</v>
      </c>
      <c r="F1176" t="s">
        <v>118</v>
      </c>
      <c r="G1176" t="str">
        <f>HYPERLINK("https://vk.com/wall-22935147_368528?w=wall-22935147_368528_r368626")</f>
        <v>https://vk.com/wall-22935147_368528?w=wall-22935147_368528_r368626</v>
      </c>
      <c r="H1176" t="s">
        <v>119</v>
      </c>
      <c r="I1176" t="s">
        <v>4507</v>
      </c>
      <c r="J1176" t="str">
        <f>HYPERLINK("http://vk.com/id161771820")</f>
        <v>http://vk.com/id161771820</v>
      </c>
      <c r="K1176">
        <v>13</v>
      </c>
      <c r="L1176" t="s">
        <v>121</v>
      </c>
      <c r="N1176" t="s">
        <v>122</v>
      </c>
      <c r="O1176" t="s">
        <v>1093</v>
      </c>
      <c r="P1176" t="str">
        <f>HYPERLINK("http://vk.com/club22935147")</f>
        <v>http://vk.com/club22935147</v>
      </c>
      <c r="Q1176">
        <v>8943</v>
      </c>
      <c r="R1176" t="s">
        <v>124</v>
      </c>
      <c r="S1176" t="s">
        <v>125</v>
      </c>
      <c r="T1176" t="s">
        <v>137</v>
      </c>
      <c r="U1176" t="s">
        <v>137</v>
      </c>
      <c r="W1176">
        <v>0</v>
      </c>
      <c r="X1176">
        <v>0</v>
      </c>
      <c r="AM1176" t="s">
        <v>129</v>
      </c>
      <c r="AN1176" t="s">
        <v>130</v>
      </c>
      <c r="AP1176" t="s">
        <v>41</v>
      </c>
      <c r="AU1176" t="s">
        <v>46</v>
      </c>
      <c r="AZ1176" t="s">
        <v>51</v>
      </c>
      <c r="BA1176" t="s">
        <v>52</v>
      </c>
    </row>
    <row r="1177" spans="1:77" x14ac:dyDescent="0.2">
      <c r="A1177" t="s">
        <v>4052</v>
      </c>
      <c r="B1177" t="s">
        <v>4508</v>
      </c>
      <c r="C1177" t="s">
        <v>4509</v>
      </c>
      <c r="D1177" t="s">
        <v>204</v>
      </c>
      <c r="E1177" t="s">
        <v>4510</v>
      </c>
      <c r="F1177" t="s">
        <v>180</v>
      </c>
      <c r="G1177" t="str">
        <f>HYPERLINK("https://play.google.com/store/apps/details?id=ru.iflex.android.a3colortv&amp;reviewId=gp:AOqpTOHhmnLNKjVJc_I1PWwAtasbKWNggLR9g3B09GPTbskxqnXct6Vw2YhV1p9UZCckqNyBJA0qHv95QO1-nw")</f>
        <v>https://play.google.com/store/apps/details?id=ru.iflex.android.a3colortv&amp;reviewId=gp:AOqpTOHhmnLNKjVJc_I1PWwAtasbKWNggLR9g3B09GPTbskxqnXct6Vw2YhV1p9UZCckqNyBJA0qHv95QO1-nw</v>
      </c>
      <c r="H1177" t="s">
        <v>181</v>
      </c>
      <c r="I1177" t="s">
        <v>4511</v>
      </c>
      <c r="J1177" t="str">
        <f>HYPERLINK("https://plus.google.com/115131837048801396370")</f>
        <v>https://plus.google.com/115131837048801396370</v>
      </c>
      <c r="L1177" t="s">
        <v>121</v>
      </c>
      <c r="N1177" t="s">
        <v>207</v>
      </c>
      <c r="O1177" t="s">
        <v>204</v>
      </c>
      <c r="P1177" t="str">
        <f>HYPERLINK("https://play.google.com/store/apps/details?id=ru.iflex.android.a3colortv&amp;hl=ru")</f>
        <v>https://play.google.com/store/apps/details?id=ru.iflex.android.a3colortv&amp;hl=ru</v>
      </c>
      <c r="R1177" t="s">
        <v>184</v>
      </c>
      <c r="S1177" t="s">
        <v>125</v>
      </c>
      <c r="W1177">
        <v>0</v>
      </c>
      <c r="X1177">
        <v>0</v>
      </c>
      <c r="AH1177">
        <v>5</v>
      </c>
      <c r="AM1177" t="s">
        <v>129</v>
      </c>
      <c r="AN1177" t="s">
        <v>130</v>
      </c>
      <c r="AP1177" t="s">
        <v>41</v>
      </c>
      <c r="AZ1177" t="s">
        <v>51</v>
      </c>
      <c r="BA1177" t="s">
        <v>52</v>
      </c>
      <c r="BQ1177" t="s">
        <v>68</v>
      </c>
    </row>
    <row r="1178" spans="1:77" x14ac:dyDescent="0.2">
      <c r="A1178" t="s">
        <v>4052</v>
      </c>
      <c r="B1178" t="s">
        <v>4512</v>
      </c>
      <c r="C1178" t="s">
        <v>4513</v>
      </c>
      <c r="D1178" t="s">
        <v>4383</v>
      </c>
      <c r="E1178" t="s">
        <v>4514</v>
      </c>
      <c r="F1178" t="s">
        <v>118</v>
      </c>
      <c r="G1178" t="str">
        <f>HYPERLINK("https://www.facebook.com/story.php?story_fbid=1279632669135559&amp;id=100012665139946&amp;comment_id=1279695649129261&amp;reply_comment_id=1279718962460263")</f>
        <v>https://www.facebook.com/story.php?story_fbid=1279632669135559&amp;id=100012665139946&amp;comment_id=1279695649129261&amp;reply_comment_id=1279718962460263</v>
      </c>
      <c r="H1178" t="s">
        <v>119</v>
      </c>
      <c r="I1178" t="s">
        <v>695</v>
      </c>
      <c r="J1178" t="str">
        <f>HYPERLINK("https://www.facebook.com/100002360413124")</f>
        <v>https://www.facebook.com/100002360413124</v>
      </c>
      <c r="K1178">
        <v>5211</v>
      </c>
      <c r="L1178" t="s">
        <v>121</v>
      </c>
      <c r="N1178" t="s">
        <v>305</v>
      </c>
      <c r="O1178" t="s">
        <v>4385</v>
      </c>
      <c r="P1178" t="str">
        <f>HYPERLINK("https://www.facebook.com/100012665139946")</f>
        <v>https://www.facebook.com/100012665139946</v>
      </c>
      <c r="Q1178">
        <v>1587</v>
      </c>
      <c r="R1178" t="s">
        <v>124</v>
      </c>
      <c r="S1178" t="s">
        <v>125</v>
      </c>
      <c r="T1178" t="s">
        <v>372</v>
      </c>
      <c r="U1178" t="s">
        <v>373</v>
      </c>
      <c r="W1178">
        <v>0</v>
      </c>
      <c r="X1178">
        <v>0</v>
      </c>
      <c r="AE1178">
        <v>0</v>
      </c>
      <c r="AJ1178" t="s">
        <v>129</v>
      </c>
      <c r="AK1178" t="s">
        <v>4515</v>
      </c>
      <c r="AL1178" t="s">
        <v>4516</v>
      </c>
      <c r="AM1178" t="s">
        <v>129</v>
      </c>
      <c r="AN1178" t="s">
        <v>130</v>
      </c>
      <c r="AP1178" t="s">
        <v>41</v>
      </c>
      <c r="AU1178" t="s">
        <v>46</v>
      </c>
      <c r="AZ1178" t="s">
        <v>51</v>
      </c>
      <c r="BA1178" t="s">
        <v>52</v>
      </c>
      <c r="BY1178" t="s">
        <v>76</v>
      </c>
    </row>
    <row r="1179" spans="1:77" x14ac:dyDescent="0.2">
      <c r="A1179" t="s">
        <v>4052</v>
      </c>
      <c r="B1179" t="s">
        <v>4517</v>
      </c>
      <c r="C1179" t="s">
        <v>4518</v>
      </c>
      <c r="D1179" t="s">
        <v>4519</v>
      </c>
      <c r="E1179" t="s">
        <v>4520</v>
      </c>
      <c r="F1179" t="s">
        <v>180</v>
      </c>
      <c r="G1179" t="str">
        <f>HYPERLINK("https://www.ozon.ru/context/detail/id/220489107/#61383454")</f>
        <v>https://www.ozon.ru/context/detail/id/220489107/#61383454</v>
      </c>
      <c r="H1179" t="s">
        <v>181</v>
      </c>
      <c r="I1179" t="s">
        <v>4521</v>
      </c>
      <c r="J1179" t="str">
        <f>HYPERLINK("https://www.ozon.ru/context/client_opinion/ClientGuid/fcbfbf26-058b-4569-b37e-a48705e02d42/")</f>
        <v>https://www.ozon.ru/context/client_opinion/ClientGuid/fcbfbf26-058b-4569-b37e-a48705e02d42/</v>
      </c>
      <c r="L1179" t="s">
        <v>121</v>
      </c>
      <c r="N1179" t="s">
        <v>183</v>
      </c>
      <c r="O1179" t="s">
        <v>4519</v>
      </c>
      <c r="P1179" t="str">
        <f>HYPERLINK("https://www.ozon.ru/context/detail/id/220489107/")</f>
        <v>https://www.ozon.ru/context/detail/id/220489107/</v>
      </c>
      <c r="R1179" t="s">
        <v>184</v>
      </c>
      <c r="S1179" t="s">
        <v>125</v>
      </c>
      <c r="W1179">
        <v>0</v>
      </c>
      <c r="X1179">
        <v>0</v>
      </c>
      <c r="AH1179">
        <v>5</v>
      </c>
      <c r="AM1179" t="s">
        <v>129</v>
      </c>
      <c r="AN1179" t="s">
        <v>130</v>
      </c>
      <c r="AP1179" t="s">
        <v>41</v>
      </c>
      <c r="AT1179" t="s">
        <v>45</v>
      </c>
      <c r="AZ1179" t="s">
        <v>51</v>
      </c>
      <c r="BA1179" t="s">
        <v>52</v>
      </c>
    </row>
    <row r="1180" spans="1:77" x14ac:dyDescent="0.2">
      <c r="A1180" t="s">
        <v>4052</v>
      </c>
      <c r="B1180" t="s">
        <v>4522</v>
      </c>
      <c r="C1180" t="s">
        <v>4523</v>
      </c>
      <c r="D1180" t="s">
        <v>4524</v>
      </c>
      <c r="E1180" t="s">
        <v>4525</v>
      </c>
      <c r="F1180" t="s">
        <v>180</v>
      </c>
      <c r="G1180" t="str">
        <f>HYPERLINK("https://www.ozon.ru/context/detail/id/203873196/#61383342")</f>
        <v>https://www.ozon.ru/context/detail/id/203873196/#61383342</v>
      </c>
      <c r="H1180" t="s">
        <v>181</v>
      </c>
      <c r="I1180" t="s">
        <v>4521</v>
      </c>
      <c r="J1180" t="str">
        <f>HYPERLINK("https://www.ozon.ru/context/client_opinion/ClientGuid/fcbfbf26-058b-4569-b37e-a48705e02d42/")</f>
        <v>https://www.ozon.ru/context/client_opinion/ClientGuid/fcbfbf26-058b-4569-b37e-a48705e02d42/</v>
      </c>
      <c r="L1180" t="s">
        <v>121</v>
      </c>
      <c r="N1180" t="s">
        <v>183</v>
      </c>
      <c r="O1180" t="s">
        <v>4524</v>
      </c>
      <c r="P1180" t="str">
        <f>HYPERLINK("https://www.ozon.ru/context/detail/id/203873196/")</f>
        <v>https://www.ozon.ru/context/detail/id/203873196/</v>
      </c>
      <c r="R1180" t="s">
        <v>184</v>
      </c>
      <c r="S1180" t="s">
        <v>125</v>
      </c>
      <c r="W1180">
        <v>0</v>
      </c>
      <c r="X1180">
        <v>0</v>
      </c>
      <c r="AH1180">
        <v>5</v>
      </c>
      <c r="AM1180" t="s">
        <v>129</v>
      </c>
      <c r="AN1180" t="s">
        <v>130</v>
      </c>
      <c r="AP1180" t="s">
        <v>41</v>
      </c>
      <c r="AZ1180" t="s">
        <v>51</v>
      </c>
      <c r="BA1180" t="s">
        <v>52</v>
      </c>
      <c r="BK1180" t="s">
        <v>62</v>
      </c>
      <c r="BL1180" t="s">
        <v>63</v>
      </c>
    </row>
    <row r="1181" spans="1:77" x14ac:dyDescent="0.2">
      <c r="A1181" t="s">
        <v>4052</v>
      </c>
      <c r="B1181" t="s">
        <v>4526</v>
      </c>
      <c r="C1181" t="s">
        <v>4527</v>
      </c>
      <c r="D1181" t="s">
        <v>2949</v>
      </c>
      <c r="E1181" t="s">
        <v>4528</v>
      </c>
      <c r="F1181" t="s">
        <v>180</v>
      </c>
      <c r="G1181" t="str">
        <f>HYPERLINK("https://www.ozon.ru/context/detail/id/242437615/#61382235")</f>
        <v>https://www.ozon.ru/context/detail/id/242437615/#61382235</v>
      </c>
      <c r="H1181" t="s">
        <v>181</v>
      </c>
      <c r="I1181" t="s">
        <v>4529</v>
      </c>
      <c r="J1181" t="str">
        <f>HYPERLINK("https://www.ozon.ru/context/client_opinion/ClientGuid/d1c5b17e-b74a-485a-9e3e-13de7309d63c/")</f>
        <v>https://www.ozon.ru/context/client_opinion/ClientGuid/d1c5b17e-b74a-485a-9e3e-13de7309d63c/</v>
      </c>
      <c r="L1181" t="s">
        <v>121</v>
      </c>
      <c r="N1181" t="s">
        <v>183</v>
      </c>
      <c r="O1181" t="s">
        <v>2949</v>
      </c>
      <c r="P1181" t="str">
        <f>HYPERLINK("https://www.ozon.ru/context/detail/id/242437615/")</f>
        <v>https://www.ozon.ru/context/detail/id/242437615/</v>
      </c>
      <c r="R1181" t="s">
        <v>184</v>
      </c>
      <c r="S1181" t="s">
        <v>125</v>
      </c>
      <c r="W1181">
        <v>0</v>
      </c>
      <c r="X1181">
        <v>0</v>
      </c>
      <c r="AH1181">
        <v>5</v>
      </c>
      <c r="AM1181" t="s">
        <v>129</v>
      </c>
      <c r="AN1181" t="s">
        <v>130</v>
      </c>
      <c r="AP1181" t="s">
        <v>41</v>
      </c>
      <c r="AT1181" t="s">
        <v>45</v>
      </c>
      <c r="AZ1181" t="s">
        <v>51</v>
      </c>
      <c r="BA1181" t="s">
        <v>52</v>
      </c>
    </row>
    <row r="1182" spans="1:77" x14ac:dyDescent="0.2">
      <c r="A1182" t="s">
        <v>4052</v>
      </c>
      <c r="B1182" t="s">
        <v>1231</v>
      </c>
      <c r="C1182" t="s">
        <v>4530</v>
      </c>
      <c r="D1182" t="s">
        <v>4531</v>
      </c>
      <c r="E1182" t="s">
        <v>4532</v>
      </c>
      <c r="F1182" t="s">
        <v>180</v>
      </c>
      <c r="G1182" t="str">
        <f>HYPERLINK("https://forum.auto.ru/housing/17525898/#post-17525923")</f>
        <v>https://forum.auto.ru/housing/17525898/#post-17525923</v>
      </c>
      <c r="H1182" t="s">
        <v>119</v>
      </c>
      <c r="I1182" t="s">
        <v>4533</v>
      </c>
      <c r="J1182" t="str">
        <f>HYPERLINK("https://auto.ru/profile/9114/")</f>
        <v>https://auto.ru/profile/9114/</v>
      </c>
      <c r="N1182" t="s">
        <v>4534</v>
      </c>
      <c r="O1182" t="s">
        <v>4535</v>
      </c>
      <c r="P1182" t="str">
        <f>HYPERLINK("https://forum.auto.ru/housing/")</f>
        <v>https://forum.auto.ru/housing/</v>
      </c>
      <c r="R1182" t="s">
        <v>295</v>
      </c>
      <c r="S1182" t="s">
        <v>125</v>
      </c>
      <c r="AM1182" t="s">
        <v>129</v>
      </c>
      <c r="AN1182" t="s">
        <v>130</v>
      </c>
      <c r="AP1182" t="s">
        <v>41</v>
      </c>
      <c r="AT1182" t="s">
        <v>45</v>
      </c>
      <c r="AW1182" t="s">
        <v>48</v>
      </c>
      <c r="AY1182" t="s">
        <v>50</v>
      </c>
      <c r="AZ1182" t="s">
        <v>51</v>
      </c>
      <c r="BA1182" t="s">
        <v>52</v>
      </c>
    </row>
    <row r="1183" spans="1:77" x14ac:dyDescent="0.2">
      <c r="A1183" t="s">
        <v>4536</v>
      </c>
      <c r="B1183" t="s">
        <v>4537</v>
      </c>
      <c r="C1183" t="s">
        <v>4538</v>
      </c>
      <c r="D1183" t="s">
        <v>3580</v>
      </c>
      <c r="E1183" t="s">
        <v>4539</v>
      </c>
      <c r="F1183" t="s">
        <v>118</v>
      </c>
      <c r="G1183" t="str">
        <f>HYPERLINK("https://vk.com/wall-104292825_852703?reply=852930&amp;thread=852734")</f>
        <v>https://vk.com/wall-104292825_852703?reply=852930&amp;thread=852734</v>
      </c>
      <c r="H1183" t="s">
        <v>119</v>
      </c>
      <c r="I1183" t="s">
        <v>4540</v>
      </c>
      <c r="J1183" t="str">
        <f>HYPERLINK("http://vk.com/id465072049")</f>
        <v>http://vk.com/id465072049</v>
      </c>
      <c r="K1183">
        <v>218</v>
      </c>
      <c r="L1183" t="s">
        <v>121</v>
      </c>
      <c r="N1183" t="s">
        <v>122</v>
      </c>
      <c r="O1183" t="s">
        <v>3583</v>
      </c>
      <c r="P1183" t="str">
        <f>HYPERLINK("http://vk.com/club104292825")</f>
        <v>http://vk.com/club104292825</v>
      </c>
      <c r="Q1183">
        <v>27863</v>
      </c>
      <c r="R1183" t="s">
        <v>124</v>
      </c>
      <c r="S1183" t="s">
        <v>125</v>
      </c>
      <c r="T1183" t="s">
        <v>627</v>
      </c>
      <c r="U1183" t="s">
        <v>3584</v>
      </c>
      <c r="AM1183" t="s">
        <v>129</v>
      </c>
      <c r="AN1183" t="s">
        <v>130</v>
      </c>
      <c r="AP1183" t="s">
        <v>41</v>
      </c>
      <c r="AY1183" t="s">
        <v>50</v>
      </c>
      <c r="AZ1183" t="s">
        <v>51</v>
      </c>
      <c r="BA1183" t="s">
        <v>52</v>
      </c>
      <c r="BL1183" t="s">
        <v>63</v>
      </c>
    </row>
    <row r="1184" spans="1:77" x14ac:dyDescent="0.2">
      <c r="A1184" t="s">
        <v>4536</v>
      </c>
      <c r="B1184" t="s">
        <v>4541</v>
      </c>
      <c r="C1184" t="s">
        <v>4542</v>
      </c>
      <c r="D1184" t="s">
        <v>4505</v>
      </c>
      <c r="E1184" t="s">
        <v>4543</v>
      </c>
      <c r="F1184" t="s">
        <v>118</v>
      </c>
      <c r="G1184" t="str">
        <f>HYPERLINK("https://vk.com/wall-22935147_368528?reply=368625")</f>
        <v>https://vk.com/wall-22935147_368528?reply=368625</v>
      </c>
      <c r="H1184" t="s">
        <v>228</v>
      </c>
      <c r="I1184" t="s">
        <v>4544</v>
      </c>
      <c r="J1184" t="str">
        <f>HYPERLINK("http://vk.com/id188259638")</f>
        <v>http://vk.com/id188259638</v>
      </c>
      <c r="K1184">
        <v>340</v>
      </c>
      <c r="L1184" t="s">
        <v>121</v>
      </c>
      <c r="M1184">
        <v>30</v>
      </c>
      <c r="N1184" t="s">
        <v>122</v>
      </c>
      <c r="O1184" t="s">
        <v>1093</v>
      </c>
      <c r="P1184" t="str">
        <f>HYPERLINK("http://vk.com/club22935147")</f>
        <v>http://vk.com/club22935147</v>
      </c>
      <c r="Q1184">
        <v>8943</v>
      </c>
      <c r="R1184" t="s">
        <v>124</v>
      </c>
      <c r="S1184" t="s">
        <v>125</v>
      </c>
      <c r="AM1184" t="s">
        <v>129</v>
      </c>
      <c r="AN1184" t="s">
        <v>130</v>
      </c>
      <c r="AP1184" t="s">
        <v>41</v>
      </c>
      <c r="AZ1184" t="s">
        <v>51</v>
      </c>
      <c r="BA1184" t="s">
        <v>52</v>
      </c>
    </row>
    <row r="1185" spans="1:69" x14ac:dyDescent="0.2">
      <c r="A1185" t="s">
        <v>4536</v>
      </c>
      <c r="B1185" t="s">
        <v>1251</v>
      </c>
      <c r="C1185" t="s">
        <v>4545</v>
      </c>
      <c r="D1185" t="s">
        <v>129</v>
      </c>
      <c r="E1185" t="s">
        <v>4546</v>
      </c>
      <c r="F1185" t="s">
        <v>180</v>
      </c>
      <c r="G1185" t="str">
        <f>HYPERLINK("https://vk.com/wall-195222576_242")</f>
        <v>https://vk.com/wall-195222576_242</v>
      </c>
      <c r="H1185" t="s">
        <v>119</v>
      </c>
      <c r="I1185" t="s">
        <v>4547</v>
      </c>
      <c r="J1185" t="str">
        <f>HYPERLINK("http://vk.com/club195222576")</f>
        <v>http://vk.com/club195222576</v>
      </c>
      <c r="K1185">
        <v>6</v>
      </c>
      <c r="L1185" t="s">
        <v>340</v>
      </c>
      <c r="N1185" t="s">
        <v>122</v>
      </c>
      <c r="O1185" t="s">
        <v>4547</v>
      </c>
      <c r="P1185" t="str">
        <f>HYPERLINK("http://vk.com/club195222576")</f>
        <v>http://vk.com/club195222576</v>
      </c>
      <c r="Q1185">
        <v>6</v>
      </c>
      <c r="R1185" t="s">
        <v>124</v>
      </c>
      <c r="W1185">
        <v>0</v>
      </c>
      <c r="X1185">
        <v>0</v>
      </c>
      <c r="AE1185">
        <v>0</v>
      </c>
      <c r="AF1185">
        <v>0</v>
      </c>
      <c r="AG1185">
        <v>2</v>
      </c>
      <c r="AM1185" t="s">
        <v>129</v>
      </c>
      <c r="AN1185" t="s">
        <v>130</v>
      </c>
      <c r="AP1185" t="s">
        <v>41</v>
      </c>
      <c r="AZ1185" t="s">
        <v>51</v>
      </c>
      <c r="BA1185" t="s">
        <v>52</v>
      </c>
      <c r="BL1185" t="s">
        <v>63</v>
      </c>
      <c r="BM1185" t="s">
        <v>64</v>
      </c>
    </row>
    <row r="1186" spans="1:69" x14ac:dyDescent="0.2">
      <c r="A1186" t="s">
        <v>4536</v>
      </c>
      <c r="B1186" t="s">
        <v>4548</v>
      </c>
      <c r="C1186" t="s">
        <v>4549</v>
      </c>
      <c r="D1186" t="s">
        <v>4295</v>
      </c>
      <c r="E1186" t="s">
        <v>4550</v>
      </c>
      <c r="F1186" t="s">
        <v>118</v>
      </c>
      <c r="G1186" t="str">
        <f>HYPERLINK("https://otzovik.com/review_12199254.html#90022673")</f>
        <v>https://otzovik.com/review_12199254.html#90022673</v>
      </c>
      <c r="H1186" t="s">
        <v>119</v>
      </c>
      <c r="I1186" t="s">
        <v>4551</v>
      </c>
      <c r="J1186" t="str">
        <f>HYPERLINK("http://otzovik.com/profile/aepihin70")</f>
        <v>http://otzovik.com/profile/aepihin70</v>
      </c>
      <c r="N1186" t="s">
        <v>390</v>
      </c>
      <c r="O1186" t="s">
        <v>4298</v>
      </c>
      <c r="P1186" t="str">
        <f>HYPERLINK("https://otzovik.com/reviews/sputnikovoe_televidenie_mts_russia/")</f>
        <v>https://otzovik.com/reviews/sputnikovoe_televidenie_mts_russia/</v>
      </c>
      <c r="R1186" t="s">
        <v>184</v>
      </c>
      <c r="S1186" t="s">
        <v>125</v>
      </c>
      <c r="AM1186" t="s">
        <v>129</v>
      </c>
      <c r="AN1186" t="s">
        <v>130</v>
      </c>
      <c r="AP1186" t="s">
        <v>41</v>
      </c>
      <c r="AZ1186" t="s">
        <v>51</v>
      </c>
      <c r="BA1186" t="s">
        <v>52</v>
      </c>
    </row>
    <row r="1187" spans="1:69" x14ac:dyDescent="0.2">
      <c r="A1187" t="s">
        <v>4536</v>
      </c>
      <c r="B1187" t="s">
        <v>4548</v>
      </c>
      <c r="C1187" t="s">
        <v>4329</v>
      </c>
      <c r="D1187" t="s">
        <v>381</v>
      </c>
      <c r="E1187" t="s">
        <v>4552</v>
      </c>
      <c r="F1187" t="s">
        <v>180</v>
      </c>
      <c r="G1187" t="str">
        <f>HYPERLINK("https://www.ozon.ru/context/detail/id/220479377/#61368803")</f>
        <v>https://www.ozon.ru/context/detail/id/220479377/#61368803</v>
      </c>
      <c r="H1187" t="s">
        <v>181</v>
      </c>
      <c r="I1187" t="s">
        <v>512</v>
      </c>
      <c r="J1187" t="str">
        <f>HYPERLINK("https://www.ozon.ru/context/client_opinion/ClientGuid//")</f>
        <v>https://www.ozon.ru/context/client_opinion/ClientGuid//</v>
      </c>
      <c r="N1187" t="s">
        <v>183</v>
      </c>
      <c r="O1187" t="s">
        <v>384</v>
      </c>
      <c r="P1187" t="str">
        <f>HYPERLINK("https://www.ozon.ru/context/detail/id/220479377/")</f>
        <v>https://www.ozon.ru/context/detail/id/220479377/</v>
      </c>
      <c r="R1187" t="s">
        <v>184</v>
      </c>
      <c r="S1187" t="s">
        <v>125</v>
      </c>
      <c r="W1187">
        <v>0</v>
      </c>
      <c r="X1187">
        <v>0</v>
      </c>
      <c r="AH1187">
        <v>5</v>
      </c>
      <c r="AM1187" t="s">
        <v>129</v>
      </c>
      <c r="AN1187" t="s">
        <v>130</v>
      </c>
      <c r="AP1187" t="s">
        <v>41</v>
      </c>
      <c r="AT1187" t="s">
        <v>45</v>
      </c>
      <c r="AU1187" t="s">
        <v>46</v>
      </c>
      <c r="AW1187" t="s">
        <v>48</v>
      </c>
      <c r="AZ1187" t="s">
        <v>51</v>
      </c>
      <c r="BA1187" t="s">
        <v>52</v>
      </c>
    </row>
    <row r="1188" spans="1:69" x14ac:dyDescent="0.2">
      <c r="A1188" t="s">
        <v>4536</v>
      </c>
      <c r="B1188" t="s">
        <v>769</v>
      </c>
      <c r="C1188" t="s">
        <v>4553</v>
      </c>
      <c r="D1188" t="s">
        <v>4554</v>
      </c>
      <c r="E1188" t="s">
        <v>4555</v>
      </c>
      <c r="F1188" t="s">
        <v>118</v>
      </c>
      <c r="G1188" t="str">
        <f>HYPERLINK("https://vk.com/wall-22935147_368613?reply=368624")</f>
        <v>https://vk.com/wall-22935147_368613?reply=368624</v>
      </c>
      <c r="H1188" t="s">
        <v>119</v>
      </c>
      <c r="I1188" t="s">
        <v>3125</v>
      </c>
      <c r="J1188" t="str">
        <f>HYPERLINK("http://vk.com/id163176940")</f>
        <v>http://vk.com/id163176940</v>
      </c>
      <c r="K1188">
        <v>20</v>
      </c>
      <c r="L1188" t="s">
        <v>121</v>
      </c>
      <c r="N1188" t="s">
        <v>122</v>
      </c>
      <c r="O1188" t="s">
        <v>1093</v>
      </c>
      <c r="P1188" t="str">
        <f>HYPERLINK("http://vk.com/club22935147")</f>
        <v>http://vk.com/club22935147</v>
      </c>
      <c r="Q1188">
        <v>8943</v>
      </c>
      <c r="R1188" t="s">
        <v>124</v>
      </c>
      <c r="S1188" t="s">
        <v>125</v>
      </c>
      <c r="T1188" t="s">
        <v>1103</v>
      </c>
      <c r="U1188" t="s">
        <v>1104</v>
      </c>
      <c r="W1188">
        <v>0</v>
      </c>
      <c r="X1188">
        <v>0</v>
      </c>
      <c r="AM1188" t="s">
        <v>129</v>
      </c>
      <c r="AN1188" t="s">
        <v>130</v>
      </c>
      <c r="AP1188" t="s">
        <v>41</v>
      </c>
      <c r="AU1188" t="s">
        <v>46</v>
      </c>
      <c r="AZ1188" t="s">
        <v>51</v>
      </c>
      <c r="BA1188" t="s">
        <v>52</v>
      </c>
    </row>
    <row r="1189" spans="1:69" x14ac:dyDescent="0.2">
      <c r="A1189" t="s">
        <v>4536</v>
      </c>
      <c r="B1189" t="s">
        <v>2296</v>
      </c>
      <c r="C1189" t="s">
        <v>4553</v>
      </c>
      <c r="D1189" t="s">
        <v>4137</v>
      </c>
      <c r="E1189" t="s">
        <v>4556</v>
      </c>
      <c r="F1189" t="s">
        <v>118</v>
      </c>
      <c r="G1189" t="str">
        <f>HYPERLINK("https://vk.com/wall-22935147_368614?reply=368623")</f>
        <v>https://vk.com/wall-22935147_368614?reply=368623</v>
      </c>
      <c r="H1189" t="s">
        <v>119</v>
      </c>
      <c r="I1189" t="s">
        <v>3125</v>
      </c>
      <c r="J1189" t="str">
        <f>HYPERLINK("http://vk.com/id163176940")</f>
        <v>http://vk.com/id163176940</v>
      </c>
      <c r="K1189">
        <v>20</v>
      </c>
      <c r="L1189" t="s">
        <v>121</v>
      </c>
      <c r="N1189" t="s">
        <v>122</v>
      </c>
      <c r="O1189" t="s">
        <v>1093</v>
      </c>
      <c r="P1189" t="str">
        <f>HYPERLINK("http://vk.com/club22935147")</f>
        <v>http://vk.com/club22935147</v>
      </c>
      <c r="Q1189">
        <v>8943</v>
      </c>
      <c r="R1189" t="s">
        <v>124</v>
      </c>
      <c r="S1189" t="s">
        <v>125</v>
      </c>
      <c r="T1189" t="s">
        <v>1103</v>
      </c>
      <c r="U1189" t="s">
        <v>1104</v>
      </c>
      <c r="W1189">
        <v>0</v>
      </c>
      <c r="X1189">
        <v>0</v>
      </c>
      <c r="AM1189" t="s">
        <v>129</v>
      </c>
      <c r="AN1189" t="s">
        <v>130</v>
      </c>
      <c r="AP1189" t="s">
        <v>41</v>
      </c>
      <c r="AZ1189" t="s">
        <v>51</v>
      </c>
      <c r="BA1189" t="s">
        <v>52</v>
      </c>
      <c r="BL1189" t="s">
        <v>63</v>
      </c>
    </row>
    <row r="1190" spans="1:69" x14ac:dyDescent="0.2">
      <c r="A1190" t="s">
        <v>4536</v>
      </c>
      <c r="B1190" t="s">
        <v>772</v>
      </c>
      <c r="C1190" t="s">
        <v>4557</v>
      </c>
      <c r="D1190" t="s">
        <v>4558</v>
      </c>
      <c r="E1190" t="s">
        <v>4559</v>
      </c>
      <c r="F1190" t="s">
        <v>118</v>
      </c>
      <c r="G1190" t="str">
        <f>HYPERLINK("https://vk.com/wall-157556523_258906?reply=259034&amp;thread=258932")</f>
        <v>https://vk.com/wall-157556523_258906?reply=259034&amp;thread=258932</v>
      </c>
      <c r="H1190" t="s">
        <v>119</v>
      </c>
      <c r="I1190" t="s">
        <v>4560</v>
      </c>
      <c r="J1190" t="str">
        <f>HYPERLINK("http://vk.com/id273109436")</f>
        <v>http://vk.com/id273109436</v>
      </c>
      <c r="K1190">
        <v>220</v>
      </c>
      <c r="L1190" t="s">
        <v>121</v>
      </c>
      <c r="M1190">
        <v>23</v>
      </c>
      <c r="N1190" t="s">
        <v>122</v>
      </c>
      <c r="O1190" t="s">
        <v>4561</v>
      </c>
      <c r="P1190" t="str">
        <f>HYPERLINK("http://vk.com/club157556523")</f>
        <v>http://vk.com/club157556523</v>
      </c>
      <c r="Q1190">
        <v>14078</v>
      </c>
      <c r="R1190" t="s">
        <v>124</v>
      </c>
      <c r="S1190" t="s">
        <v>125</v>
      </c>
      <c r="T1190" t="s">
        <v>1343</v>
      </c>
      <c r="U1190" t="s">
        <v>4562</v>
      </c>
      <c r="AM1190" t="s">
        <v>129</v>
      </c>
      <c r="AN1190" t="s">
        <v>130</v>
      </c>
      <c r="AP1190" t="s">
        <v>41</v>
      </c>
      <c r="AZ1190" t="s">
        <v>51</v>
      </c>
      <c r="BB1190" t="s">
        <v>53</v>
      </c>
    </row>
    <row r="1191" spans="1:69" x14ac:dyDescent="0.2">
      <c r="A1191" t="s">
        <v>4536</v>
      </c>
      <c r="B1191" t="s">
        <v>3327</v>
      </c>
      <c r="C1191" t="s">
        <v>4563</v>
      </c>
      <c r="D1191" t="s">
        <v>4564</v>
      </c>
      <c r="E1191" t="s">
        <v>4565</v>
      </c>
      <c r="F1191" t="s">
        <v>118</v>
      </c>
      <c r="G1191" t="str">
        <f>HYPERLINK("https://otzovik.com/review_12203442.html#90022464")</f>
        <v>https://otzovik.com/review_12203442.html#90022464</v>
      </c>
      <c r="H1191" t="s">
        <v>119</v>
      </c>
      <c r="I1191" t="s">
        <v>4551</v>
      </c>
      <c r="J1191" t="str">
        <f>HYPERLINK("http://otzovik.com/profile/aepihin70")</f>
        <v>http://otzovik.com/profile/aepihin70</v>
      </c>
      <c r="N1191" t="s">
        <v>390</v>
      </c>
      <c r="O1191" t="s">
        <v>1067</v>
      </c>
      <c r="P1191" t="str">
        <f>HYPERLINK("https://otzovik.com/reviews/sputnikovoe_televidenie_trikolor_tv/")</f>
        <v>https://otzovik.com/reviews/sputnikovoe_televidenie_trikolor_tv/</v>
      </c>
      <c r="R1191" t="s">
        <v>184</v>
      </c>
      <c r="S1191" t="s">
        <v>125</v>
      </c>
      <c r="AM1191" t="s">
        <v>129</v>
      </c>
      <c r="AN1191" t="s">
        <v>130</v>
      </c>
      <c r="AP1191" t="s">
        <v>41</v>
      </c>
      <c r="AY1191" t="s">
        <v>50</v>
      </c>
      <c r="AZ1191" t="s">
        <v>51</v>
      </c>
      <c r="BA1191" t="s">
        <v>52</v>
      </c>
    </row>
    <row r="1192" spans="1:69" x14ac:dyDescent="0.2">
      <c r="A1192" t="s">
        <v>4536</v>
      </c>
      <c r="B1192" t="s">
        <v>4566</v>
      </c>
      <c r="C1192" t="s">
        <v>4567</v>
      </c>
      <c r="D1192" t="s">
        <v>3580</v>
      </c>
      <c r="E1192" t="s">
        <v>4568</v>
      </c>
      <c r="F1192" t="s">
        <v>118</v>
      </c>
      <c r="G1192" t="str">
        <f>HYPERLINK("https://vk.com/wall-104292825_852703?reply=852913")</f>
        <v>https://vk.com/wall-104292825_852703?reply=852913</v>
      </c>
      <c r="H1192" t="s">
        <v>119</v>
      </c>
      <c r="I1192" t="s">
        <v>4569</v>
      </c>
      <c r="J1192" t="str">
        <f>HYPERLINK("http://vk.com/id635716779")</f>
        <v>http://vk.com/id635716779</v>
      </c>
      <c r="K1192">
        <v>0</v>
      </c>
      <c r="L1192" t="s">
        <v>121</v>
      </c>
      <c r="M1192">
        <v>33</v>
      </c>
      <c r="N1192" t="s">
        <v>122</v>
      </c>
      <c r="O1192" t="s">
        <v>3583</v>
      </c>
      <c r="P1192" t="str">
        <f>HYPERLINK("http://vk.com/club104292825")</f>
        <v>http://vk.com/club104292825</v>
      </c>
      <c r="Q1192">
        <v>27863</v>
      </c>
      <c r="R1192" t="s">
        <v>124</v>
      </c>
      <c r="S1192" t="s">
        <v>125</v>
      </c>
      <c r="T1192" t="s">
        <v>627</v>
      </c>
      <c r="U1192" t="s">
        <v>3584</v>
      </c>
      <c r="AM1192" t="s">
        <v>129</v>
      </c>
      <c r="AN1192" t="s">
        <v>130</v>
      </c>
      <c r="AP1192" t="s">
        <v>41</v>
      </c>
      <c r="AT1192" t="s">
        <v>45</v>
      </c>
      <c r="AW1192" t="s">
        <v>48</v>
      </c>
      <c r="AZ1192" t="s">
        <v>51</v>
      </c>
      <c r="BA1192" t="s">
        <v>52</v>
      </c>
    </row>
    <row r="1193" spans="1:69" x14ac:dyDescent="0.2">
      <c r="A1193" t="s">
        <v>4536</v>
      </c>
      <c r="B1193" t="s">
        <v>791</v>
      </c>
      <c r="C1193" t="s">
        <v>4570</v>
      </c>
      <c r="D1193" t="s">
        <v>4137</v>
      </c>
      <c r="E1193" t="s">
        <v>4571</v>
      </c>
      <c r="F1193" t="s">
        <v>118</v>
      </c>
      <c r="G1193" t="str">
        <f>HYPERLINK("https://vk.com/wall-22935147_368614?reply=368621")</f>
        <v>https://vk.com/wall-22935147_368614?reply=368621</v>
      </c>
      <c r="H1193" t="s">
        <v>181</v>
      </c>
      <c r="I1193" t="s">
        <v>4572</v>
      </c>
      <c r="J1193" t="str">
        <f>HYPERLINK("http://vk.com/id633448586")</f>
        <v>http://vk.com/id633448586</v>
      </c>
      <c r="K1193">
        <v>0</v>
      </c>
      <c r="M1193">
        <v>32</v>
      </c>
      <c r="N1193" t="s">
        <v>122</v>
      </c>
      <c r="O1193" t="s">
        <v>1093</v>
      </c>
      <c r="P1193" t="str">
        <f>HYPERLINK("http://vk.com/club22935147")</f>
        <v>http://vk.com/club22935147</v>
      </c>
      <c r="Q1193">
        <v>8943</v>
      </c>
      <c r="R1193" t="s">
        <v>124</v>
      </c>
      <c r="S1193" t="s">
        <v>125</v>
      </c>
      <c r="T1193" t="s">
        <v>169</v>
      </c>
      <c r="U1193" t="s">
        <v>169</v>
      </c>
      <c r="W1193">
        <v>1</v>
      </c>
      <c r="X1193">
        <v>1</v>
      </c>
      <c r="AM1193" t="s">
        <v>129</v>
      </c>
      <c r="AN1193" t="s">
        <v>130</v>
      </c>
      <c r="AP1193" t="s">
        <v>41</v>
      </c>
      <c r="AZ1193" t="s">
        <v>51</v>
      </c>
      <c r="BA1193" t="s">
        <v>52</v>
      </c>
      <c r="BL1193" t="s">
        <v>63</v>
      </c>
    </row>
    <row r="1194" spans="1:69" x14ac:dyDescent="0.2">
      <c r="A1194" t="s">
        <v>4536</v>
      </c>
      <c r="B1194" t="s">
        <v>1285</v>
      </c>
      <c r="C1194" t="s">
        <v>4570</v>
      </c>
      <c r="D1194" t="s">
        <v>4137</v>
      </c>
      <c r="E1194" t="s">
        <v>4573</v>
      </c>
      <c r="F1194" t="s">
        <v>118</v>
      </c>
      <c r="G1194" t="str">
        <f>HYPERLINK("https://vk.com/wall-22935147_368614?reply=368620")</f>
        <v>https://vk.com/wall-22935147_368614?reply=368620</v>
      </c>
      <c r="H1194" t="s">
        <v>119</v>
      </c>
      <c r="I1194" t="s">
        <v>4574</v>
      </c>
      <c r="J1194" t="str">
        <f>HYPERLINK("http://vk.com/id271974442")</f>
        <v>http://vk.com/id271974442</v>
      </c>
      <c r="K1194">
        <v>209</v>
      </c>
      <c r="L1194" t="s">
        <v>151</v>
      </c>
      <c r="M1194">
        <v>40</v>
      </c>
      <c r="N1194" t="s">
        <v>122</v>
      </c>
      <c r="O1194" t="s">
        <v>1093</v>
      </c>
      <c r="P1194" t="str">
        <f>HYPERLINK("http://vk.com/club22935147")</f>
        <v>http://vk.com/club22935147</v>
      </c>
      <c r="Q1194">
        <v>8943</v>
      </c>
      <c r="R1194" t="s">
        <v>124</v>
      </c>
      <c r="S1194" t="s">
        <v>125</v>
      </c>
      <c r="T1194" t="s">
        <v>3158</v>
      </c>
      <c r="U1194" t="s">
        <v>4575</v>
      </c>
      <c r="W1194">
        <v>1</v>
      </c>
      <c r="X1194">
        <v>1</v>
      </c>
      <c r="AM1194" t="s">
        <v>129</v>
      </c>
      <c r="AN1194" t="s">
        <v>130</v>
      </c>
      <c r="AP1194" t="s">
        <v>41</v>
      </c>
      <c r="AZ1194" t="s">
        <v>51</v>
      </c>
      <c r="BA1194" t="s">
        <v>52</v>
      </c>
      <c r="BL1194" t="s">
        <v>63</v>
      </c>
    </row>
    <row r="1195" spans="1:69" x14ac:dyDescent="0.2">
      <c r="A1195" t="s">
        <v>4536</v>
      </c>
      <c r="B1195" t="s">
        <v>4576</v>
      </c>
      <c r="C1195" t="s">
        <v>4577</v>
      </c>
      <c r="D1195" t="s">
        <v>204</v>
      </c>
      <c r="E1195" t="s">
        <v>4578</v>
      </c>
      <c r="F1195" t="s">
        <v>180</v>
      </c>
      <c r="G1195" t="str">
        <f>HYPERLINK("https://play.google.com/store/apps/details?id=ru.iflex.android.a3colortv&amp;reviewId=gp:AOqpTOF68-Hj1f7hXfxcmoePIw7Nnn5__JzpVlVosnMvNTOMHHut5SqEJ3GA-BzVTyo35hSW18wg9nDB9FbVPg")</f>
        <v>https://play.google.com/store/apps/details?id=ru.iflex.android.a3colortv&amp;reviewId=gp:AOqpTOF68-Hj1f7hXfxcmoePIw7Nnn5__JzpVlVosnMvNTOMHHut5SqEJ3GA-BzVTyo35hSW18wg9nDB9FbVPg</v>
      </c>
      <c r="H1195" t="s">
        <v>228</v>
      </c>
      <c r="I1195" t="s">
        <v>4579</v>
      </c>
      <c r="J1195" t="str">
        <f>HYPERLINK("https://plus.google.com/112748215421517279863")</f>
        <v>https://plus.google.com/112748215421517279863</v>
      </c>
      <c r="L1195" t="s">
        <v>121</v>
      </c>
      <c r="N1195" t="s">
        <v>207</v>
      </c>
      <c r="O1195" t="s">
        <v>204</v>
      </c>
      <c r="P1195" t="str">
        <f>HYPERLINK("https://play.google.com/store/apps/details?id=ru.iflex.android.a3colortv&amp;hl=ru")</f>
        <v>https://play.google.com/store/apps/details?id=ru.iflex.android.a3colortv&amp;hl=ru</v>
      </c>
      <c r="R1195" t="s">
        <v>184</v>
      </c>
      <c r="S1195" t="s">
        <v>125</v>
      </c>
      <c r="W1195">
        <v>0</v>
      </c>
      <c r="X1195">
        <v>0</v>
      </c>
      <c r="AH1195">
        <v>1</v>
      </c>
      <c r="AM1195" t="s">
        <v>129</v>
      </c>
      <c r="AN1195" t="s">
        <v>130</v>
      </c>
      <c r="AP1195" t="s">
        <v>41</v>
      </c>
      <c r="AZ1195" t="s">
        <v>51</v>
      </c>
      <c r="BA1195" t="s">
        <v>52</v>
      </c>
      <c r="BQ1195" t="s">
        <v>68</v>
      </c>
    </row>
    <row r="1196" spans="1:69" x14ac:dyDescent="0.2">
      <c r="A1196" t="s">
        <v>4536</v>
      </c>
      <c r="B1196" t="s">
        <v>4580</v>
      </c>
      <c r="C1196" t="s">
        <v>4581</v>
      </c>
      <c r="D1196" t="s">
        <v>129</v>
      </c>
      <c r="E1196" t="s">
        <v>4554</v>
      </c>
      <c r="F1196" t="s">
        <v>180</v>
      </c>
      <c r="G1196" t="str">
        <f>HYPERLINK("https://vk.com/wall-22935147_368613")</f>
        <v>https://vk.com/wall-22935147_368613</v>
      </c>
      <c r="H1196" t="s">
        <v>119</v>
      </c>
      <c r="I1196" t="s">
        <v>4582</v>
      </c>
      <c r="J1196" t="str">
        <f>HYPERLINK("http://vk.com/id648312415")</f>
        <v>http://vk.com/id648312415</v>
      </c>
      <c r="L1196" t="s">
        <v>121</v>
      </c>
      <c r="M1196">
        <v>50</v>
      </c>
      <c r="N1196" t="s">
        <v>122</v>
      </c>
      <c r="O1196" t="s">
        <v>1093</v>
      </c>
      <c r="P1196" t="str">
        <f>HYPERLINK("http://vk.com/club22935147")</f>
        <v>http://vk.com/club22935147</v>
      </c>
      <c r="Q1196">
        <v>8943</v>
      </c>
      <c r="R1196" t="s">
        <v>124</v>
      </c>
      <c r="S1196" t="s">
        <v>125</v>
      </c>
      <c r="T1196" t="s">
        <v>169</v>
      </c>
      <c r="U1196" t="s">
        <v>169</v>
      </c>
      <c r="W1196">
        <v>7</v>
      </c>
      <c r="X1196">
        <v>7</v>
      </c>
      <c r="AE1196">
        <v>7</v>
      </c>
      <c r="AF1196">
        <v>0</v>
      </c>
      <c r="AG1196">
        <v>1510</v>
      </c>
      <c r="AM1196" t="s">
        <v>129</v>
      </c>
      <c r="AN1196" t="s">
        <v>130</v>
      </c>
      <c r="AP1196" t="s">
        <v>41</v>
      </c>
      <c r="AU1196" t="s">
        <v>46</v>
      </c>
      <c r="AZ1196" t="s">
        <v>51</v>
      </c>
      <c r="BA1196" t="s">
        <v>52</v>
      </c>
      <c r="BQ1196" t="s">
        <v>68</v>
      </c>
    </row>
    <row r="1197" spans="1:69" x14ac:dyDescent="0.2">
      <c r="A1197" t="s">
        <v>4536</v>
      </c>
      <c r="B1197" t="s">
        <v>792</v>
      </c>
      <c r="C1197" t="s">
        <v>4581</v>
      </c>
      <c r="D1197" t="s">
        <v>129</v>
      </c>
      <c r="E1197" t="s">
        <v>4583</v>
      </c>
      <c r="F1197" t="s">
        <v>180</v>
      </c>
      <c r="G1197" t="str">
        <f>HYPERLINK("https://vk.com/wall-22935147_368612")</f>
        <v>https://vk.com/wall-22935147_368612</v>
      </c>
      <c r="H1197" t="s">
        <v>119</v>
      </c>
      <c r="I1197" t="s">
        <v>4584</v>
      </c>
      <c r="J1197" t="str">
        <f>HYPERLINK("http://vk.com/id199369977")</f>
        <v>http://vk.com/id199369977</v>
      </c>
      <c r="K1197">
        <v>664</v>
      </c>
      <c r="N1197" t="s">
        <v>122</v>
      </c>
      <c r="O1197" t="s">
        <v>1093</v>
      </c>
      <c r="P1197" t="str">
        <f>HYPERLINK("http://vk.com/club22935147")</f>
        <v>http://vk.com/club22935147</v>
      </c>
      <c r="Q1197">
        <v>8943</v>
      </c>
      <c r="R1197" t="s">
        <v>124</v>
      </c>
      <c r="S1197" t="s">
        <v>125</v>
      </c>
      <c r="T1197" t="s">
        <v>767</v>
      </c>
      <c r="U1197" t="s">
        <v>4585</v>
      </c>
      <c r="W1197">
        <v>8</v>
      </c>
      <c r="X1197">
        <v>8</v>
      </c>
      <c r="AE1197">
        <v>1</v>
      </c>
      <c r="AF1197">
        <v>0</v>
      </c>
      <c r="AG1197">
        <v>1438</v>
      </c>
      <c r="AJ1197" t="s">
        <v>306</v>
      </c>
      <c r="AK1197" t="s">
        <v>129</v>
      </c>
      <c r="AL1197" t="str">
        <f>HYPERLINK("https://sun9-22.userapi.com/impg/uRIeD4zE2KFSVSDxJzXvEDk22hS8Cos2UrXCQw/yqnkmvWWwwM.jpg?size=997x2160&amp;quality=96&amp;sign=80da3177abf69802fb0a7650bd839724&amp;c_uniq_tag=k9LvsbWhm9ah6Jiy6wSnYVNQjEVtWlJzVVa23Aqv2Ew&amp;type=album")</f>
        <v>https://sun9-22.userapi.com/impg/uRIeD4zE2KFSVSDxJzXvEDk22hS8Cos2UrXCQw/yqnkmvWWwwM.jpg?size=997x2160&amp;quality=96&amp;sign=80da3177abf69802fb0a7650bd839724&amp;c_uniq_tag=k9LvsbWhm9ah6Jiy6wSnYVNQjEVtWlJzVVa23Aqv2Ew&amp;type=album</v>
      </c>
      <c r="AM1197" t="s">
        <v>129</v>
      </c>
      <c r="AN1197" t="s">
        <v>130</v>
      </c>
      <c r="AP1197" t="s">
        <v>41</v>
      </c>
      <c r="AU1197" t="s">
        <v>46</v>
      </c>
      <c r="AY1197" t="s">
        <v>50</v>
      </c>
      <c r="AZ1197" t="s">
        <v>51</v>
      </c>
      <c r="BA1197" t="s">
        <v>52</v>
      </c>
    </row>
    <row r="1198" spans="1:69" x14ac:dyDescent="0.2">
      <c r="A1198" t="s">
        <v>4536</v>
      </c>
      <c r="B1198" t="s">
        <v>170</v>
      </c>
      <c r="C1198" t="s">
        <v>4577</v>
      </c>
      <c r="D1198" t="s">
        <v>204</v>
      </c>
      <c r="E1198" t="s">
        <v>4586</v>
      </c>
      <c r="F1198" t="s">
        <v>180</v>
      </c>
      <c r="G1198" t="str">
        <f>HYPERLINK("https://play.google.com/store/apps/details?id=ru.iflex.android.a3colortv&amp;reviewId=gp:AOqpTOFwDN97FP_xJyhA6crveLD0J93nLp51MyEN1kjMpjVX3e90UtQpPjuqCiNmzY61FBoPw3Ljjv9p40wTKQ")</f>
        <v>https://play.google.com/store/apps/details?id=ru.iflex.android.a3colortv&amp;reviewId=gp:AOqpTOFwDN97FP_xJyhA6crveLD0J93nLp51MyEN1kjMpjVX3e90UtQpPjuqCiNmzY61FBoPw3Ljjv9p40wTKQ</v>
      </c>
      <c r="H1198" t="s">
        <v>181</v>
      </c>
      <c r="I1198" t="s">
        <v>4587</v>
      </c>
      <c r="J1198" t="str">
        <f>HYPERLINK("https://plus.google.com/101990463323530370237")</f>
        <v>https://plus.google.com/101990463323530370237</v>
      </c>
      <c r="L1198" t="s">
        <v>121</v>
      </c>
      <c r="N1198" t="s">
        <v>207</v>
      </c>
      <c r="O1198" t="s">
        <v>204</v>
      </c>
      <c r="P1198" t="str">
        <f>HYPERLINK("https://play.google.com/store/apps/details?id=ru.iflex.android.a3colortv&amp;hl=ru")</f>
        <v>https://play.google.com/store/apps/details?id=ru.iflex.android.a3colortv&amp;hl=ru</v>
      </c>
      <c r="R1198" t="s">
        <v>184</v>
      </c>
      <c r="S1198" t="s">
        <v>125</v>
      </c>
      <c r="W1198">
        <v>0</v>
      </c>
      <c r="X1198">
        <v>0</v>
      </c>
      <c r="AH1198">
        <v>5</v>
      </c>
      <c r="AM1198" t="s">
        <v>129</v>
      </c>
      <c r="AN1198" t="s">
        <v>130</v>
      </c>
      <c r="AP1198" t="s">
        <v>41</v>
      </c>
      <c r="AZ1198" t="s">
        <v>51</v>
      </c>
      <c r="BA1198" t="s">
        <v>52</v>
      </c>
      <c r="BQ1198" t="s">
        <v>68</v>
      </c>
    </row>
    <row r="1199" spans="1:69" x14ac:dyDescent="0.2">
      <c r="A1199" t="s">
        <v>4536</v>
      </c>
      <c r="B1199" t="s">
        <v>196</v>
      </c>
      <c r="C1199" t="s">
        <v>4588</v>
      </c>
      <c r="D1199" t="s">
        <v>2833</v>
      </c>
      <c r="E1199" t="s">
        <v>4589</v>
      </c>
      <c r="F1199" t="s">
        <v>118</v>
      </c>
      <c r="G1199" t="str">
        <f>HYPERLINK("https://ok.ru/group/51085510115462/topic/153410793088390#MTYyNjk3OTM4MTkxMTotNjMyMzoxNjI2OTc5MzgxOTExOjE1MzQxMDc5MzA4ODM5MDox")</f>
        <v>https://ok.ru/group/51085510115462/topic/153410793088390#MTYyNjk3OTM4MTkxMTotNjMyMzoxNjI2OTc5MzgxOTExOjE1MzQxMDc5MzA4ODM5MDox</v>
      </c>
      <c r="H1199" t="s">
        <v>119</v>
      </c>
      <c r="I1199" t="s">
        <v>175</v>
      </c>
      <c r="J1199" t="str">
        <f>HYPERLINK("https://ok.ru/group/51085510115462")</f>
        <v>https://ok.ru/group/51085510115462</v>
      </c>
      <c r="K1199">
        <v>94768</v>
      </c>
      <c r="L1199" t="s">
        <v>340</v>
      </c>
      <c r="N1199" t="s">
        <v>347</v>
      </c>
      <c r="O1199" t="s">
        <v>175</v>
      </c>
      <c r="P1199" t="str">
        <f>HYPERLINK("https://ok.ru/group/51085510115462")</f>
        <v>https://ok.ru/group/51085510115462</v>
      </c>
      <c r="Q1199">
        <v>94768</v>
      </c>
      <c r="R1199" t="s">
        <v>124</v>
      </c>
      <c r="W1199">
        <v>0</v>
      </c>
      <c r="X1199">
        <v>0</v>
      </c>
      <c r="AM1199" t="s">
        <v>129</v>
      </c>
      <c r="AN1199" t="s">
        <v>130</v>
      </c>
      <c r="BI1199" t="s">
        <v>60</v>
      </c>
    </row>
    <row r="1200" spans="1:69" x14ac:dyDescent="0.2">
      <c r="A1200" t="s">
        <v>4536</v>
      </c>
      <c r="B1200" t="s">
        <v>4590</v>
      </c>
      <c r="C1200" t="s">
        <v>4591</v>
      </c>
      <c r="D1200" t="s">
        <v>4592</v>
      </c>
      <c r="E1200" t="s">
        <v>4593</v>
      </c>
      <c r="F1200" t="s">
        <v>118</v>
      </c>
      <c r="G1200" t="str">
        <f>HYPERLINK("https://vk.com/wall-2338989_3603175?reply=3603507")</f>
        <v>https://vk.com/wall-2338989_3603175?reply=3603507</v>
      </c>
      <c r="H1200" t="s">
        <v>119</v>
      </c>
      <c r="I1200" t="s">
        <v>4594</v>
      </c>
      <c r="J1200" t="str">
        <f>HYPERLINK("http://vk.com/id1634978")</f>
        <v>http://vk.com/id1634978</v>
      </c>
      <c r="K1200">
        <v>235</v>
      </c>
      <c r="L1200" t="s">
        <v>151</v>
      </c>
      <c r="N1200" t="s">
        <v>122</v>
      </c>
      <c r="O1200" t="s">
        <v>4595</v>
      </c>
      <c r="P1200" t="str">
        <f>HYPERLINK("http://vk.com/club2338989")</f>
        <v>http://vk.com/club2338989</v>
      </c>
      <c r="Q1200">
        <v>65038</v>
      </c>
      <c r="R1200" t="s">
        <v>124</v>
      </c>
      <c r="S1200" t="s">
        <v>125</v>
      </c>
      <c r="T1200" t="s">
        <v>137</v>
      </c>
      <c r="U1200" t="s">
        <v>137</v>
      </c>
      <c r="AM1200" t="s">
        <v>129</v>
      </c>
      <c r="AN1200" t="s">
        <v>130</v>
      </c>
      <c r="AP1200" t="s">
        <v>41</v>
      </c>
      <c r="AT1200" t="s">
        <v>45</v>
      </c>
      <c r="AZ1200" t="s">
        <v>51</v>
      </c>
      <c r="BA1200" t="s">
        <v>52</v>
      </c>
    </row>
    <row r="1201" spans="1:90" x14ac:dyDescent="0.2">
      <c r="A1201" t="s">
        <v>4536</v>
      </c>
      <c r="B1201" t="s">
        <v>800</v>
      </c>
      <c r="C1201" t="s">
        <v>4596</v>
      </c>
      <c r="D1201" t="s">
        <v>4597</v>
      </c>
      <c r="E1201" t="s">
        <v>4598</v>
      </c>
      <c r="F1201" t="s">
        <v>118</v>
      </c>
      <c r="G1201" t="str">
        <f>HYPERLINK("https://www.youtube.com/watch?v=7vGv9nuQfpU&amp;lc=UgzVy8WPCLr3V8UUwO14AaABAg")</f>
        <v>https://www.youtube.com/watch?v=7vGv9nuQfpU&amp;lc=UgzVy8WPCLr3V8UUwO14AaABAg</v>
      </c>
      <c r="H1201" t="s">
        <v>119</v>
      </c>
      <c r="I1201" t="s">
        <v>4599</v>
      </c>
      <c r="J1201" t="str">
        <f>HYPERLINK("https://www.youtube.com/channel/UC1NonEwZ_RlzudICa1Oy0vQ")</f>
        <v>https://www.youtube.com/channel/UC1NonEwZ_RlzudICa1Oy0vQ</v>
      </c>
      <c r="K1201">
        <v>0</v>
      </c>
      <c r="L1201" t="s">
        <v>121</v>
      </c>
      <c r="N1201" t="s">
        <v>248</v>
      </c>
      <c r="O1201" t="s">
        <v>4600</v>
      </c>
      <c r="P1201" t="str">
        <f>HYPERLINK("https://www.youtube.com/channel/UC8xZDFfTMQJpVnA0JkFU3jQ")</f>
        <v>https://www.youtube.com/channel/UC8xZDFfTMQJpVnA0JkFU3jQ</v>
      </c>
      <c r="Q1201">
        <v>85</v>
      </c>
      <c r="R1201" t="s">
        <v>124</v>
      </c>
      <c r="S1201" t="s">
        <v>125</v>
      </c>
      <c r="W1201">
        <v>0</v>
      </c>
      <c r="X1201">
        <v>0</v>
      </c>
      <c r="AE1201">
        <v>0</v>
      </c>
      <c r="AM1201" t="s">
        <v>129</v>
      </c>
      <c r="AN1201" t="s">
        <v>130</v>
      </c>
      <c r="AP1201" t="s">
        <v>41</v>
      </c>
      <c r="AT1201" t="s">
        <v>45</v>
      </c>
      <c r="AZ1201" t="s">
        <v>51</v>
      </c>
      <c r="BA1201" t="s">
        <v>52</v>
      </c>
    </row>
    <row r="1202" spans="1:90" x14ac:dyDescent="0.2">
      <c r="A1202" t="s">
        <v>4536</v>
      </c>
      <c r="B1202" t="s">
        <v>4601</v>
      </c>
      <c r="C1202" t="s">
        <v>4563</v>
      </c>
      <c r="D1202" t="s">
        <v>4564</v>
      </c>
      <c r="E1202" t="s">
        <v>4602</v>
      </c>
      <c r="F1202" t="s">
        <v>118</v>
      </c>
      <c r="G1202" t="str">
        <f>HYPERLINK("https://otzovik.com/review_12203442.html#90021400")</f>
        <v>https://otzovik.com/review_12203442.html#90021400</v>
      </c>
      <c r="H1202" t="s">
        <v>228</v>
      </c>
      <c r="I1202" t="s">
        <v>4603</v>
      </c>
      <c r="J1202" t="str">
        <f>HYPERLINK("http://otzovik.com/profile/СВладимировна")</f>
        <v>http://otzovik.com/profile/СВладимировна</v>
      </c>
      <c r="N1202" t="s">
        <v>390</v>
      </c>
      <c r="O1202" t="s">
        <v>1067</v>
      </c>
      <c r="P1202" t="str">
        <f>HYPERLINK("https://otzovik.com/reviews/sputnikovoe_televidenie_trikolor_tv/")</f>
        <v>https://otzovik.com/reviews/sputnikovoe_televidenie_trikolor_tv/</v>
      </c>
      <c r="R1202" t="s">
        <v>184</v>
      </c>
      <c r="S1202" t="s">
        <v>125</v>
      </c>
      <c r="AM1202" t="s">
        <v>129</v>
      </c>
      <c r="AN1202" t="s">
        <v>130</v>
      </c>
      <c r="AP1202" t="s">
        <v>41</v>
      </c>
      <c r="AX1202" t="s">
        <v>49</v>
      </c>
      <c r="BA1202" t="s">
        <v>52</v>
      </c>
      <c r="BF1202" t="s">
        <v>57</v>
      </c>
      <c r="CL1202" t="s">
        <v>89</v>
      </c>
    </row>
    <row r="1203" spans="1:90" x14ac:dyDescent="0.2">
      <c r="A1203" t="s">
        <v>4536</v>
      </c>
      <c r="B1203" t="s">
        <v>4126</v>
      </c>
      <c r="C1203" t="s">
        <v>4604</v>
      </c>
      <c r="D1203" t="s">
        <v>129</v>
      </c>
      <c r="E1203" t="s">
        <v>4605</v>
      </c>
      <c r="F1203" t="s">
        <v>118</v>
      </c>
      <c r="G1203" t="str">
        <f>HYPERLINK("https://vk.com/wall-156580570_261590?reply=261594")</f>
        <v>https://vk.com/wall-156580570_261590?reply=261594</v>
      </c>
      <c r="H1203" t="s">
        <v>119</v>
      </c>
      <c r="I1203" t="s">
        <v>4606</v>
      </c>
      <c r="J1203" t="str">
        <f>HYPERLINK("http://vk.com/id1666702")</f>
        <v>http://vk.com/id1666702</v>
      </c>
      <c r="K1203">
        <v>139</v>
      </c>
      <c r="L1203" t="s">
        <v>151</v>
      </c>
      <c r="M1203">
        <v>37</v>
      </c>
      <c r="N1203" t="s">
        <v>122</v>
      </c>
      <c r="O1203" t="s">
        <v>4607</v>
      </c>
      <c r="P1203" t="str">
        <f>HYPERLINK("http://vk.com/club156580570")</f>
        <v>http://vk.com/club156580570</v>
      </c>
      <c r="Q1203">
        <v>96881</v>
      </c>
      <c r="R1203" t="s">
        <v>124</v>
      </c>
      <c r="S1203" t="s">
        <v>125</v>
      </c>
      <c r="T1203" t="s">
        <v>137</v>
      </c>
      <c r="U1203" t="s">
        <v>137</v>
      </c>
      <c r="AM1203" t="s">
        <v>129</v>
      </c>
      <c r="AN1203" t="s">
        <v>130</v>
      </c>
      <c r="AP1203" t="s">
        <v>41</v>
      </c>
      <c r="AZ1203" t="s">
        <v>51</v>
      </c>
      <c r="BB1203" t="s">
        <v>53</v>
      </c>
    </row>
    <row r="1204" spans="1:90" x14ac:dyDescent="0.2">
      <c r="A1204" t="s">
        <v>4536</v>
      </c>
      <c r="B1204" t="s">
        <v>4141</v>
      </c>
      <c r="C1204" t="s">
        <v>4608</v>
      </c>
      <c r="D1204" t="s">
        <v>4609</v>
      </c>
      <c r="E1204" t="s">
        <v>4610</v>
      </c>
      <c r="F1204" t="s">
        <v>118</v>
      </c>
      <c r="G1204" t="str">
        <f>HYPERLINK("https://pikabu.ru/story/trikolor_tv_reklamnyiy_baner_kotoryiy_besitmalenkiy_layfkhak_8353681?cid=206898597")</f>
        <v>https://pikabu.ru/story/trikolor_tv_reklamnyiy_baner_kotoryiy_besitmalenkiy_layfkhak_8353681?cid=206898597</v>
      </c>
      <c r="H1204" t="s">
        <v>119</v>
      </c>
      <c r="I1204" t="s">
        <v>4611</v>
      </c>
      <c r="J1204" t="str">
        <f>HYPERLINK("http://pikabu.ru/profile/Prihodk0")</f>
        <v>http://pikabu.ru/profile/Prihodk0</v>
      </c>
      <c r="N1204" t="s">
        <v>402</v>
      </c>
      <c r="O1204" t="s">
        <v>4612</v>
      </c>
      <c r="P1204" t="str">
        <f>HYPERLINK("http://pikabu.ru/profile/Soonk80")</f>
        <v>http://pikabu.ru/profile/Soonk80</v>
      </c>
      <c r="R1204" t="s">
        <v>404</v>
      </c>
      <c r="AM1204" t="s">
        <v>129</v>
      </c>
      <c r="AN1204" t="s">
        <v>130</v>
      </c>
      <c r="AP1204" t="s">
        <v>41</v>
      </c>
      <c r="AU1204" t="s">
        <v>46</v>
      </c>
      <c r="AZ1204" t="s">
        <v>51</v>
      </c>
      <c r="BA1204" t="s">
        <v>52</v>
      </c>
    </row>
    <row r="1205" spans="1:90" x14ac:dyDescent="0.2">
      <c r="A1205" t="s">
        <v>4536</v>
      </c>
      <c r="B1205" t="s">
        <v>3346</v>
      </c>
      <c r="C1205" t="s">
        <v>4613</v>
      </c>
      <c r="D1205" t="s">
        <v>4057</v>
      </c>
      <c r="E1205" t="s">
        <v>4614</v>
      </c>
      <c r="F1205" t="s">
        <v>118</v>
      </c>
      <c r="G1205" t="str">
        <f>HYPERLINK("https://vk.com/wall-167863263_85023?reply=85147")</f>
        <v>https://vk.com/wall-167863263_85023?reply=85147</v>
      </c>
      <c r="H1205" t="s">
        <v>119</v>
      </c>
      <c r="I1205" t="s">
        <v>4615</v>
      </c>
      <c r="J1205" t="str">
        <f>HYPERLINK("http://vk.com/id347369955")</f>
        <v>http://vk.com/id347369955</v>
      </c>
      <c r="K1205">
        <v>5</v>
      </c>
      <c r="L1205" t="s">
        <v>121</v>
      </c>
      <c r="M1205">
        <v>14</v>
      </c>
      <c r="N1205" t="s">
        <v>122</v>
      </c>
      <c r="O1205" t="s">
        <v>4060</v>
      </c>
      <c r="P1205" t="str">
        <f>HYPERLINK("http://vk.com/club167863263")</f>
        <v>http://vk.com/club167863263</v>
      </c>
      <c r="Q1205">
        <v>5569</v>
      </c>
      <c r="R1205" t="s">
        <v>124</v>
      </c>
      <c r="S1205" t="s">
        <v>125</v>
      </c>
      <c r="T1205" t="s">
        <v>137</v>
      </c>
      <c r="U1205" t="s">
        <v>137</v>
      </c>
      <c r="AM1205" t="s">
        <v>129</v>
      </c>
      <c r="AN1205" t="s">
        <v>130</v>
      </c>
      <c r="AP1205" t="s">
        <v>41</v>
      </c>
      <c r="AZ1205" t="s">
        <v>51</v>
      </c>
      <c r="BA1205" t="s">
        <v>52</v>
      </c>
      <c r="BM1205" t="s">
        <v>64</v>
      </c>
    </row>
    <row r="1206" spans="1:90" x14ac:dyDescent="0.2">
      <c r="A1206" t="s">
        <v>4536</v>
      </c>
      <c r="B1206" t="s">
        <v>2367</v>
      </c>
      <c r="C1206" t="s">
        <v>4616</v>
      </c>
      <c r="D1206" t="s">
        <v>4564</v>
      </c>
      <c r="E1206" t="s">
        <v>4617</v>
      </c>
      <c r="F1206" t="s">
        <v>118</v>
      </c>
      <c r="G1206" t="str">
        <f>HYPERLINK("https://otzovik.com/review_12203442.html#90020975")</f>
        <v>https://otzovik.com/review_12203442.html#90020975</v>
      </c>
      <c r="H1206" t="s">
        <v>119</v>
      </c>
      <c r="I1206" t="s">
        <v>1565</v>
      </c>
      <c r="J1206" t="str">
        <f>HYPERLINK("http://otzovik.com/profile/Tricolor+support")</f>
        <v>http://otzovik.com/profile/Tricolor+support</v>
      </c>
      <c r="N1206" t="s">
        <v>390</v>
      </c>
      <c r="O1206" t="s">
        <v>1067</v>
      </c>
      <c r="P1206" t="str">
        <f>HYPERLINK("https://otzovik.com/reviews/sputnikovoe_televidenie_trikolor_tv/")</f>
        <v>https://otzovik.com/reviews/sputnikovoe_televidenie_trikolor_tv/</v>
      </c>
      <c r="R1206" t="s">
        <v>184</v>
      </c>
      <c r="S1206" t="s">
        <v>125</v>
      </c>
      <c r="AM1206" t="s">
        <v>129</v>
      </c>
      <c r="AN1206" t="s">
        <v>130</v>
      </c>
      <c r="BI1206" t="s">
        <v>60</v>
      </c>
    </row>
    <row r="1207" spans="1:90" x14ac:dyDescent="0.2">
      <c r="A1207" t="s">
        <v>4536</v>
      </c>
      <c r="B1207" t="s">
        <v>4618</v>
      </c>
      <c r="C1207" t="s">
        <v>4619</v>
      </c>
      <c r="D1207" t="s">
        <v>175</v>
      </c>
      <c r="E1207" t="s">
        <v>4620</v>
      </c>
      <c r="F1207" t="s">
        <v>180</v>
      </c>
      <c r="G1207" t="str">
        <f>HYPERLINK("https://yandex.ru/maps/org/1059733671#RQZSldoiygoTccunWgJs3WRYdQr4el_")</f>
        <v>https://yandex.ru/maps/org/1059733671#RQZSldoiygoTccunWgJs3WRYdQr4el_</v>
      </c>
      <c r="H1207" t="s">
        <v>181</v>
      </c>
      <c r="I1207" t="s">
        <v>4621</v>
      </c>
      <c r="J1207" t="str">
        <f>HYPERLINK("https://yandex.ru/user/gwg0dzwyx17ubryacp9zb9nn10")</f>
        <v>https://yandex.ru/user/gwg0dzwyx17ubryacp9zb9nn10</v>
      </c>
      <c r="L1207" t="s">
        <v>121</v>
      </c>
      <c r="N1207" t="s">
        <v>236</v>
      </c>
      <c r="O1207" t="s">
        <v>175</v>
      </c>
      <c r="P1207" t="str">
        <f>HYPERLINK("https://yandex.ru/maps/org/1059733671")</f>
        <v>https://yandex.ru/maps/org/1059733671</v>
      </c>
      <c r="R1207" t="s">
        <v>184</v>
      </c>
      <c r="S1207" t="s">
        <v>125</v>
      </c>
      <c r="T1207" t="s">
        <v>126</v>
      </c>
      <c r="U1207" t="s">
        <v>127</v>
      </c>
      <c r="W1207">
        <v>0</v>
      </c>
      <c r="X1207">
        <v>0</v>
      </c>
      <c r="AH1207">
        <v>5</v>
      </c>
      <c r="AM1207" t="s">
        <v>129</v>
      </c>
      <c r="AN1207" t="s">
        <v>130</v>
      </c>
      <c r="AP1207" t="s">
        <v>41</v>
      </c>
      <c r="AX1207" t="s">
        <v>49</v>
      </c>
      <c r="AZ1207" t="s">
        <v>51</v>
      </c>
      <c r="BA1207" t="s">
        <v>52</v>
      </c>
    </row>
    <row r="1208" spans="1:90" x14ac:dyDescent="0.2">
      <c r="A1208" t="s">
        <v>4536</v>
      </c>
      <c r="B1208" t="s">
        <v>1334</v>
      </c>
      <c r="C1208" t="s">
        <v>4622</v>
      </c>
      <c r="D1208" t="s">
        <v>4623</v>
      </c>
      <c r="E1208" t="s">
        <v>4624</v>
      </c>
      <c r="F1208" t="s">
        <v>118</v>
      </c>
      <c r="G1208" t="str">
        <f>HYPERLINK("https://vk.com/wall-71458926_322008?reply=322015")</f>
        <v>https://vk.com/wall-71458926_322008?reply=322015</v>
      </c>
      <c r="H1208" t="s">
        <v>119</v>
      </c>
      <c r="I1208" t="s">
        <v>4625</v>
      </c>
      <c r="J1208" t="str">
        <f>HYPERLINK("http://vk.com/id299992698")</f>
        <v>http://vk.com/id299992698</v>
      </c>
      <c r="K1208">
        <v>3</v>
      </c>
      <c r="L1208" t="s">
        <v>121</v>
      </c>
      <c r="N1208" t="s">
        <v>122</v>
      </c>
      <c r="O1208" t="s">
        <v>4626</v>
      </c>
      <c r="P1208" t="str">
        <f>HYPERLINK("http://vk.com/club71458926")</f>
        <v>http://vk.com/club71458926</v>
      </c>
      <c r="Q1208">
        <v>8531</v>
      </c>
      <c r="R1208" t="s">
        <v>124</v>
      </c>
      <c r="S1208" t="s">
        <v>125</v>
      </c>
      <c r="T1208" t="s">
        <v>153</v>
      </c>
      <c r="U1208" t="s">
        <v>4627</v>
      </c>
      <c r="AM1208" t="s">
        <v>129</v>
      </c>
      <c r="AN1208" t="s">
        <v>130</v>
      </c>
      <c r="AP1208" t="s">
        <v>41</v>
      </c>
      <c r="AY1208" t="s">
        <v>50</v>
      </c>
      <c r="AZ1208" t="s">
        <v>51</v>
      </c>
      <c r="BA1208" t="s">
        <v>52</v>
      </c>
    </row>
    <row r="1209" spans="1:90" x14ac:dyDescent="0.2">
      <c r="A1209" t="s">
        <v>4536</v>
      </c>
      <c r="B1209" t="s">
        <v>4628</v>
      </c>
      <c r="C1209" t="s">
        <v>4329</v>
      </c>
      <c r="D1209" t="s">
        <v>4629</v>
      </c>
      <c r="E1209" t="s">
        <v>4630</v>
      </c>
      <c r="F1209" t="s">
        <v>180</v>
      </c>
      <c r="G1209" t="str">
        <f>HYPERLINK("https://www.ozon.ru/context/detail/id/253438266/#61341916")</f>
        <v>https://www.ozon.ru/context/detail/id/253438266/#61341916</v>
      </c>
      <c r="H1209" t="s">
        <v>119</v>
      </c>
      <c r="I1209" t="s">
        <v>4631</v>
      </c>
      <c r="J1209" t="str">
        <f>HYPERLINK("https://www.ozon.ru/context/client_opinion/ClientGuid/65c8c30f-292f-40b0-82f3-4aa96abe0c05/")</f>
        <v>https://www.ozon.ru/context/client_opinion/ClientGuid/65c8c30f-292f-40b0-82f3-4aa96abe0c05/</v>
      </c>
      <c r="L1209" t="s">
        <v>151</v>
      </c>
      <c r="N1209" t="s">
        <v>183</v>
      </c>
      <c r="O1209" t="s">
        <v>4629</v>
      </c>
      <c r="P1209" t="str">
        <f>HYPERLINK("https://www.ozon.ru/context/detail/id/253438266/")</f>
        <v>https://www.ozon.ru/context/detail/id/253438266/</v>
      </c>
      <c r="R1209" t="s">
        <v>184</v>
      </c>
      <c r="S1209" t="s">
        <v>125</v>
      </c>
      <c r="W1209">
        <v>0</v>
      </c>
      <c r="X1209">
        <v>0</v>
      </c>
      <c r="AH1209">
        <v>4</v>
      </c>
      <c r="AM1209" t="s">
        <v>129</v>
      </c>
      <c r="AN1209" t="s">
        <v>130</v>
      </c>
      <c r="AP1209" t="s">
        <v>41</v>
      </c>
      <c r="AT1209" t="s">
        <v>45</v>
      </c>
      <c r="AZ1209" t="s">
        <v>51</v>
      </c>
      <c r="BA1209" t="s">
        <v>52</v>
      </c>
      <c r="BL1209" t="s">
        <v>63</v>
      </c>
    </row>
    <row r="1210" spans="1:90" x14ac:dyDescent="0.2">
      <c r="A1210" t="s">
        <v>4536</v>
      </c>
      <c r="B1210" t="s">
        <v>4632</v>
      </c>
      <c r="C1210" t="s">
        <v>4633</v>
      </c>
      <c r="D1210" t="s">
        <v>4634</v>
      </c>
      <c r="E1210" t="s">
        <v>4635</v>
      </c>
      <c r="F1210" t="s">
        <v>118</v>
      </c>
      <c r="G1210" t="str">
        <f>HYPERLINK("https://www.youtube.com/watch?v=O2eLKDrLKzo&amp;lc=UgxKkgHmXLtlCdO01WR4AaABAg")</f>
        <v>https://www.youtube.com/watch?v=O2eLKDrLKzo&amp;lc=UgxKkgHmXLtlCdO01WR4AaABAg</v>
      </c>
      <c r="H1210" t="s">
        <v>228</v>
      </c>
      <c r="I1210" t="s">
        <v>4636</v>
      </c>
      <c r="J1210" t="str">
        <f>HYPERLINK("https://www.youtube.com/channel/UCzl738O7BJ6MgSh2DQVKxnQ")</f>
        <v>https://www.youtube.com/channel/UCzl738O7BJ6MgSh2DQVKxnQ</v>
      </c>
      <c r="K1210">
        <v>0</v>
      </c>
      <c r="N1210" t="s">
        <v>248</v>
      </c>
      <c r="O1210" t="s">
        <v>4637</v>
      </c>
      <c r="P1210" t="str">
        <f>HYPERLINK("https://www.youtube.com/channel/UCg4TQq9HgNC7lkVFGNkxH_w")</f>
        <v>https://www.youtube.com/channel/UCg4TQq9HgNC7lkVFGNkxH_w</v>
      </c>
      <c r="Q1210">
        <v>81700</v>
      </c>
      <c r="R1210" t="s">
        <v>124</v>
      </c>
      <c r="W1210">
        <v>0</v>
      </c>
      <c r="X1210">
        <v>0</v>
      </c>
      <c r="AE1210">
        <v>0</v>
      </c>
      <c r="AM1210" t="s">
        <v>129</v>
      </c>
      <c r="AN1210" t="s">
        <v>130</v>
      </c>
      <c r="AP1210" t="s">
        <v>41</v>
      </c>
      <c r="AU1210" t="s">
        <v>46</v>
      </c>
      <c r="AZ1210" t="s">
        <v>51</v>
      </c>
      <c r="BA1210" t="s">
        <v>52</v>
      </c>
    </row>
    <row r="1211" spans="1:90" x14ac:dyDescent="0.2">
      <c r="A1211" t="s">
        <v>4536</v>
      </c>
      <c r="B1211" t="s">
        <v>4638</v>
      </c>
      <c r="C1211" t="s">
        <v>4639</v>
      </c>
      <c r="D1211" t="s">
        <v>4094</v>
      </c>
      <c r="E1211" t="s">
        <v>4640</v>
      </c>
      <c r="F1211" t="s">
        <v>118</v>
      </c>
      <c r="G1211" t="str">
        <f>HYPERLINK("https://www.youtube.com/watch?v=XCtxDrX5LP0&amp;lc=UgwUFHUfiBwIjsZDOIZ4AaABAg.9Q634GuJaSj9Q6LBIyq0u1")</f>
        <v>https://www.youtube.com/watch?v=XCtxDrX5LP0&amp;lc=UgwUFHUfiBwIjsZDOIZ4AaABAg.9Q634GuJaSj9Q6LBIyq0u1</v>
      </c>
      <c r="H1211" t="s">
        <v>119</v>
      </c>
      <c r="I1211" t="s">
        <v>4096</v>
      </c>
      <c r="J1211" t="str">
        <f>HYPERLINK("https://www.youtube.com/channel/UCS_hQzqKW9msSt87cX24c8Q")</f>
        <v>https://www.youtube.com/channel/UCS_hQzqKW9msSt87cX24c8Q</v>
      </c>
      <c r="K1211">
        <v>15600</v>
      </c>
      <c r="N1211" t="s">
        <v>248</v>
      </c>
      <c r="O1211" t="s">
        <v>4096</v>
      </c>
      <c r="P1211" t="str">
        <f>HYPERLINK("https://www.youtube.com/channel/UCS_hQzqKW9msSt87cX24c8Q")</f>
        <v>https://www.youtube.com/channel/UCS_hQzqKW9msSt87cX24c8Q</v>
      </c>
      <c r="Q1211">
        <v>15600</v>
      </c>
      <c r="R1211" t="s">
        <v>124</v>
      </c>
      <c r="S1211" t="s">
        <v>125</v>
      </c>
      <c r="W1211">
        <v>0</v>
      </c>
      <c r="X1211">
        <v>0</v>
      </c>
      <c r="AM1211" t="s">
        <v>129</v>
      </c>
      <c r="AN1211" t="s">
        <v>130</v>
      </c>
      <c r="AP1211" t="s">
        <v>41</v>
      </c>
      <c r="AT1211" t="s">
        <v>45</v>
      </c>
      <c r="AZ1211" t="s">
        <v>51</v>
      </c>
      <c r="BB1211" t="s">
        <v>53</v>
      </c>
    </row>
    <row r="1212" spans="1:90" x14ac:dyDescent="0.2">
      <c r="A1212" t="s">
        <v>4536</v>
      </c>
      <c r="B1212" t="s">
        <v>1385</v>
      </c>
      <c r="C1212" t="s">
        <v>4641</v>
      </c>
      <c r="D1212" t="s">
        <v>4642</v>
      </c>
      <c r="E1212" t="s">
        <v>4643</v>
      </c>
      <c r="F1212" t="s">
        <v>118</v>
      </c>
      <c r="G1212" t="str">
        <f>HYPERLINK("https://vk.com/wall-22935147_368529?reply=368607")</f>
        <v>https://vk.com/wall-22935147_368529?reply=368607</v>
      </c>
      <c r="H1212" t="s">
        <v>119</v>
      </c>
      <c r="I1212" t="s">
        <v>1375</v>
      </c>
      <c r="J1212" t="str">
        <f>HYPERLINK("http://vk.com/club46412285")</f>
        <v>http://vk.com/club46412285</v>
      </c>
      <c r="K1212">
        <v>1373</v>
      </c>
      <c r="L1212" t="s">
        <v>340</v>
      </c>
      <c r="N1212" t="s">
        <v>122</v>
      </c>
      <c r="O1212" t="s">
        <v>1093</v>
      </c>
      <c r="P1212" t="str">
        <f>HYPERLINK("http://vk.com/club22935147")</f>
        <v>http://vk.com/club22935147</v>
      </c>
      <c r="Q1212">
        <v>8943</v>
      </c>
      <c r="R1212" t="s">
        <v>124</v>
      </c>
      <c r="S1212" t="s">
        <v>125</v>
      </c>
      <c r="W1212">
        <v>0</v>
      </c>
      <c r="X1212">
        <v>0</v>
      </c>
      <c r="AM1212" t="s">
        <v>129</v>
      </c>
      <c r="AN1212" t="s">
        <v>130</v>
      </c>
      <c r="AP1212" t="s">
        <v>41</v>
      </c>
      <c r="AU1212" t="s">
        <v>46</v>
      </c>
      <c r="AY1212" t="s">
        <v>50</v>
      </c>
      <c r="AZ1212" t="s">
        <v>51</v>
      </c>
      <c r="BA1212" t="s">
        <v>52</v>
      </c>
      <c r="BL1212" t="s">
        <v>63</v>
      </c>
    </row>
    <row r="1213" spans="1:90" x14ac:dyDescent="0.2">
      <c r="A1213" t="s">
        <v>4536</v>
      </c>
      <c r="B1213" t="s">
        <v>1403</v>
      </c>
      <c r="C1213" t="s">
        <v>4644</v>
      </c>
      <c r="D1213" t="s">
        <v>4645</v>
      </c>
      <c r="E1213" t="s">
        <v>4646</v>
      </c>
      <c r="F1213" t="s">
        <v>118</v>
      </c>
      <c r="G1213" t="str">
        <f>HYPERLINK("https://vk.com/wall-140365666_97933?reply=97942")</f>
        <v>https://vk.com/wall-140365666_97933?reply=97942</v>
      </c>
      <c r="H1213" t="s">
        <v>119</v>
      </c>
      <c r="I1213" t="s">
        <v>4647</v>
      </c>
      <c r="J1213" t="str">
        <f>HYPERLINK("http://vk.com/id248442742")</f>
        <v>http://vk.com/id248442742</v>
      </c>
      <c r="K1213">
        <v>177</v>
      </c>
      <c r="L1213" t="s">
        <v>151</v>
      </c>
      <c r="N1213" t="s">
        <v>122</v>
      </c>
      <c r="O1213" t="s">
        <v>4648</v>
      </c>
      <c r="P1213" t="str">
        <f>HYPERLINK("http://vk.com/club140365666")</f>
        <v>http://vk.com/club140365666</v>
      </c>
      <c r="Q1213">
        <v>31356</v>
      </c>
      <c r="R1213" t="s">
        <v>124</v>
      </c>
      <c r="S1213" t="s">
        <v>125</v>
      </c>
      <c r="T1213" t="s">
        <v>1229</v>
      </c>
      <c r="U1213" t="s">
        <v>4649</v>
      </c>
      <c r="AM1213" t="s">
        <v>129</v>
      </c>
      <c r="AN1213" t="s">
        <v>130</v>
      </c>
      <c r="AP1213" t="s">
        <v>41</v>
      </c>
      <c r="AZ1213" t="s">
        <v>51</v>
      </c>
      <c r="BA1213" t="s">
        <v>52</v>
      </c>
      <c r="BM1213" t="s">
        <v>64</v>
      </c>
    </row>
    <row r="1214" spans="1:90" x14ac:dyDescent="0.2">
      <c r="A1214" t="s">
        <v>4536</v>
      </c>
      <c r="B1214" t="s">
        <v>1949</v>
      </c>
      <c r="C1214" t="s">
        <v>4650</v>
      </c>
      <c r="D1214" t="s">
        <v>2550</v>
      </c>
      <c r="E1214" t="s">
        <v>4651</v>
      </c>
      <c r="F1214" t="s">
        <v>180</v>
      </c>
      <c r="G1214" t="str">
        <f>HYPERLINK("https://telesputnik.ru/forum/viewtopic.php?f=39&amp;t=57858&amp;start=1000#p2482168")</f>
        <v>https://telesputnik.ru/forum/viewtopic.php?f=39&amp;t=57858&amp;start=1000#p2482168</v>
      </c>
      <c r="H1214" t="s">
        <v>119</v>
      </c>
      <c r="I1214" t="s">
        <v>4652</v>
      </c>
      <c r="J1214" t="str">
        <f>HYPERLINK("https://telesputnik.ru/forum/memberlist.php?mode=viewprofile&amp;u=232979")</f>
        <v>https://telesputnik.ru/forum/memberlist.php?mode=viewprofile&amp;u=232979</v>
      </c>
      <c r="N1214" t="s">
        <v>335</v>
      </c>
      <c r="O1214" t="s">
        <v>2553</v>
      </c>
      <c r="P1214" t="str">
        <f>HYPERLINK("https://telesputnik.ru/forum/viewforum.php?f=39")</f>
        <v>https://telesputnik.ru/forum/viewforum.php?f=39</v>
      </c>
      <c r="R1214" t="s">
        <v>295</v>
      </c>
      <c r="S1214" t="s">
        <v>125</v>
      </c>
      <c r="AM1214" t="s">
        <v>129</v>
      </c>
      <c r="AN1214" t="s">
        <v>130</v>
      </c>
      <c r="AP1214" t="s">
        <v>41</v>
      </c>
      <c r="AU1214" t="s">
        <v>46</v>
      </c>
      <c r="AZ1214" t="s">
        <v>51</v>
      </c>
      <c r="BA1214" t="s">
        <v>52</v>
      </c>
    </row>
    <row r="1215" spans="1:90" x14ac:dyDescent="0.2">
      <c r="A1215" t="s">
        <v>4536</v>
      </c>
      <c r="B1215" t="s">
        <v>4653</v>
      </c>
      <c r="C1215" t="s">
        <v>4654</v>
      </c>
      <c r="D1215" t="s">
        <v>4655</v>
      </c>
      <c r="E1215" t="s">
        <v>4656</v>
      </c>
      <c r="F1215" t="s">
        <v>180</v>
      </c>
      <c r="G1215" t="str">
        <f>HYPERLINK("https://www.wildberries.ru/catalog/18900411/detail.aspx?targetUrl=ES#Comments")</f>
        <v>https://www.wildberries.ru/catalog/18900411/detail.aspx?targetUrl=ES#Comments</v>
      </c>
      <c r="H1215" t="s">
        <v>181</v>
      </c>
      <c r="I1215" t="s">
        <v>924</v>
      </c>
      <c r="J1215" t="str">
        <f>HYPERLINK("https://www.wildberries.ru/profile/w7TDssOkw7PCu8K1wrLCsMKxwrLCsMKywrc=")</f>
        <v>https://www.wildberries.ru/profile/w7TDssOkw7PCu8K1wrLCsMKxwrLCsMKywrc=</v>
      </c>
      <c r="L1215" t="s">
        <v>121</v>
      </c>
      <c r="N1215" t="s">
        <v>534</v>
      </c>
      <c r="O1215" t="s">
        <v>4655</v>
      </c>
      <c r="P1215" t="str">
        <f>HYPERLINK("https://www.wildberries.ru/catalog/14038018/detail.aspx")</f>
        <v>https://www.wildberries.ru/catalog/14038018/detail.aspx</v>
      </c>
      <c r="R1215" t="s">
        <v>184</v>
      </c>
      <c r="S1215" t="s">
        <v>125</v>
      </c>
      <c r="W1215">
        <v>1</v>
      </c>
      <c r="X1215">
        <v>1</v>
      </c>
      <c r="AH1215">
        <v>5</v>
      </c>
      <c r="AJ1215" t="s">
        <v>4657</v>
      </c>
      <c r="AK1215" t="s">
        <v>4658</v>
      </c>
      <c r="AL1215" t="str">
        <f>HYPERLINK("http://feedbackphotos.wbstatic.net/feedbacks/1403/14038018/f234f3a1-7551-4c9c-bc2b-b27abf6cff91_fs.jpg")</f>
        <v>http://feedbackphotos.wbstatic.net/feedbacks/1403/14038018/f234f3a1-7551-4c9c-bc2b-b27abf6cff91_fs.jpg</v>
      </c>
      <c r="AM1215" t="s">
        <v>129</v>
      </c>
      <c r="AN1215" t="s">
        <v>130</v>
      </c>
      <c r="AP1215" t="s">
        <v>41</v>
      </c>
      <c r="AT1215" t="s">
        <v>45</v>
      </c>
      <c r="AZ1215" t="s">
        <v>51</v>
      </c>
      <c r="BA1215" t="s">
        <v>52</v>
      </c>
    </row>
    <row r="1216" spans="1:90" x14ac:dyDescent="0.2">
      <c r="A1216" t="s">
        <v>4536</v>
      </c>
      <c r="B1216" t="s">
        <v>883</v>
      </c>
      <c r="C1216" t="s">
        <v>4659</v>
      </c>
      <c r="D1216" t="s">
        <v>4660</v>
      </c>
      <c r="E1216" t="s">
        <v>4661</v>
      </c>
      <c r="F1216" t="s">
        <v>118</v>
      </c>
      <c r="G1216" t="str">
        <f>HYPERLINK("https://www.youtube.com/watch?v=41Uy6Dsyzjg&amp;lc=UgxCZ1ecLCRcRIIl60x4AaABAg")</f>
        <v>https://www.youtube.com/watch?v=41Uy6Dsyzjg&amp;lc=UgxCZ1ecLCRcRIIl60x4AaABAg</v>
      </c>
      <c r="H1216" t="s">
        <v>119</v>
      </c>
      <c r="I1216" t="s">
        <v>4662</v>
      </c>
      <c r="J1216" t="str">
        <f>HYPERLINK("https://www.youtube.com/channel/UCj3ztFQ3qqN30HLKfzWy4-w")</f>
        <v>https://www.youtube.com/channel/UCj3ztFQ3qqN30HLKfzWy4-w</v>
      </c>
      <c r="K1216">
        <v>3</v>
      </c>
      <c r="L1216" t="s">
        <v>151</v>
      </c>
      <c r="N1216" t="s">
        <v>248</v>
      </c>
      <c r="O1216" t="s">
        <v>4663</v>
      </c>
      <c r="P1216" t="str">
        <f>HYPERLINK("https://www.youtube.com/channel/UCBu3eTzufhcBLMhlJAmqDyg")</f>
        <v>https://www.youtube.com/channel/UCBu3eTzufhcBLMhlJAmqDyg</v>
      </c>
      <c r="Q1216">
        <v>2290000</v>
      </c>
      <c r="R1216" t="s">
        <v>124</v>
      </c>
      <c r="W1216">
        <v>1</v>
      </c>
      <c r="X1216">
        <v>1</v>
      </c>
      <c r="AE1216">
        <v>0</v>
      </c>
      <c r="AM1216" t="s">
        <v>129</v>
      </c>
      <c r="AN1216" t="s">
        <v>130</v>
      </c>
      <c r="AP1216" t="s">
        <v>41</v>
      </c>
      <c r="AT1216" t="s">
        <v>45</v>
      </c>
      <c r="AU1216" t="s">
        <v>46</v>
      </c>
      <c r="AZ1216" t="s">
        <v>51</v>
      </c>
      <c r="BA1216" t="s">
        <v>52</v>
      </c>
    </row>
    <row r="1217" spans="1:69" x14ac:dyDescent="0.2">
      <c r="A1217" t="s">
        <v>4536</v>
      </c>
      <c r="B1217" t="s">
        <v>3710</v>
      </c>
      <c r="C1217" t="s">
        <v>4664</v>
      </c>
      <c r="D1217" t="s">
        <v>129</v>
      </c>
      <c r="E1217" t="s">
        <v>4665</v>
      </c>
      <c r="F1217" t="s">
        <v>180</v>
      </c>
      <c r="G1217" t="str">
        <f>HYPERLINK("https://telegram.me/1420046810/247879")</f>
        <v>https://telegram.me/1420046810/247879</v>
      </c>
      <c r="H1217" t="s">
        <v>119</v>
      </c>
      <c r="I1217" t="s">
        <v>4666</v>
      </c>
      <c r="J1217" t="str">
        <f>HYPERLINK("https://telegram.me/ilyakaptyug")</f>
        <v>https://telegram.me/ilyakaptyug</v>
      </c>
      <c r="L1217" t="s">
        <v>121</v>
      </c>
      <c r="N1217" t="s">
        <v>143</v>
      </c>
      <c r="O1217" t="s">
        <v>4667</v>
      </c>
      <c r="P1217" t="str">
        <f>HYPERLINK("https://telegram.me/1420046810")</f>
        <v>https://telegram.me/1420046810</v>
      </c>
      <c r="Q1217">
        <v>280</v>
      </c>
      <c r="R1217" t="s">
        <v>145</v>
      </c>
      <c r="AM1217" t="s">
        <v>129</v>
      </c>
      <c r="AN1217" t="s">
        <v>130</v>
      </c>
      <c r="AP1217" t="s">
        <v>41</v>
      </c>
      <c r="AU1217" t="s">
        <v>46</v>
      </c>
      <c r="AZ1217" t="s">
        <v>51</v>
      </c>
      <c r="BA1217" t="s">
        <v>52</v>
      </c>
    </row>
    <row r="1218" spans="1:69" x14ac:dyDescent="0.2">
      <c r="A1218" t="s">
        <v>4536</v>
      </c>
      <c r="B1218" t="s">
        <v>296</v>
      </c>
      <c r="C1218" t="s">
        <v>4668</v>
      </c>
      <c r="D1218" t="s">
        <v>2001</v>
      </c>
      <c r="E1218" t="s">
        <v>4669</v>
      </c>
      <c r="F1218" t="s">
        <v>118</v>
      </c>
      <c r="G1218" t="str">
        <f>HYPERLINK("https://vk.com/wall-27863223_291925?reply=292050&amp;thread=292048")</f>
        <v>https://vk.com/wall-27863223_291925?reply=292050&amp;thread=292048</v>
      </c>
      <c r="H1218" t="s">
        <v>119</v>
      </c>
      <c r="I1218" t="s">
        <v>4670</v>
      </c>
      <c r="J1218" t="str">
        <f>HYPERLINK("http://vk.com/id109553233")</f>
        <v>http://vk.com/id109553233</v>
      </c>
      <c r="K1218">
        <v>146</v>
      </c>
      <c r="L1218" t="s">
        <v>121</v>
      </c>
      <c r="N1218" t="s">
        <v>122</v>
      </c>
      <c r="O1218" t="s">
        <v>175</v>
      </c>
      <c r="P1218" t="str">
        <f>HYPERLINK("http://vk.com/club27863223")</f>
        <v>http://vk.com/club27863223</v>
      </c>
      <c r="Q1218">
        <v>134698</v>
      </c>
      <c r="R1218" t="s">
        <v>124</v>
      </c>
      <c r="S1218" t="s">
        <v>125</v>
      </c>
      <c r="T1218" t="s">
        <v>1229</v>
      </c>
      <c r="U1218" t="s">
        <v>4671</v>
      </c>
      <c r="AM1218" t="s">
        <v>129</v>
      </c>
      <c r="AN1218" t="s">
        <v>130</v>
      </c>
      <c r="AP1218" t="s">
        <v>41</v>
      </c>
      <c r="AU1218" t="s">
        <v>46</v>
      </c>
      <c r="AZ1218" t="s">
        <v>51</v>
      </c>
      <c r="BA1218" t="s">
        <v>52</v>
      </c>
    </row>
    <row r="1219" spans="1:69" x14ac:dyDescent="0.2">
      <c r="A1219" t="s">
        <v>4536</v>
      </c>
      <c r="B1219" t="s">
        <v>3390</v>
      </c>
      <c r="C1219" t="s">
        <v>4668</v>
      </c>
      <c r="D1219" t="s">
        <v>129</v>
      </c>
      <c r="E1219" t="s">
        <v>4672</v>
      </c>
      <c r="F1219" t="s">
        <v>180</v>
      </c>
      <c r="G1219" t="str">
        <f>HYPERLINK("https://vk.com/wall-140365666_97933")</f>
        <v>https://vk.com/wall-140365666_97933</v>
      </c>
      <c r="H1219" t="s">
        <v>119</v>
      </c>
      <c r="I1219" t="s">
        <v>4648</v>
      </c>
      <c r="J1219" t="str">
        <f>HYPERLINK("http://vk.com/club140365666")</f>
        <v>http://vk.com/club140365666</v>
      </c>
      <c r="K1219">
        <v>31356</v>
      </c>
      <c r="L1219" t="s">
        <v>340</v>
      </c>
      <c r="N1219" t="s">
        <v>122</v>
      </c>
      <c r="O1219" t="s">
        <v>4648</v>
      </c>
      <c r="P1219" t="str">
        <f>HYPERLINK("http://vk.com/club140365666")</f>
        <v>http://vk.com/club140365666</v>
      </c>
      <c r="Q1219">
        <v>31356</v>
      </c>
      <c r="R1219" t="s">
        <v>124</v>
      </c>
      <c r="W1219">
        <v>0</v>
      </c>
      <c r="X1219">
        <v>0</v>
      </c>
      <c r="AE1219">
        <v>3</v>
      </c>
      <c r="AF1219">
        <v>0</v>
      </c>
      <c r="AG1219">
        <v>1223</v>
      </c>
      <c r="AM1219" t="s">
        <v>129</v>
      </c>
      <c r="AN1219" t="s">
        <v>130</v>
      </c>
      <c r="AP1219" t="s">
        <v>41</v>
      </c>
      <c r="AW1219" t="s">
        <v>48</v>
      </c>
      <c r="AZ1219" t="s">
        <v>51</v>
      </c>
      <c r="BA1219" t="s">
        <v>52</v>
      </c>
      <c r="BM1219" t="s">
        <v>64</v>
      </c>
    </row>
    <row r="1220" spans="1:69" x14ac:dyDescent="0.2">
      <c r="A1220" t="s">
        <v>4536</v>
      </c>
      <c r="B1220" t="s">
        <v>300</v>
      </c>
      <c r="C1220" t="s">
        <v>4673</v>
      </c>
      <c r="D1220" t="s">
        <v>2001</v>
      </c>
      <c r="E1220" t="s">
        <v>4674</v>
      </c>
      <c r="F1220" t="s">
        <v>118</v>
      </c>
      <c r="G1220" t="str">
        <f>HYPERLINK("https://vk.com/wall-27863223_291925?reply=292048")</f>
        <v>https://vk.com/wall-27863223_291925?reply=292048</v>
      </c>
      <c r="H1220" t="s">
        <v>119</v>
      </c>
      <c r="I1220" t="s">
        <v>4670</v>
      </c>
      <c r="J1220" t="str">
        <f>HYPERLINK("http://vk.com/id109553233")</f>
        <v>http://vk.com/id109553233</v>
      </c>
      <c r="K1220">
        <v>146</v>
      </c>
      <c r="L1220" t="s">
        <v>121</v>
      </c>
      <c r="N1220" t="s">
        <v>122</v>
      </c>
      <c r="O1220" t="s">
        <v>175</v>
      </c>
      <c r="P1220" t="str">
        <f>HYPERLINK("http://vk.com/club27863223")</f>
        <v>http://vk.com/club27863223</v>
      </c>
      <c r="Q1220">
        <v>134698</v>
      </c>
      <c r="R1220" t="s">
        <v>124</v>
      </c>
      <c r="S1220" t="s">
        <v>125</v>
      </c>
      <c r="T1220" t="s">
        <v>1229</v>
      </c>
      <c r="U1220" t="s">
        <v>4671</v>
      </c>
      <c r="W1220">
        <v>0</v>
      </c>
      <c r="X1220">
        <v>0</v>
      </c>
      <c r="AM1220" t="s">
        <v>129</v>
      </c>
      <c r="AN1220" t="s">
        <v>130</v>
      </c>
      <c r="AP1220" t="s">
        <v>41</v>
      </c>
      <c r="AU1220" t="s">
        <v>46</v>
      </c>
      <c r="AZ1220" t="s">
        <v>51</v>
      </c>
      <c r="BA1220" t="s">
        <v>52</v>
      </c>
    </row>
    <row r="1221" spans="1:69" x14ac:dyDescent="0.2">
      <c r="A1221" t="s">
        <v>4536</v>
      </c>
      <c r="B1221" t="s">
        <v>1984</v>
      </c>
      <c r="C1221" t="s">
        <v>4675</v>
      </c>
      <c r="D1221" t="s">
        <v>4676</v>
      </c>
      <c r="E1221" t="s">
        <v>4677</v>
      </c>
      <c r="F1221" t="s">
        <v>118</v>
      </c>
      <c r="G1221" t="str">
        <f>HYPERLINK("https://vk.com/wall-19342584_2928626?reply=2928892&amp;thread=2928643")</f>
        <v>https://vk.com/wall-19342584_2928626?reply=2928892&amp;thread=2928643</v>
      </c>
      <c r="H1221" t="s">
        <v>119</v>
      </c>
      <c r="I1221" t="s">
        <v>4678</v>
      </c>
      <c r="J1221" t="str">
        <f>HYPERLINK("http://vk.com/id431053735")</f>
        <v>http://vk.com/id431053735</v>
      </c>
      <c r="K1221">
        <v>3</v>
      </c>
      <c r="L1221" t="s">
        <v>121</v>
      </c>
      <c r="M1221">
        <v>58</v>
      </c>
      <c r="N1221" t="s">
        <v>122</v>
      </c>
      <c r="O1221" t="s">
        <v>4679</v>
      </c>
      <c r="P1221" t="str">
        <f>HYPERLINK("http://vk.com/club19342584")</f>
        <v>http://vk.com/club19342584</v>
      </c>
      <c r="Q1221">
        <v>655413</v>
      </c>
      <c r="R1221" t="s">
        <v>124</v>
      </c>
      <c r="S1221" t="s">
        <v>125</v>
      </c>
      <c r="T1221" t="s">
        <v>169</v>
      </c>
      <c r="U1221" t="s">
        <v>169</v>
      </c>
      <c r="AM1221" t="s">
        <v>129</v>
      </c>
      <c r="AN1221" t="s">
        <v>130</v>
      </c>
      <c r="AP1221" t="s">
        <v>41</v>
      </c>
      <c r="AU1221" t="s">
        <v>46</v>
      </c>
      <c r="AZ1221" t="s">
        <v>51</v>
      </c>
      <c r="BA1221" t="s">
        <v>52</v>
      </c>
    </row>
    <row r="1222" spans="1:69" x14ac:dyDescent="0.2">
      <c r="A1222" t="s">
        <v>4536</v>
      </c>
      <c r="B1222" t="s">
        <v>2993</v>
      </c>
      <c r="C1222" t="s">
        <v>3821</v>
      </c>
      <c r="D1222" t="s">
        <v>4680</v>
      </c>
      <c r="E1222" t="s">
        <v>4681</v>
      </c>
      <c r="F1222" t="s">
        <v>118</v>
      </c>
      <c r="G1222" t="str">
        <f>HYPERLINK("https://www.facebook.com/story.php?story_fbid=4110511629069941&amp;id=100003334329089&amp;comment_id=4110866422367795&amp;reply_comment_id=4110875869033517")</f>
        <v>https://www.facebook.com/story.php?story_fbid=4110511629069941&amp;id=100003334329089&amp;comment_id=4110866422367795&amp;reply_comment_id=4110875869033517</v>
      </c>
      <c r="H1222" t="s">
        <v>119</v>
      </c>
      <c r="I1222" t="s">
        <v>304</v>
      </c>
      <c r="J1222" t="str">
        <f>HYPERLINK("https://www.facebook.com/100011109633393")</f>
        <v>https://www.facebook.com/100011109633393</v>
      </c>
      <c r="K1222">
        <v>130</v>
      </c>
      <c r="L1222" t="s">
        <v>151</v>
      </c>
      <c r="N1222" t="s">
        <v>305</v>
      </c>
      <c r="O1222" t="s">
        <v>4682</v>
      </c>
      <c r="P1222" t="str">
        <f>HYPERLINK("https://www.facebook.com/100003334329089")</f>
        <v>https://www.facebook.com/100003334329089</v>
      </c>
      <c r="Q1222">
        <v>0</v>
      </c>
      <c r="R1222" t="s">
        <v>124</v>
      </c>
      <c r="S1222" t="s">
        <v>125</v>
      </c>
      <c r="T1222" t="s">
        <v>169</v>
      </c>
      <c r="U1222" t="s">
        <v>169</v>
      </c>
      <c r="W1222">
        <v>0</v>
      </c>
      <c r="X1222">
        <v>0</v>
      </c>
      <c r="AE1222">
        <v>0</v>
      </c>
      <c r="AM1222" t="s">
        <v>129</v>
      </c>
      <c r="AN1222" t="s">
        <v>130</v>
      </c>
      <c r="AP1222" t="s">
        <v>41</v>
      </c>
      <c r="AU1222" t="s">
        <v>46</v>
      </c>
      <c r="AZ1222" t="s">
        <v>51</v>
      </c>
      <c r="BA1222" t="s">
        <v>52</v>
      </c>
    </row>
    <row r="1223" spans="1:69" x14ac:dyDescent="0.2">
      <c r="A1223" t="s">
        <v>4536</v>
      </c>
      <c r="B1223" t="s">
        <v>330</v>
      </c>
      <c r="C1223" t="s">
        <v>4683</v>
      </c>
      <c r="D1223" t="s">
        <v>4684</v>
      </c>
      <c r="E1223" t="s">
        <v>4685</v>
      </c>
      <c r="F1223" t="s">
        <v>118</v>
      </c>
      <c r="G1223" t="str">
        <f>HYPERLINK("https://ok.ru/group/52172741083275/topic/153833426832267#MTYyNjk2NzE2MDU0NTotOTE4OToxNjI2OTY3MTYwNTQ1OjE1MzgzMzQyNjgzMjI2Nzox")</f>
        <v>https://ok.ru/group/52172741083275/topic/153833426832267#MTYyNjk2NzE2MDU0NTotOTE4OToxNjI2OTY3MTYwNTQ1OjE1MzgzMzQyNjgzMjI2Nzox</v>
      </c>
      <c r="H1223" t="s">
        <v>119</v>
      </c>
      <c r="I1223" t="s">
        <v>4686</v>
      </c>
      <c r="J1223" t="str">
        <f>HYPERLINK("https://ok.ru/profile/558655488182")</f>
        <v>https://ok.ru/profile/558655488182</v>
      </c>
      <c r="K1223">
        <v>234</v>
      </c>
      <c r="L1223" t="s">
        <v>151</v>
      </c>
      <c r="M1223">
        <v>57</v>
      </c>
      <c r="N1223" t="s">
        <v>347</v>
      </c>
      <c r="O1223" t="s">
        <v>4687</v>
      </c>
      <c r="P1223" t="str">
        <f>HYPERLINK("https://ok.ru/group/52172741083275")</f>
        <v>https://ok.ru/group/52172741083275</v>
      </c>
      <c r="Q1223">
        <v>27667</v>
      </c>
      <c r="R1223" t="s">
        <v>124</v>
      </c>
      <c r="S1223" t="s">
        <v>125</v>
      </c>
      <c r="T1223" t="s">
        <v>2566</v>
      </c>
      <c r="U1223" t="s">
        <v>4688</v>
      </c>
      <c r="W1223">
        <v>0</v>
      </c>
      <c r="X1223">
        <v>0</v>
      </c>
      <c r="AM1223" t="s">
        <v>129</v>
      </c>
      <c r="AN1223" t="s">
        <v>130</v>
      </c>
      <c r="AP1223" t="s">
        <v>41</v>
      </c>
      <c r="AZ1223" t="s">
        <v>51</v>
      </c>
      <c r="BA1223" t="s">
        <v>52</v>
      </c>
      <c r="BM1223" t="s">
        <v>64</v>
      </c>
    </row>
    <row r="1224" spans="1:69" x14ac:dyDescent="0.2">
      <c r="A1224" t="s">
        <v>4536</v>
      </c>
      <c r="B1224" t="s">
        <v>4243</v>
      </c>
      <c r="C1224" t="s">
        <v>4689</v>
      </c>
      <c r="D1224" t="s">
        <v>175</v>
      </c>
      <c r="E1224" t="s">
        <v>4690</v>
      </c>
      <c r="F1224" t="s">
        <v>180</v>
      </c>
      <c r="G1224" t="str">
        <f>HYPERLINK("https://yandex.ru/maps/org/26593146833#caEI2zm_FhdHjkQL4rmaTYVYKHcyGX")</f>
        <v>https://yandex.ru/maps/org/26593146833#caEI2zm_FhdHjkQL4rmaTYVYKHcyGX</v>
      </c>
      <c r="H1224" t="s">
        <v>181</v>
      </c>
      <c r="I1224" t="s">
        <v>924</v>
      </c>
      <c r="J1224" t="str">
        <f>HYPERLINK("https://yandex.ru/maps/org/26593146833#caEI2zm_FhdHjkQL4rmaTYVYKHcyGX")</f>
        <v>https://yandex.ru/maps/org/26593146833#caEI2zm_FhdHjkQL4rmaTYVYKHcyGX</v>
      </c>
      <c r="L1224" t="s">
        <v>121</v>
      </c>
      <c r="N1224" t="s">
        <v>236</v>
      </c>
      <c r="O1224" t="s">
        <v>175</v>
      </c>
      <c r="P1224" t="str">
        <f>HYPERLINK("https://yandex.ru/maps/org/26593146833")</f>
        <v>https://yandex.ru/maps/org/26593146833</v>
      </c>
      <c r="R1224" t="s">
        <v>184</v>
      </c>
      <c r="S1224" t="s">
        <v>125</v>
      </c>
      <c r="T1224" t="s">
        <v>137</v>
      </c>
      <c r="U1224" t="s">
        <v>137</v>
      </c>
      <c r="W1224">
        <v>0</v>
      </c>
      <c r="X1224">
        <v>0</v>
      </c>
      <c r="AH1224">
        <v>5</v>
      </c>
      <c r="AM1224" t="s">
        <v>129</v>
      </c>
      <c r="AN1224" t="s">
        <v>130</v>
      </c>
      <c r="AP1224" t="s">
        <v>41</v>
      </c>
      <c r="AZ1224" t="s">
        <v>51</v>
      </c>
      <c r="BA1224" t="s">
        <v>52</v>
      </c>
      <c r="BL1224" t="s">
        <v>63</v>
      </c>
      <c r="BM1224" t="s">
        <v>64</v>
      </c>
    </row>
    <row r="1225" spans="1:69" x14ac:dyDescent="0.2">
      <c r="A1225" t="s">
        <v>4536</v>
      </c>
      <c r="B1225" t="s">
        <v>4243</v>
      </c>
      <c r="C1225" t="s">
        <v>4691</v>
      </c>
      <c r="D1225" t="s">
        <v>1328</v>
      </c>
      <c r="E1225" t="s">
        <v>4692</v>
      </c>
      <c r="F1225" t="s">
        <v>180</v>
      </c>
      <c r="G1225" t="str">
        <f>HYPERLINK("https://www.ozon.ru/context/detail/id/223365373/#61310317")</f>
        <v>https://www.ozon.ru/context/detail/id/223365373/#61310317</v>
      </c>
      <c r="H1225" t="s">
        <v>181</v>
      </c>
      <c r="I1225" t="s">
        <v>4693</v>
      </c>
      <c r="J1225" t="str">
        <f>HYPERLINK("https://www.ozon.ru/context/client_opinion/ClientGuid/4bf3a359-7faf-48b8-bcb9-9d8f8c7d8eef/")</f>
        <v>https://www.ozon.ru/context/client_opinion/ClientGuid/4bf3a359-7faf-48b8-bcb9-9d8f8c7d8eef/</v>
      </c>
      <c r="L1225" t="s">
        <v>121</v>
      </c>
      <c r="N1225" t="s">
        <v>183</v>
      </c>
      <c r="O1225" t="s">
        <v>1328</v>
      </c>
      <c r="P1225" t="str">
        <f>HYPERLINK("https://www.ozon.ru/context/detail/id/223365373/")</f>
        <v>https://www.ozon.ru/context/detail/id/223365373/</v>
      </c>
      <c r="R1225" t="s">
        <v>184</v>
      </c>
      <c r="S1225" t="s">
        <v>125</v>
      </c>
      <c r="W1225">
        <v>0</v>
      </c>
      <c r="X1225">
        <v>0</v>
      </c>
      <c r="AH1225">
        <v>5</v>
      </c>
      <c r="AJ1225" t="s">
        <v>4694</v>
      </c>
      <c r="AK1225" t="s">
        <v>129</v>
      </c>
      <c r="AL1225" t="str">
        <f>HYPERLINK("https://cdn1.ozone.ru/s3/rp-photo-5/d54b76eb-df69-411d-9abe-01dee2268fa9.jpeg")</f>
        <v>https://cdn1.ozone.ru/s3/rp-photo-5/d54b76eb-df69-411d-9abe-01dee2268fa9.jpeg</v>
      </c>
      <c r="AM1225" t="s">
        <v>129</v>
      </c>
      <c r="AN1225" t="s">
        <v>130</v>
      </c>
      <c r="AP1225" t="s">
        <v>41</v>
      </c>
      <c r="AT1225" t="s">
        <v>45</v>
      </c>
      <c r="AZ1225" t="s">
        <v>51</v>
      </c>
      <c r="BA1225" t="s">
        <v>52</v>
      </c>
    </row>
    <row r="1226" spans="1:69" x14ac:dyDescent="0.2">
      <c r="A1226" t="s">
        <v>4536</v>
      </c>
      <c r="B1226" t="s">
        <v>4695</v>
      </c>
      <c r="C1226" t="s">
        <v>4696</v>
      </c>
      <c r="D1226" t="s">
        <v>4697</v>
      </c>
      <c r="E1226" t="s">
        <v>4698</v>
      </c>
      <c r="F1226" t="s">
        <v>118</v>
      </c>
      <c r="G1226" t="str">
        <f>HYPERLINK("https://vk.com/wall-186674927_12274?reply=12349&amp;thread=12286")</f>
        <v>https://vk.com/wall-186674927_12274?reply=12349&amp;thread=12286</v>
      </c>
      <c r="H1226" t="s">
        <v>119</v>
      </c>
      <c r="I1226" t="s">
        <v>4699</v>
      </c>
      <c r="J1226" t="str">
        <f>HYPERLINK("http://vk.com/id282258755")</f>
        <v>http://vk.com/id282258755</v>
      </c>
      <c r="K1226">
        <v>953</v>
      </c>
      <c r="L1226" t="s">
        <v>121</v>
      </c>
      <c r="M1226">
        <v>20</v>
      </c>
      <c r="N1226" t="s">
        <v>122</v>
      </c>
      <c r="O1226" t="s">
        <v>358</v>
      </c>
      <c r="P1226" t="str">
        <f>HYPERLINK("http://vk.com/club186674927")</f>
        <v>http://vk.com/club186674927</v>
      </c>
      <c r="Q1226">
        <v>706</v>
      </c>
      <c r="R1226" t="s">
        <v>124</v>
      </c>
      <c r="S1226" t="s">
        <v>125</v>
      </c>
      <c r="T1226" t="s">
        <v>487</v>
      </c>
      <c r="U1226" t="s">
        <v>488</v>
      </c>
      <c r="AM1226" t="s">
        <v>129</v>
      </c>
      <c r="AN1226" t="s">
        <v>130</v>
      </c>
      <c r="AP1226" t="s">
        <v>41</v>
      </c>
      <c r="AU1226" t="s">
        <v>46</v>
      </c>
      <c r="AY1226" t="s">
        <v>50</v>
      </c>
      <c r="AZ1226" t="s">
        <v>51</v>
      </c>
      <c r="BA1226" t="s">
        <v>52</v>
      </c>
    </row>
    <row r="1227" spans="1:69" x14ac:dyDescent="0.2">
      <c r="A1227" t="s">
        <v>4536</v>
      </c>
      <c r="B1227" t="s">
        <v>1446</v>
      </c>
      <c r="C1227" t="s">
        <v>4650</v>
      </c>
      <c r="D1227" t="s">
        <v>2550</v>
      </c>
      <c r="E1227" t="s">
        <v>4700</v>
      </c>
      <c r="F1227" t="s">
        <v>180</v>
      </c>
      <c r="G1227" t="str">
        <f>HYPERLINK("https://telesputnik.ru/forum/viewtopic.php?f=39&amp;t=57858&amp;start=1000#p2482158")</f>
        <v>https://telesputnik.ru/forum/viewtopic.php?f=39&amp;t=57858&amp;start=1000#p2482158</v>
      </c>
      <c r="H1227" t="s">
        <v>119</v>
      </c>
      <c r="I1227" t="s">
        <v>4701</v>
      </c>
      <c r="J1227" t="str">
        <f>HYPERLINK("https://telesputnik.ru/forum/memberlist.php?mode=viewprofile&amp;u=37648")</f>
        <v>https://telesputnik.ru/forum/memberlist.php?mode=viewprofile&amp;u=37648</v>
      </c>
      <c r="N1227" t="s">
        <v>335</v>
      </c>
      <c r="O1227" t="s">
        <v>2553</v>
      </c>
      <c r="P1227" t="str">
        <f>HYPERLINK("https://telesputnik.ru/forum/viewforum.php?f=39")</f>
        <v>https://telesputnik.ru/forum/viewforum.php?f=39</v>
      </c>
      <c r="R1227" t="s">
        <v>295</v>
      </c>
      <c r="S1227" t="s">
        <v>125</v>
      </c>
      <c r="AM1227" t="s">
        <v>129</v>
      </c>
      <c r="AN1227" t="s">
        <v>130</v>
      </c>
      <c r="AP1227" t="s">
        <v>41</v>
      </c>
      <c r="AU1227" t="s">
        <v>46</v>
      </c>
      <c r="AZ1227" t="s">
        <v>51</v>
      </c>
      <c r="BA1227" t="s">
        <v>52</v>
      </c>
    </row>
    <row r="1228" spans="1:69" x14ac:dyDescent="0.2">
      <c r="A1228" t="s">
        <v>4536</v>
      </c>
      <c r="B1228" t="s">
        <v>4702</v>
      </c>
      <c r="C1228" t="s">
        <v>4703</v>
      </c>
      <c r="D1228" t="s">
        <v>4697</v>
      </c>
      <c r="E1228" t="s">
        <v>4704</v>
      </c>
      <c r="F1228" t="s">
        <v>118</v>
      </c>
      <c r="G1228" t="str">
        <f>HYPERLINK("https://vk.com/wall-22935147_368574?reply=368605&amp;thread=368576")</f>
        <v>https://vk.com/wall-22935147_368574?reply=368605&amp;thread=368576</v>
      </c>
      <c r="H1228" t="s">
        <v>119</v>
      </c>
      <c r="I1228" t="s">
        <v>4699</v>
      </c>
      <c r="J1228" t="str">
        <f>HYPERLINK("http://vk.com/id282258755")</f>
        <v>http://vk.com/id282258755</v>
      </c>
      <c r="K1228">
        <v>953</v>
      </c>
      <c r="L1228" t="s">
        <v>121</v>
      </c>
      <c r="M1228">
        <v>20</v>
      </c>
      <c r="N1228" t="s">
        <v>122</v>
      </c>
      <c r="O1228" t="s">
        <v>1093</v>
      </c>
      <c r="P1228" t="str">
        <f>HYPERLINK("http://vk.com/club22935147")</f>
        <v>http://vk.com/club22935147</v>
      </c>
      <c r="Q1228">
        <v>8943</v>
      </c>
      <c r="R1228" t="s">
        <v>124</v>
      </c>
      <c r="S1228" t="s">
        <v>125</v>
      </c>
      <c r="T1228" t="s">
        <v>487</v>
      </c>
      <c r="U1228" t="s">
        <v>488</v>
      </c>
      <c r="AM1228" t="s">
        <v>129</v>
      </c>
      <c r="AN1228" t="s">
        <v>130</v>
      </c>
      <c r="AP1228" t="s">
        <v>41</v>
      </c>
      <c r="AU1228" t="s">
        <v>46</v>
      </c>
      <c r="AZ1228" t="s">
        <v>51</v>
      </c>
      <c r="BA1228" t="s">
        <v>52</v>
      </c>
    </row>
    <row r="1229" spans="1:69" x14ac:dyDescent="0.2">
      <c r="A1229" t="s">
        <v>4536</v>
      </c>
      <c r="B1229" t="s">
        <v>351</v>
      </c>
      <c r="C1229" t="s">
        <v>4639</v>
      </c>
      <c r="D1229" t="s">
        <v>4094</v>
      </c>
      <c r="E1229" t="s">
        <v>4705</v>
      </c>
      <c r="F1229" t="s">
        <v>118</v>
      </c>
      <c r="G1229" t="str">
        <f>HYPERLINK("https://www.youtube.com/watch?v=XCtxDrX5LP0&amp;lc=UgwUFHUfiBwIjsZDOIZ4AaABAg")</f>
        <v>https://www.youtube.com/watch?v=XCtxDrX5LP0&amp;lc=UgwUFHUfiBwIjsZDOIZ4AaABAg</v>
      </c>
      <c r="H1229" t="s">
        <v>119</v>
      </c>
      <c r="I1229" t="s">
        <v>2198</v>
      </c>
      <c r="J1229" t="str">
        <f>HYPERLINK("https://www.youtube.com/channel/UCfVJCHnjGGjiZ6IqOp4YeaQ")</f>
        <v>https://www.youtube.com/channel/UCfVJCHnjGGjiZ6IqOp4YeaQ</v>
      </c>
      <c r="K1229">
        <v>35</v>
      </c>
      <c r="L1229" t="s">
        <v>151</v>
      </c>
      <c r="N1229" t="s">
        <v>248</v>
      </c>
      <c r="O1229" t="s">
        <v>4096</v>
      </c>
      <c r="P1229" t="str">
        <f>HYPERLINK("https://www.youtube.com/channel/UCS_hQzqKW9msSt87cX24c8Q")</f>
        <v>https://www.youtube.com/channel/UCS_hQzqKW9msSt87cX24c8Q</v>
      </c>
      <c r="Q1229">
        <v>15600</v>
      </c>
      <c r="R1229" t="s">
        <v>124</v>
      </c>
      <c r="S1229" t="s">
        <v>125</v>
      </c>
      <c r="W1229">
        <v>0</v>
      </c>
      <c r="X1229">
        <v>0</v>
      </c>
      <c r="AE1229">
        <v>1</v>
      </c>
      <c r="AM1229" t="s">
        <v>129</v>
      </c>
      <c r="AN1229" t="s">
        <v>130</v>
      </c>
      <c r="AP1229" t="s">
        <v>41</v>
      </c>
      <c r="AT1229" t="s">
        <v>45</v>
      </c>
      <c r="AZ1229" t="s">
        <v>51</v>
      </c>
      <c r="BA1229" t="s">
        <v>52</v>
      </c>
    </row>
    <row r="1230" spans="1:69" x14ac:dyDescent="0.2">
      <c r="A1230" t="s">
        <v>4536</v>
      </c>
      <c r="B1230" t="s">
        <v>3002</v>
      </c>
      <c r="C1230" t="s">
        <v>4706</v>
      </c>
      <c r="D1230" t="s">
        <v>129</v>
      </c>
      <c r="E1230" t="s">
        <v>4707</v>
      </c>
      <c r="F1230" t="s">
        <v>180</v>
      </c>
      <c r="G1230" t="str">
        <f>HYPERLINK("https://telegram.me/ololofootball/1251")</f>
        <v>https://telegram.me/ololofootball/1251</v>
      </c>
      <c r="H1230" t="s">
        <v>228</v>
      </c>
      <c r="I1230" t="s">
        <v>4307</v>
      </c>
      <c r="J1230" t="str">
        <f>HYPERLINK("https://telegram.me/ololofootball")</f>
        <v>https://telegram.me/ololofootball</v>
      </c>
      <c r="K1230">
        <v>2085</v>
      </c>
      <c r="L1230" t="s">
        <v>340</v>
      </c>
      <c r="N1230" t="s">
        <v>143</v>
      </c>
      <c r="O1230" t="s">
        <v>4307</v>
      </c>
      <c r="P1230" t="str">
        <f>HYPERLINK("https://telegram.me/ololofootball")</f>
        <v>https://telegram.me/ololofootball</v>
      </c>
      <c r="Q1230">
        <v>2085</v>
      </c>
      <c r="R1230" t="s">
        <v>145</v>
      </c>
      <c r="AG1230">
        <v>1439</v>
      </c>
      <c r="AM1230" t="s">
        <v>129</v>
      </c>
      <c r="AN1230" t="s">
        <v>130</v>
      </c>
      <c r="AP1230" t="s">
        <v>41</v>
      </c>
      <c r="AT1230" t="s">
        <v>45</v>
      </c>
      <c r="AZ1230" t="s">
        <v>51</v>
      </c>
      <c r="BA1230" t="s">
        <v>52</v>
      </c>
      <c r="BQ1230" t="s">
        <v>68</v>
      </c>
    </row>
    <row r="1231" spans="1:69" x14ac:dyDescent="0.2">
      <c r="A1231" t="s">
        <v>4536</v>
      </c>
      <c r="B1231" t="s">
        <v>4708</v>
      </c>
      <c r="C1231" t="s">
        <v>4709</v>
      </c>
      <c r="D1231" t="s">
        <v>4710</v>
      </c>
      <c r="E1231" t="s">
        <v>4711</v>
      </c>
      <c r="F1231" t="s">
        <v>180</v>
      </c>
      <c r="G1231" t="str">
        <f>HYPERLINK("https://www.ozon.ru/context/detail/id/226603194/#61303976")</f>
        <v>https://www.ozon.ru/context/detail/id/226603194/#61303976</v>
      </c>
      <c r="H1231" t="s">
        <v>181</v>
      </c>
      <c r="I1231" t="s">
        <v>924</v>
      </c>
      <c r="J1231" t="str">
        <f>HYPERLINK("https://www.ozon.ru/context/client_opinion/ClientGuid/5e31eae5-fc5d-4fdd-b342-df1a4e45c510/")</f>
        <v>https://www.ozon.ru/context/client_opinion/ClientGuid/5e31eae5-fc5d-4fdd-b342-df1a4e45c510/</v>
      </c>
      <c r="L1231" t="s">
        <v>121</v>
      </c>
      <c r="N1231" t="s">
        <v>183</v>
      </c>
      <c r="O1231" t="s">
        <v>4710</v>
      </c>
      <c r="P1231" t="str">
        <f>HYPERLINK("https://www.ozon.ru/context/detail/id/226603194/")</f>
        <v>https://www.ozon.ru/context/detail/id/226603194/</v>
      </c>
      <c r="R1231" t="s">
        <v>184</v>
      </c>
      <c r="S1231" t="s">
        <v>125</v>
      </c>
      <c r="W1231">
        <v>0</v>
      </c>
      <c r="X1231">
        <v>0</v>
      </c>
      <c r="AH1231">
        <v>5</v>
      </c>
      <c r="AJ1231" t="s">
        <v>4712</v>
      </c>
      <c r="AK1231" t="s">
        <v>129</v>
      </c>
      <c r="AL1231" t="str">
        <f>HYPERLINK("https://cdn1.ozone.ru/s3/rp-photo-5/d244127e-07d1-47b1-b2fd-ae54c1aca36e.jpeg")</f>
        <v>https://cdn1.ozone.ru/s3/rp-photo-5/d244127e-07d1-47b1-b2fd-ae54c1aca36e.jpeg</v>
      </c>
      <c r="AM1231" t="s">
        <v>129</v>
      </c>
      <c r="AN1231" t="s">
        <v>130</v>
      </c>
      <c r="AP1231" t="s">
        <v>41</v>
      </c>
      <c r="AT1231" t="s">
        <v>45</v>
      </c>
      <c r="AW1231" t="s">
        <v>48</v>
      </c>
      <c r="AZ1231" t="s">
        <v>51</v>
      </c>
      <c r="BA1231" t="s">
        <v>52</v>
      </c>
      <c r="BM1231" t="s">
        <v>64</v>
      </c>
    </row>
    <row r="1232" spans="1:69" x14ac:dyDescent="0.2">
      <c r="A1232" t="s">
        <v>4536</v>
      </c>
      <c r="B1232" t="s">
        <v>4713</v>
      </c>
      <c r="C1232" t="s">
        <v>4689</v>
      </c>
      <c r="D1232" t="s">
        <v>175</v>
      </c>
      <c r="E1232" t="s">
        <v>4714</v>
      </c>
      <c r="F1232" t="s">
        <v>180</v>
      </c>
      <c r="G1232" t="str">
        <f>HYPERLINK("https://yandex.ru/maps/org/1688048746#EpXFq6b_td3qrWunmP19MIxUuMxUku0h")</f>
        <v>https://yandex.ru/maps/org/1688048746#EpXFq6b_td3qrWunmP19MIxUuMxUku0h</v>
      </c>
      <c r="H1232" t="s">
        <v>181</v>
      </c>
      <c r="I1232" t="s">
        <v>4715</v>
      </c>
      <c r="J1232" t="str">
        <f>HYPERLINK("https://yandex.ru/user/a0gbqea2zwpebgm0p5phwr25x8")</f>
        <v>https://yandex.ru/user/a0gbqea2zwpebgm0p5phwr25x8</v>
      </c>
      <c r="N1232" t="s">
        <v>236</v>
      </c>
      <c r="O1232" t="s">
        <v>175</v>
      </c>
      <c r="P1232" t="str">
        <f>HYPERLINK("https://yandex.ru/maps/org/1688048746")</f>
        <v>https://yandex.ru/maps/org/1688048746</v>
      </c>
      <c r="R1232" t="s">
        <v>184</v>
      </c>
      <c r="S1232" t="s">
        <v>125</v>
      </c>
      <c r="T1232" t="s">
        <v>601</v>
      </c>
      <c r="U1232" t="s">
        <v>2543</v>
      </c>
      <c r="W1232">
        <v>0</v>
      </c>
      <c r="X1232">
        <v>0</v>
      </c>
      <c r="AH1232">
        <v>5</v>
      </c>
      <c r="AM1232" t="s">
        <v>129</v>
      </c>
      <c r="AN1232" t="s">
        <v>130</v>
      </c>
      <c r="AP1232" t="s">
        <v>41</v>
      </c>
      <c r="AX1232" t="s">
        <v>49</v>
      </c>
      <c r="AZ1232" t="s">
        <v>51</v>
      </c>
      <c r="BA1232" t="s">
        <v>52</v>
      </c>
    </row>
    <row r="1233" spans="1:77" x14ac:dyDescent="0.2">
      <c r="A1233" t="s">
        <v>4536</v>
      </c>
      <c r="B1233" t="s">
        <v>4716</v>
      </c>
      <c r="C1233" t="s">
        <v>4717</v>
      </c>
      <c r="D1233" t="s">
        <v>4718</v>
      </c>
      <c r="E1233" t="s">
        <v>4719</v>
      </c>
      <c r="F1233" t="s">
        <v>180</v>
      </c>
      <c r="G1233" t="str">
        <f>HYPERLINK("https://www.google.com/maps/reviews/data=!4m5!14m4!1m3!1m2!1s102965476676029048745!2s0x0:0x64a1e34d9fd65178?hl=en-NL")</f>
        <v>https://www.google.com/maps/reviews/data=!4m5!14m4!1m3!1m2!1s102965476676029048745!2s0x0:0x64a1e34d9fd65178?hl=en-NL</v>
      </c>
      <c r="H1233" t="s">
        <v>181</v>
      </c>
      <c r="I1233" t="s">
        <v>4720</v>
      </c>
      <c r="J1233" t="str">
        <f>HYPERLINK("https://maps.google.com/maps/contrib/102965476676029048745")</f>
        <v>https://maps.google.com/maps/contrib/102965476676029048745</v>
      </c>
      <c r="L1233" t="s">
        <v>151</v>
      </c>
      <c r="N1233" t="s">
        <v>673</v>
      </c>
      <c r="O1233" t="s">
        <v>4718</v>
      </c>
      <c r="P1233" t="str">
        <f>HYPERLINK("https://maps.google.com/maps/place/data=!3m1!4b1!4m5!3m4!1s0x0:0x64a1e34d9fd65178!8m2!3d43.321950!4d45.681150")</f>
        <v>https://maps.google.com/maps/place/data=!3m1!4b1!4m5!3m4!1s0x0:0x64a1e34d9fd65178!8m2!3d43.321950!4d45.681150</v>
      </c>
      <c r="R1233" t="s">
        <v>184</v>
      </c>
      <c r="S1233" t="s">
        <v>125</v>
      </c>
      <c r="T1233" t="s">
        <v>4721</v>
      </c>
      <c r="U1233" t="s">
        <v>4722</v>
      </c>
      <c r="W1233">
        <v>0</v>
      </c>
      <c r="X1233">
        <v>0</v>
      </c>
      <c r="AH1233">
        <v>5</v>
      </c>
      <c r="AM1233" t="s">
        <v>129</v>
      </c>
      <c r="AN1233" t="s">
        <v>130</v>
      </c>
      <c r="AP1233" t="s">
        <v>41</v>
      </c>
      <c r="AX1233" t="s">
        <v>49</v>
      </c>
      <c r="AZ1233" t="s">
        <v>51</v>
      </c>
      <c r="BA1233" t="s">
        <v>52</v>
      </c>
    </row>
    <row r="1234" spans="1:77" x14ac:dyDescent="0.2">
      <c r="A1234" t="s">
        <v>4536</v>
      </c>
      <c r="B1234" t="s">
        <v>369</v>
      </c>
      <c r="C1234" t="s">
        <v>4723</v>
      </c>
      <c r="D1234" t="s">
        <v>4724</v>
      </c>
      <c r="E1234" t="s">
        <v>4725</v>
      </c>
      <c r="F1234" t="s">
        <v>118</v>
      </c>
      <c r="G1234" t="str">
        <f>HYPERLINK("https://telegram.me/argument600_chat2/387068")</f>
        <v>https://telegram.me/argument600_chat2/387068</v>
      </c>
      <c r="H1234" t="s">
        <v>119</v>
      </c>
      <c r="I1234" t="s">
        <v>4726</v>
      </c>
      <c r="J1234" t="str">
        <f>HYPERLINK("https://telegram.me/mikekoval")</f>
        <v>https://telegram.me/mikekoval</v>
      </c>
      <c r="N1234" t="s">
        <v>143</v>
      </c>
      <c r="O1234" t="s">
        <v>4727</v>
      </c>
      <c r="P1234" t="str">
        <f>HYPERLINK("https://telegram.me/argument600_chat2")</f>
        <v>https://telegram.me/argument600_chat2</v>
      </c>
      <c r="Q1234">
        <v>55</v>
      </c>
      <c r="R1234" t="s">
        <v>145</v>
      </c>
      <c r="AM1234" t="s">
        <v>129</v>
      </c>
      <c r="AN1234" t="s">
        <v>130</v>
      </c>
      <c r="AP1234" t="s">
        <v>41</v>
      </c>
      <c r="AZ1234" t="s">
        <v>51</v>
      </c>
      <c r="BA1234" t="s">
        <v>52</v>
      </c>
      <c r="BM1234" t="s">
        <v>64</v>
      </c>
    </row>
    <row r="1235" spans="1:77" x14ac:dyDescent="0.2">
      <c r="A1235" t="s">
        <v>4536</v>
      </c>
      <c r="B1235" t="s">
        <v>920</v>
      </c>
      <c r="C1235" t="s">
        <v>4728</v>
      </c>
      <c r="D1235" t="s">
        <v>175</v>
      </c>
      <c r="E1235" t="s">
        <v>4729</v>
      </c>
      <c r="F1235" t="s">
        <v>180</v>
      </c>
      <c r="G1235" t="str">
        <f>HYPERLINK("https://www.google.com/maps/reviews/data=!4m5!14m4!1m3!1m2!1s108913689985515293273!2s0x0:0x510b5c2b9eddb828?hl=en-NL")</f>
        <v>https://www.google.com/maps/reviews/data=!4m5!14m4!1m3!1m2!1s108913689985515293273!2s0x0:0x510b5c2b9eddb828?hl=en-NL</v>
      </c>
      <c r="H1235" t="s">
        <v>181</v>
      </c>
      <c r="I1235" t="s">
        <v>4730</v>
      </c>
      <c r="J1235" t="str">
        <f>HYPERLINK("https://maps.google.com/maps/contrib/108913689985515293273")</f>
        <v>https://maps.google.com/maps/contrib/108913689985515293273</v>
      </c>
      <c r="N1235" t="s">
        <v>673</v>
      </c>
      <c r="O1235" t="s">
        <v>175</v>
      </c>
      <c r="P1235" t="str">
        <f>HYPERLINK("https://maps.google.com/maps/place/data=!3m1!4b1!4m5!3m4!1s0x0:0x510b5c2b9eddb828!8m2!3d51.532850!4d46.026620")</f>
        <v>https://maps.google.com/maps/place/data=!3m1!4b1!4m5!3m4!1s0x0:0x510b5c2b9eddb828!8m2!3d51.532850!4d46.026620</v>
      </c>
      <c r="R1235" t="s">
        <v>184</v>
      </c>
      <c r="S1235" t="s">
        <v>125</v>
      </c>
      <c r="T1235" t="s">
        <v>1365</v>
      </c>
      <c r="U1235" t="s">
        <v>1366</v>
      </c>
      <c r="W1235">
        <v>0</v>
      </c>
      <c r="X1235">
        <v>0</v>
      </c>
      <c r="AH1235">
        <v>5</v>
      </c>
      <c r="AM1235" t="s">
        <v>129</v>
      </c>
      <c r="AN1235" t="s">
        <v>130</v>
      </c>
      <c r="AP1235" t="s">
        <v>41</v>
      </c>
      <c r="AX1235" t="s">
        <v>49</v>
      </c>
      <c r="AZ1235" t="s">
        <v>51</v>
      </c>
      <c r="BA1235" t="s">
        <v>52</v>
      </c>
    </row>
    <row r="1236" spans="1:77" x14ac:dyDescent="0.2">
      <c r="A1236" t="s">
        <v>4536</v>
      </c>
      <c r="B1236" t="s">
        <v>3035</v>
      </c>
      <c r="C1236" t="s">
        <v>4731</v>
      </c>
      <c r="D1236" t="s">
        <v>4732</v>
      </c>
      <c r="E1236" t="s">
        <v>4733</v>
      </c>
      <c r="F1236" t="s">
        <v>118</v>
      </c>
      <c r="G1236" t="str">
        <f>HYPERLINK("https://www.facebook.com/story.php?story_fbid=4069003689841928&amp;id=100001970107844&amp;comment_id=4069075859834711&amp;reply_comment_id=4069082596500704")</f>
        <v>https://www.facebook.com/story.php?story_fbid=4069003689841928&amp;id=100001970107844&amp;comment_id=4069075859834711&amp;reply_comment_id=4069082596500704</v>
      </c>
      <c r="H1236" t="s">
        <v>119</v>
      </c>
      <c r="I1236" t="s">
        <v>4734</v>
      </c>
      <c r="J1236" t="str">
        <f>HYPERLINK("https://www.facebook.com/100001970107844")</f>
        <v>https://www.facebook.com/100001970107844</v>
      </c>
      <c r="K1236">
        <v>517</v>
      </c>
      <c r="L1236" t="s">
        <v>121</v>
      </c>
      <c r="N1236" t="s">
        <v>305</v>
      </c>
      <c r="O1236" t="s">
        <v>4734</v>
      </c>
      <c r="P1236" t="str">
        <f>HYPERLINK("https://www.facebook.com/100001970107844")</f>
        <v>https://www.facebook.com/100001970107844</v>
      </c>
      <c r="Q1236">
        <v>517</v>
      </c>
      <c r="R1236" t="s">
        <v>124</v>
      </c>
      <c r="S1236" t="s">
        <v>125</v>
      </c>
      <c r="T1236" t="s">
        <v>169</v>
      </c>
      <c r="U1236" t="s">
        <v>169</v>
      </c>
      <c r="W1236">
        <v>1</v>
      </c>
      <c r="X1236">
        <v>1</v>
      </c>
      <c r="AE1236">
        <v>0</v>
      </c>
      <c r="AM1236" t="s">
        <v>129</v>
      </c>
      <c r="AN1236" t="s">
        <v>130</v>
      </c>
      <c r="AP1236" t="s">
        <v>41</v>
      </c>
      <c r="AZ1236" t="s">
        <v>51</v>
      </c>
      <c r="BA1236" t="s">
        <v>52</v>
      </c>
      <c r="BM1236" t="s">
        <v>64</v>
      </c>
    </row>
    <row r="1237" spans="1:77" x14ac:dyDescent="0.2">
      <c r="A1237" t="s">
        <v>4536</v>
      </c>
      <c r="B1237" t="s">
        <v>4735</v>
      </c>
      <c r="C1237" t="s">
        <v>4736</v>
      </c>
      <c r="D1237" t="s">
        <v>4737</v>
      </c>
      <c r="E1237" t="s">
        <v>4738</v>
      </c>
      <c r="F1237" t="s">
        <v>118</v>
      </c>
      <c r="G1237" t="str">
        <f>HYPERLINK("https://vk.com/wall-114725892_3909?reply=3916&amp;thread=3915")</f>
        <v>https://vk.com/wall-114725892_3909?reply=3916&amp;thread=3915</v>
      </c>
      <c r="H1237" t="s">
        <v>119</v>
      </c>
      <c r="I1237" t="s">
        <v>4739</v>
      </c>
      <c r="J1237" t="str">
        <f>HYPERLINK("http://vk.com/id630468759")</f>
        <v>http://vk.com/id630468759</v>
      </c>
      <c r="K1237">
        <v>10</v>
      </c>
      <c r="L1237" t="s">
        <v>121</v>
      </c>
      <c r="M1237">
        <v>25</v>
      </c>
      <c r="N1237" t="s">
        <v>122</v>
      </c>
      <c r="O1237" t="s">
        <v>4740</v>
      </c>
      <c r="P1237" t="str">
        <f>HYPERLINK("http://vk.com/club114725892")</f>
        <v>http://vk.com/club114725892</v>
      </c>
      <c r="Q1237">
        <v>171</v>
      </c>
      <c r="R1237" t="s">
        <v>124</v>
      </c>
      <c r="S1237" t="s">
        <v>125</v>
      </c>
      <c r="T1237" t="s">
        <v>523</v>
      </c>
      <c r="U1237" t="s">
        <v>4741</v>
      </c>
      <c r="AM1237" t="s">
        <v>129</v>
      </c>
      <c r="AN1237" t="s">
        <v>130</v>
      </c>
      <c r="AP1237" t="s">
        <v>41</v>
      </c>
      <c r="AU1237" t="s">
        <v>46</v>
      </c>
      <c r="AZ1237" t="s">
        <v>51</v>
      </c>
      <c r="BA1237" t="s">
        <v>52</v>
      </c>
    </row>
    <row r="1238" spans="1:77" x14ac:dyDescent="0.2">
      <c r="A1238" t="s">
        <v>4536</v>
      </c>
      <c r="B1238" t="s">
        <v>3791</v>
      </c>
      <c r="C1238" t="s">
        <v>4742</v>
      </c>
      <c r="D1238" t="s">
        <v>129</v>
      </c>
      <c r="E1238" t="s">
        <v>4743</v>
      </c>
      <c r="F1238" t="s">
        <v>118</v>
      </c>
      <c r="G1238" t="str">
        <f>HYPERLINK("https://dtf.ru/life/703900-tv-6-vzlet-i-krushenie-pervogo-rossiyskogo-razvlekatelnogo-telekanala?comment=11780733")</f>
        <v>https://dtf.ru/life/703900-tv-6-vzlet-i-krushenie-pervogo-rossiyskogo-razvlekatelnogo-telekanala?comment=11780733</v>
      </c>
      <c r="H1238" t="s">
        <v>119</v>
      </c>
      <c r="I1238" t="s">
        <v>4744</v>
      </c>
      <c r="J1238" t="str">
        <f>HYPERLINK("https://dtf.ru/u/112863-badex")</f>
        <v>https://dtf.ru/u/112863-badex</v>
      </c>
      <c r="N1238" t="s">
        <v>4745</v>
      </c>
      <c r="R1238" t="s">
        <v>785</v>
      </c>
      <c r="S1238" t="s">
        <v>125</v>
      </c>
      <c r="AM1238" t="s">
        <v>129</v>
      </c>
      <c r="AN1238" t="s">
        <v>130</v>
      </c>
      <c r="AP1238" t="s">
        <v>41</v>
      </c>
      <c r="AU1238" t="s">
        <v>46</v>
      </c>
      <c r="AZ1238" t="s">
        <v>51</v>
      </c>
      <c r="BA1238" t="s">
        <v>52</v>
      </c>
    </row>
    <row r="1239" spans="1:77" x14ac:dyDescent="0.2">
      <c r="A1239" t="s">
        <v>4536</v>
      </c>
      <c r="B1239" t="s">
        <v>4277</v>
      </c>
      <c r="C1239" t="s">
        <v>4746</v>
      </c>
      <c r="D1239" t="s">
        <v>204</v>
      </c>
      <c r="E1239" t="s">
        <v>4747</v>
      </c>
      <c r="F1239" t="s">
        <v>180</v>
      </c>
      <c r="G1239" t="str">
        <f>HYPERLINK("https://play.google.com/store/apps/details?id=ru.iflex.android.a3colortv&amp;reviewId=gp:AOqpTOEGRS6fxl4O22R8yjMfEqJ_dpTZgadP9WezEh_2Azh-CzK-D2kcwecWAtpCXuIlmqnJdiWPmO-pJnaefg")</f>
        <v>https://play.google.com/store/apps/details?id=ru.iflex.android.a3colortv&amp;reviewId=gp:AOqpTOEGRS6fxl4O22R8yjMfEqJ_dpTZgadP9WezEh_2Azh-CzK-D2kcwecWAtpCXuIlmqnJdiWPmO-pJnaefg</v>
      </c>
      <c r="H1239" t="s">
        <v>181</v>
      </c>
      <c r="I1239" t="s">
        <v>4748</v>
      </c>
      <c r="J1239" t="str">
        <f>HYPERLINK("https://plus.google.com/111696857437412467132")</f>
        <v>https://plus.google.com/111696857437412467132</v>
      </c>
      <c r="L1239" t="s">
        <v>121</v>
      </c>
      <c r="N1239" t="s">
        <v>207</v>
      </c>
      <c r="O1239" t="s">
        <v>204</v>
      </c>
      <c r="P1239" t="str">
        <f>HYPERLINK("https://play.google.com/store/apps/details?id=ru.iflex.android.a3colortv&amp;hl=ru")</f>
        <v>https://play.google.com/store/apps/details?id=ru.iflex.android.a3colortv&amp;hl=ru</v>
      </c>
      <c r="R1239" t="s">
        <v>184</v>
      </c>
      <c r="S1239" t="s">
        <v>125</v>
      </c>
      <c r="W1239">
        <v>0</v>
      </c>
      <c r="X1239">
        <v>0</v>
      </c>
      <c r="AH1239">
        <v>5</v>
      </c>
      <c r="AM1239" t="s">
        <v>129</v>
      </c>
      <c r="AN1239" t="s">
        <v>130</v>
      </c>
      <c r="AP1239" t="s">
        <v>41</v>
      </c>
      <c r="AZ1239" t="s">
        <v>51</v>
      </c>
      <c r="BA1239" t="s">
        <v>52</v>
      </c>
      <c r="BQ1239" t="s">
        <v>68</v>
      </c>
    </row>
    <row r="1240" spans="1:77" x14ac:dyDescent="0.2">
      <c r="A1240" t="s">
        <v>4536</v>
      </c>
      <c r="B1240" t="s">
        <v>4749</v>
      </c>
      <c r="C1240" t="s">
        <v>4750</v>
      </c>
      <c r="D1240" t="s">
        <v>4505</v>
      </c>
      <c r="E1240" t="s">
        <v>4751</v>
      </c>
      <c r="F1240" t="s">
        <v>118</v>
      </c>
      <c r="G1240" t="str">
        <f>HYPERLINK("https://vk.com/wall-22935147_368528?reply=368604&amp;thread=368595")</f>
        <v>https://vk.com/wall-22935147_368528?reply=368604&amp;thread=368595</v>
      </c>
      <c r="H1240" t="s">
        <v>119</v>
      </c>
      <c r="I1240" t="s">
        <v>4752</v>
      </c>
      <c r="J1240" t="str">
        <f>HYPERLINK("http://vk.com/id597358230")</f>
        <v>http://vk.com/id597358230</v>
      </c>
      <c r="L1240" t="s">
        <v>121</v>
      </c>
      <c r="M1240">
        <v>44</v>
      </c>
      <c r="N1240" t="s">
        <v>122</v>
      </c>
      <c r="O1240" t="s">
        <v>1093</v>
      </c>
      <c r="P1240" t="str">
        <f>HYPERLINK("http://vk.com/club22935147")</f>
        <v>http://vk.com/club22935147</v>
      </c>
      <c r="Q1240">
        <v>8943</v>
      </c>
      <c r="R1240" t="s">
        <v>124</v>
      </c>
      <c r="S1240" t="s">
        <v>125</v>
      </c>
      <c r="T1240" t="s">
        <v>218</v>
      </c>
      <c r="U1240" t="s">
        <v>2855</v>
      </c>
      <c r="AM1240" t="s">
        <v>129</v>
      </c>
      <c r="AN1240" t="s">
        <v>130</v>
      </c>
      <c r="AP1240" t="s">
        <v>41</v>
      </c>
      <c r="AT1240" t="s">
        <v>45</v>
      </c>
      <c r="AZ1240" t="s">
        <v>51</v>
      </c>
      <c r="BA1240" t="s">
        <v>52</v>
      </c>
    </row>
    <row r="1241" spans="1:77" x14ac:dyDescent="0.2">
      <c r="A1241" t="s">
        <v>4536</v>
      </c>
      <c r="B1241" t="s">
        <v>4304</v>
      </c>
      <c r="C1241" t="s">
        <v>4753</v>
      </c>
      <c r="D1241" t="s">
        <v>4754</v>
      </c>
      <c r="E1241" t="s">
        <v>4755</v>
      </c>
      <c r="F1241" t="s">
        <v>180</v>
      </c>
      <c r="G1241" t="str">
        <f>HYPERLINK("https://www.ozon.ru/context/detail/id/249832844/#61269822")</f>
        <v>https://www.ozon.ru/context/detail/id/249832844/#61269822</v>
      </c>
      <c r="H1241" t="s">
        <v>181</v>
      </c>
      <c r="I1241" t="s">
        <v>4756</v>
      </c>
      <c r="J1241" t="str">
        <f>HYPERLINK("https://www.ozon.ru/context/client_opinion/ClientGuid/22522e90-c1c4-4a42-a193-f02050a59c47/")</f>
        <v>https://www.ozon.ru/context/client_opinion/ClientGuid/22522e90-c1c4-4a42-a193-f02050a59c47/</v>
      </c>
      <c r="L1241" t="s">
        <v>121</v>
      </c>
      <c r="N1241" t="s">
        <v>183</v>
      </c>
      <c r="O1241" t="s">
        <v>4754</v>
      </c>
      <c r="P1241" t="str">
        <f>HYPERLINK("https://www.ozon.ru/context/detail/id/249832844/")</f>
        <v>https://www.ozon.ru/context/detail/id/249832844/</v>
      </c>
      <c r="R1241" t="s">
        <v>184</v>
      </c>
      <c r="S1241" t="s">
        <v>125</v>
      </c>
      <c r="W1241">
        <v>0</v>
      </c>
      <c r="X1241">
        <v>0</v>
      </c>
      <c r="AH1241">
        <v>5</v>
      </c>
      <c r="AM1241" t="s">
        <v>129</v>
      </c>
      <c r="AN1241" t="s">
        <v>130</v>
      </c>
      <c r="AP1241" t="s">
        <v>41</v>
      </c>
      <c r="AW1241" t="s">
        <v>48</v>
      </c>
      <c r="AZ1241" t="s">
        <v>51</v>
      </c>
      <c r="BA1241" t="s">
        <v>52</v>
      </c>
    </row>
    <row r="1242" spans="1:77" x14ac:dyDescent="0.2">
      <c r="A1242" t="s">
        <v>4536</v>
      </c>
      <c r="B1242" t="s">
        <v>1518</v>
      </c>
      <c r="C1242" t="s">
        <v>4757</v>
      </c>
      <c r="D1242" t="s">
        <v>4758</v>
      </c>
      <c r="E1242" t="s">
        <v>4759</v>
      </c>
      <c r="F1242" t="s">
        <v>180</v>
      </c>
      <c r="G1242" t="str">
        <f>HYPERLINK("https://www.wildberries.ru/catalog/13662837/detail.aspx?targetUrl=ES#Comments")</f>
        <v>https://www.wildberries.ru/catalog/13662837/detail.aspx?targetUrl=ES#Comments</v>
      </c>
      <c r="H1242" t="s">
        <v>181</v>
      </c>
      <c r="I1242" t="s">
        <v>4760</v>
      </c>
      <c r="J1242" t="str">
        <f>HYPERLINK("https://www.wildberries.ru/profile/w7TDssOkw7PCu8K1wrLCtMK4wrjCuMK5wrA=")</f>
        <v>https://www.wildberries.ru/profile/w7TDssOkw7PCu8K1wrLCtMK4wrjCuMK5wrA=</v>
      </c>
      <c r="L1242" t="s">
        <v>121</v>
      </c>
      <c r="N1242" t="s">
        <v>534</v>
      </c>
      <c r="O1242" t="s">
        <v>4758</v>
      </c>
      <c r="P1242" t="str">
        <f>HYPERLINK("https://www.wildberries.ru/catalog/10231194/detail.aspx")</f>
        <v>https://www.wildberries.ru/catalog/10231194/detail.aspx</v>
      </c>
      <c r="R1242" t="s">
        <v>184</v>
      </c>
      <c r="S1242" t="s">
        <v>125</v>
      </c>
      <c r="W1242">
        <v>0</v>
      </c>
      <c r="X1242">
        <v>0</v>
      </c>
      <c r="AH1242">
        <v>5</v>
      </c>
      <c r="AM1242" t="s">
        <v>129</v>
      </c>
      <c r="AN1242" t="s">
        <v>130</v>
      </c>
      <c r="AP1242" t="s">
        <v>41</v>
      </c>
      <c r="AT1242" t="s">
        <v>45</v>
      </c>
      <c r="AU1242" t="s">
        <v>46</v>
      </c>
      <c r="AZ1242" t="s">
        <v>51</v>
      </c>
      <c r="BC1242" t="s">
        <v>54</v>
      </c>
      <c r="BY1242" t="s">
        <v>76</v>
      </c>
    </row>
    <row r="1243" spans="1:77" x14ac:dyDescent="0.2">
      <c r="A1243" t="s">
        <v>4536</v>
      </c>
      <c r="B1243" t="s">
        <v>1518</v>
      </c>
      <c r="C1243" t="s">
        <v>4757</v>
      </c>
      <c r="D1243" t="s">
        <v>4758</v>
      </c>
      <c r="E1243" t="s">
        <v>4761</v>
      </c>
      <c r="F1243" t="s">
        <v>118</v>
      </c>
      <c r="G1243" t="str">
        <f>HYPERLINK("https://www.wildberries.ru/catalog/13662837/detail.aspx?targetUrl=ES#Comments")</f>
        <v>https://www.wildberries.ru/catalog/13662837/detail.aspx?targetUrl=ES#Comments</v>
      </c>
      <c r="H1243" t="s">
        <v>119</v>
      </c>
      <c r="I1243" t="s">
        <v>3023</v>
      </c>
      <c r="J1243" t="str">
        <f>HYPERLINK("https://www.wildberries.ru/brands/trikolor")</f>
        <v>https://www.wildberries.ru/brands/trikolor</v>
      </c>
      <c r="L1243" t="s">
        <v>340</v>
      </c>
      <c r="N1243" t="s">
        <v>534</v>
      </c>
      <c r="O1243" t="s">
        <v>4758</v>
      </c>
      <c r="P1243" t="str">
        <f>HYPERLINK("https://www.wildberries.ru/catalog/10231194/detail.aspx")</f>
        <v>https://www.wildberries.ru/catalog/10231194/detail.aspx</v>
      </c>
      <c r="R1243" t="s">
        <v>184</v>
      </c>
      <c r="S1243" t="s">
        <v>125</v>
      </c>
      <c r="AM1243" t="s">
        <v>129</v>
      </c>
      <c r="AN1243" t="s">
        <v>130</v>
      </c>
      <c r="BI1243" t="s">
        <v>60</v>
      </c>
    </row>
    <row r="1244" spans="1:77" x14ac:dyDescent="0.2">
      <c r="A1244" t="s">
        <v>4536</v>
      </c>
      <c r="B1244" t="s">
        <v>446</v>
      </c>
      <c r="C1244" t="s">
        <v>4762</v>
      </c>
      <c r="D1244" t="s">
        <v>129</v>
      </c>
      <c r="E1244" t="s">
        <v>4763</v>
      </c>
      <c r="F1244" t="s">
        <v>118</v>
      </c>
      <c r="G1244" t="str">
        <f>HYPERLINK("https://twitter.com/299549281/status/1418184075152592900")</f>
        <v>https://twitter.com/299549281/status/1418184075152592900</v>
      </c>
      <c r="H1244" t="s">
        <v>119</v>
      </c>
      <c r="I1244" t="s">
        <v>4764</v>
      </c>
      <c r="J1244" t="str">
        <f>HYPERLINK("http://twitter.com/Yamahinumberone")</f>
        <v>http://twitter.com/Yamahinumberone</v>
      </c>
      <c r="K1244">
        <v>45</v>
      </c>
      <c r="L1244" t="s">
        <v>121</v>
      </c>
      <c r="N1244" t="s">
        <v>350</v>
      </c>
      <c r="R1244" t="s">
        <v>124</v>
      </c>
      <c r="S1244" t="s">
        <v>125</v>
      </c>
      <c r="W1244">
        <v>0</v>
      </c>
      <c r="X1244">
        <v>0</v>
      </c>
      <c r="AE1244">
        <v>0</v>
      </c>
      <c r="AF1244">
        <v>0</v>
      </c>
      <c r="AM1244" t="s">
        <v>129</v>
      </c>
      <c r="AN1244" t="s">
        <v>130</v>
      </c>
      <c r="AP1244" t="s">
        <v>41</v>
      </c>
      <c r="AY1244" t="s">
        <v>50</v>
      </c>
      <c r="AZ1244" t="s">
        <v>51</v>
      </c>
      <c r="BA1244" t="s">
        <v>52</v>
      </c>
    </row>
    <row r="1245" spans="1:77" x14ac:dyDescent="0.2">
      <c r="A1245" t="s">
        <v>4536</v>
      </c>
      <c r="B1245" t="s">
        <v>1572</v>
      </c>
      <c r="C1245" t="s">
        <v>4765</v>
      </c>
      <c r="D1245" t="s">
        <v>4766</v>
      </c>
      <c r="E1245" t="s">
        <v>4767</v>
      </c>
      <c r="F1245" t="s">
        <v>180</v>
      </c>
      <c r="G1245" t="str">
        <f>HYPERLINK("https://telesputnik.ru/materials/novosti-kompanii/news/trikolor-vyyasnil-naskolko-otvetstvenno-rossiyane-otnosyatsya-k-ekologii/")</f>
        <v>https://telesputnik.ru/materials/novosti-kompanii/news/trikolor-vyyasnil-naskolko-otvetstvenno-rossiyane-otnosyatsya-k-ekologii/</v>
      </c>
      <c r="H1245" t="s">
        <v>119</v>
      </c>
      <c r="N1245" t="s">
        <v>335</v>
      </c>
      <c r="R1245" t="s">
        <v>785</v>
      </c>
      <c r="S1245" t="s">
        <v>125</v>
      </c>
      <c r="AM1245" t="s">
        <v>129</v>
      </c>
      <c r="AN1245" t="s">
        <v>130</v>
      </c>
      <c r="AV1245" t="s">
        <v>47</v>
      </c>
    </row>
    <row r="1246" spans="1:77" x14ac:dyDescent="0.2">
      <c r="A1246" t="s">
        <v>4536</v>
      </c>
      <c r="B1246" t="s">
        <v>3137</v>
      </c>
      <c r="C1246" t="s">
        <v>4768</v>
      </c>
      <c r="D1246" t="s">
        <v>2001</v>
      </c>
      <c r="E1246" t="s">
        <v>4769</v>
      </c>
      <c r="F1246" t="s">
        <v>118</v>
      </c>
      <c r="G1246" t="str">
        <f>HYPERLINK("https://vk.com/wall-27863223_291925?w=wall-27863223_291925_r292046")</f>
        <v>https://vk.com/wall-27863223_291925?w=wall-27863223_291925_r292046</v>
      </c>
      <c r="H1246" t="s">
        <v>119</v>
      </c>
      <c r="I1246" t="s">
        <v>4770</v>
      </c>
      <c r="J1246" t="str">
        <f>HYPERLINK("http://vk.com/id165378674")</f>
        <v>http://vk.com/id165378674</v>
      </c>
      <c r="K1246">
        <v>344</v>
      </c>
      <c r="L1246" t="s">
        <v>121</v>
      </c>
      <c r="M1246">
        <v>32</v>
      </c>
      <c r="N1246" t="s">
        <v>122</v>
      </c>
      <c r="O1246" t="s">
        <v>175</v>
      </c>
      <c r="P1246" t="str">
        <f>HYPERLINK("http://vk.com/club27863223")</f>
        <v>http://vk.com/club27863223</v>
      </c>
      <c r="Q1246">
        <v>134698</v>
      </c>
      <c r="R1246" t="s">
        <v>124</v>
      </c>
      <c r="S1246" t="s">
        <v>125</v>
      </c>
      <c r="T1246" t="s">
        <v>487</v>
      </c>
      <c r="U1246" t="s">
        <v>488</v>
      </c>
      <c r="W1246">
        <v>0</v>
      </c>
      <c r="X1246">
        <v>0</v>
      </c>
      <c r="AM1246" t="s">
        <v>129</v>
      </c>
      <c r="AN1246" t="s">
        <v>130</v>
      </c>
      <c r="AP1246" t="s">
        <v>41</v>
      </c>
      <c r="AU1246" t="s">
        <v>46</v>
      </c>
      <c r="AZ1246" t="s">
        <v>51</v>
      </c>
      <c r="BA1246" t="s">
        <v>52</v>
      </c>
    </row>
    <row r="1247" spans="1:77" x14ac:dyDescent="0.2">
      <c r="A1247" t="s">
        <v>4536</v>
      </c>
      <c r="B1247" t="s">
        <v>4771</v>
      </c>
      <c r="C1247" t="s">
        <v>4768</v>
      </c>
      <c r="D1247" t="s">
        <v>4505</v>
      </c>
      <c r="E1247" t="s">
        <v>4772</v>
      </c>
      <c r="F1247" t="s">
        <v>118</v>
      </c>
      <c r="G1247" t="str">
        <f>HYPERLINK("https://vk.com/wall-22935147_368528?reply=368603")</f>
        <v>https://vk.com/wall-22935147_368528?reply=368603</v>
      </c>
      <c r="H1247" t="s">
        <v>228</v>
      </c>
      <c r="I1247" t="s">
        <v>4507</v>
      </c>
      <c r="J1247" t="str">
        <f>HYPERLINK("http://vk.com/id161771820")</f>
        <v>http://vk.com/id161771820</v>
      </c>
      <c r="K1247">
        <v>13</v>
      </c>
      <c r="L1247" t="s">
        <v>121</v>
      </c>
      <c r="N1247" t="s">
        <v>122</v>
      </c>
      <c r="O1247" t="s">
        <v>1093</v>
      </c>
      <c r="P1247" t="str">
        <f>HYPERLINK("http://vk.com/club22935147")</f>
        <v>http://vk.com/club22935147</v>
      </c>
      <c r="Q1247">
        <v>8943</v>
      </c>
      <c r="R1247" t="s">
        <v>124</v>
      </c>
      <c r="S1247" t="s">
        <v>125</v>
      </c>
      <c r="T1247" t="s">
        <v>137</v>
      </c>
      <c r="U1247" t="s">
        <v>137</v>
      </c>
      <c r="W1247">
        <v>0</v>
      </c>
      <c r="X1247">
        <v>0</v>
      </c>
      <c r="AM1247" t="s">
        <v>129</v>
      </c>
      <c r="AN1247" t="s">
        <v>130</v>
      </c>
      <c r="AP1247" t="s">
        <v>41</v>
      </c>
      <c r="AU1247" t="s">
        <v>46</v>
      </c>
      <c r="AZ1247" t="s">
        <v>51</v>
      </c>
      <c r="BA1247" t="s">
        <v>52</v>
      </c>
    </row>
    <row r="1248" spans="1:77" x14ac:dyDescent="0.2">
      <c r="A1248" t="s">
        <v>4536</v>
      </c>
      <c r="B1248" t="s">
        <v>4773</v>
      </c>
      <c r="C1248" t="s">
        <v>4774</v>
      </c>
      <c r="D1248" t="s">
        <v>2001</v>
      </c>
      <c r="E1248" t="s">
        <v>4775</v>
      </c>
      <c r="F1248" t="s">
        <v>118</v>
      </c>
      <c r="G1248" t="str">
        <f>HYPERLINK("https://vk.com/wall-27863223_291925?reply=292044&amp;thread=292038")</f>
        <v>https://vk.com/wall-27863223_291925?reply=292044&amp;thread=292038</v>
      </c>
      <c r="H1248" t="s">
        <v>228</v>
      </c>
      <c r="I1248" t="s">
        <v>4770</v>
      </c>
      <c r="J1248" t="str">
        <f>HYPERLINK("http://vk.com/id165378674")</f>
        <v>http://vk.com/id165378674</v>
      </c>
      <c r="K1248">
        <v>344</v>
      </c>
      <c r="L1248" t="s">
        <v>121</v>
      </c>
      <c r="M1248">
        <v>32</v>
      </c>
      <c r="N1248" t="s">
        <v>122</v>
      </c>
      <c r="O1248" t="s">
        <v>175</v>
      </c>
      <c r="P1248" t="str">
        <f>HYPERLINK("http://vk.com/club27863223")</f>
        <v>http://vk.com/club27863223</v>
      </c>
      <c r="Q1248">
        <v>134698</v>
      </c>
      <c r="R1248" t="s">
        <v>124</v>
      </c>
      <c r="S1248" t="s">
        <v>125</v>
      </c>
      <c r="T1248" t="s">
        <v>487</v>
      </c>
      <c r="U1248" t="s">
        <v>488</v>
      </c>
      <c r="AM1248" t="s">
        <v>129</v>
      </c>
      <c r="AN1248" t="s">
        <v>130</v>
      </c>
      <c r="AP1248" t="s">
        <v>41</v>
      </c>
      <c r="AU1248" t="s">
        <v>46</v>
      </c>
      <c r="AZ1248" t="s">
        <v>51</v>
      </c>
      <c r="BA1248" t="s">
        <v>52</v>
      </c>
    </row>
    <row r="1249" spans="1:69" x14ac:dyDescent="0.2">
      <c r="A1249" t="s">
        <v>4536</v>
      </c>
      <c r="B1249" t="s">
        <v>4776</v>
      </c>
      <c r="C1249" t="s">
        <v>4777</v>
      </c>
      <c r="D1249" t="s">
        <v>4778</v>
      </c>
      <c r="E1249" t="s">
        <v>4779</v>
      </c>
      <c r="F1249" t="s">
        <v>118</v>
      </c>
      <c r="G1249" t="str">
        <f>HYPERLINK("https://www.youtube.com/watch?v=fA3uDLKqfvM&amp;lc=UgzFmbMWdoXNInDsKSZ4AaABAg")</f>
        <v>https://www.youtube.com/watch?v=fA3uDLKqfvM&amp;lc=UgzFmbMWdoXNInDsKSZ4AaABAg</v>
      </c>
      <c r="H1249" t="s">
        <v>119</v>
      </c>
      <c r="I1249" t="s">
        <v>4780</v>
      </c>
      <c r="J1249" t="str">
        <f>HYPERLINK("https://www.youtube.com/channel/UCVsL5Y3ctHGydsmmaQiIXCQ")</f>
        <v>https://www.youtube.com/channel/UCVsL5Y3ctHGydsmmaQiIXCQ</v>
      </c>
      <c r="K1249">
        <v>0</v>
      </c>
      <c r="L1249" t="s">
        <v>121</v>
      </c>
      <c r="N1249" t="s">
        <v>248</v>
      </c>
      <c r="O1249" t="s">
        <v>1910</v>
      </c>
      <c r="P1249" t="str">
        <f>HYPERLINK("https://www.youtube.com/channel/UCQgd9Ks9oBckRf9hadmZFdA")</f>
        <v>https://www.youtube.com/channel/UCQgd9Ks9oBckRf9hadmZFdA</v>
      </c>
      <c r="Q1249">
        <v>66700</v>
      </c>
      <c r="R1249" t="s">
        <v>124</v>
      </c>
      <c r="S1249" t="s">
        <v>125</v>
      </c>
      <c r="W1249">
        <v>1</v>
      </c>
      <c r="X1249">
        <v>1</v>
      </c>
      <c r="AE1249">
        <v>1</v>
      </c>
      <c r="AM1249" t="s">
        <v>129</v>
      </c>
      <c r="AN1249" t="s">
        <v>130</v>
      </c>
      <c r="AP1249" t="s">
        <v>41</v>
      </c>
      <c r="AY1249" t="s">
        <v>50</v>
      </c>
      <c r="AZ1249" t="s">
        <v>51</v>
      </c>
      <c r="BA1249" t="s">
        <v>52</v>
      </c>
    </row>
    <row r="1250" spans="1:69" x14ac:dyDescent="0.2">
      <c r="A1250" t="s">
        <v>4536</v>
      </c>
      <c r="B1250" t="s">
        <v>2064</v>
      </c>
      <c r="C1250" t="s">
        <v>4781</v>
      </c>
      <c r="D1250" t="s">
        <v>4782</v>
      </c>
      <c r="E1250" t="s">
        <v>4783</v>
      </c>
      <c r="F1250" t="s">
        <v>118</v>
      </c>
      <c r="G1250" t="str">
        <f>HYPERLINK("https://vk.com/wall-61101621_254734?reply=254744")</f>
        <v>https://vk.com/wall-61101621_254734?reply=254744</v>
      </c>
      <c r="H1250" t="s">
        <v>119</v>
      </c>
      <c r="I1250" t="s">
        <v>4784</v>
      </c>
      <c r="J1250" t="str">
        <f>HYPERLINK("http://vk.com/id152391779")</f>
        <v>http://vk.com/id152391779</v>
      </c>
      <c r="K1250">
        <v>423</v>
      </c>
      <c r="L1250" t="s">
        <v>121</v>
      </c>
      <c r="M1250">
        <v>31</v>
      </c>
      <c r="N1250" t="s">
        <v>122</v>
      </c>
      <c r="O1250" t="s">
        <v>160</v>
      </c>
      <c r="P1250" t="str">
        <f>HYPERLINK("http://vk.com/club61101621")</f>
        <v>http://vk.com/club61101621</v>
      </c>
      <c r="Q1250">
        <v>21119</v>
      </c>
      <c r="R1250" t="s">
        <v>124</v>
      </c>
      <c r="S1250" t="s">
        <v>125</v>
      </c>
      <c r="T1250" t="s">
        <v>667</v>
      </c>
      <c r="U1250" t="s">
        <v>4785</v>
      </c>
      <c r="W1250">
        <v>0</v>
      </c>
      <c r="X1250">
        <v>0</v>
      </c>
      <c r="AM1250" t="s">
        <v>129</v>
      </c>
      <c r="AN1250" t="s">
        <v>130</v>
      </c>
      <c r="AP1250" t="s">
        <v>41</v>
      </c>
      <c r="AW1250" t="s">
        <v>48</v>
      </c>
      <c r="AZ1250" t="s">
        <v>51</v>
      </c>
      <c r="BA1250" t="s">
        <v>52</v>
      </c>
    </row>
    <row r="1251" spans="1:69" x14ac:dyDescent="0.2">
      <c r="A1251" t="s">
        <v>4536</v>
      </c>
      <c r="B1251" t="s">
        <v>1620</v>
      </c>
      <c r="C1251" t="s">
        <v>4786</v>
      </c>
      <c r="D1251" t="s">
        <v>4787</v>
      </c>
      <c r="E1251" t="s">
        <v>4788</v>
      </c>
      <c r="F1251" t="s">
        <v>118</v>
      </c>
      <c r="G1251" t="str">
        <f>HYPERLINK("https://www.youtube.com/watch?v=L6AXvdFYS1I&amp;lc=UgzxpyL-w3FDT-eWtKl4AaABAg")</f>
        <v>https://www.youtube.com/watch?v=L6AXvdFYS1I&amp;lc=UgzxpyL-w3FDT-eWtKl4AaABAg</v>
      </c>
      <c r="H1251" t="s">
        <v>119</v>
      </c>
      <c r="I1251" t="s">
        <v>4789</v>
      </c>
      <c r="J1251" t="str">
        <f>HYPERLINK("https://www.youtube.com/channel/UC5Gly2VJMjbQXeTA3USzk9Q")</f>
        <v>https://www.youtube.com/channel/UC5Gly2VJMjbQXeTA3USzk9Q</v>
      </c>
      <c r="K1251">
        <v>0</v>
      </c>
      <c r="L1251" t="s">
        <v>121</v>
      </c>
      <c r="N1251" t="s">
        <v>248</v>
      </c>
      <c r="O1251" t="s">
        <v>4790</v>
      </c>
      <c r="P1251" t="str">
        <f>HYPERLINK("https://www.youtube.com/channel/UCI8-zbM96edO9Mxjv5dqGzQ")</f>
        <v>https://www.youtube.com/channel/UCI8-zbM96edO9Mxjv5dqGzQ</v>
      </c>
      <c r="Q1251">
        <v>757</v>
      </c>
      <c r="R1251" t="s">
        <v>124</v>
      </c>
      <c r="S1251" t="s">
        <v>125</v>
      </c>
      <c r="W1251">
        <v>0</v>
      </c>
      <c r="X1251">
        <v>0</v>
      </c>
      <c r="AE1251">
        <v>2</v>
      </c>
      <c r="AM1251" t="s">
        <v>129</v>
      </c>
      <c r="AN1251" t="s">
        <v>130</v>
      </c>
      <c r="AP1251" t="s">
        <v>41</v>
      </c>
      <c r="AT1251" t="s">
        <v>45</v>
      </c>
      <c r="AZ1251" t="s">
        <v>51</v>
      </c>
      <c r="BA1251" t="s">
        <v>52</v>
      </c>
    </row>
    <row r="1252" spans="1:69" x14ac:dyDescent="0.2">
      <c r="A1252" t="s">
        <v>4536</v>
      </c>
      <c r="B1252" t="s">
        <v>2611</v>
      </c>
      <c r="C1252" t="s">
        <v>4791</v>
      </c>
      <c r="D1252" t="s">
        <v>4792</v>
      </c>
      <c r="E1252" t="s">
        <v>4793</v>
      </c>
      <c r="F1252" t="s">
        <v>180</v>
      </c>
      <c r="G1252" t="str">
        <f>HYPERLINK("https://4pda.to/forum/index.php?showtopic=112900&amp;st=62020#entry108143694")</f>
        <v>https://4pda.to/forum/index.php?showtopic=112900&amp;st=62020#entry108143694</v>
      </c>
      <c r="H1252" t="s">
        <v>119</v>
      </c>
      <c r="I1252" t="s">
        <v>4794</v>
      </c>
      <c r="J1252" t="str">
        <f>HYPERLINK("https://4pda.to/forum/index.php?showuser=4648053")</f>
        <v>https://4pda.to/forum/index.php?showuser=4648053</v>
      </c>
      <c r="N1252" t="s">
        <v>293</v>
      </c>
      <c r="O1252" t="s">
        <v>4795</v>
      </c>
      <c r="P1252" t="str">
        <f>HYPERLINK("https://4pda.to/forum/index.php?showforum=282")</f>
        <v>https://4pda.to/forum/index.php?showforum=282</v>
      </c>
      <c r="R1252" t="s">
        <v>295</v>
      </c>
      <c r="S1252" t="s">
        <v>125</v>
      </c>
      <c r="AM1252" t="s">
        <v>129</v>
      </c>
      <c r="AN1252" t="s">
        <v>130</v>
      </c>
      <c r="AP1252" t="s">
        <v>41</v>
      </c>
      <c r="AZ1252" t="s">
        <v>51</v>
      </c>
      <c r="BA1252" t="s">
        <v>52</v>
      </c>
      <c r="BK1252" t="s">
        <v>62</v>
      </c>
    </row>
    <row r="1253" spans="1:69" x14ac:dyDescent="0.2">
      <c r="A1253" t="s">
        <v>4536</v>
      </c>
      <c r="B1253" t="s">
        <v>4796</v>
      </c>
      <c r="C1253" t="s">
        <v>4797</v>
      </c>
      <c r="D1253" t="s">
        <v>4564</v>
      </c>
      <c r="E1253" t="s">
        <v>4798</v>
      </c>
      <c r="F1253" t="s">
        <v>180</v>
      </c>
      <c r="G1253" t="str">
        <f>HYPERLINK("https://otzovik.com/review_12203442.html")</f>
        <v>https://otzovik.com/review_12203442.html</v>
      </c>
      <c r="H1253" t="s">
        <v>228</v>
      </c>
      <c r="I1253" t="s">
        <v>4603</v>
      </c>
      <c r="J1253" t="str">
        <f>HYPERLINK("http://otzovik.com/profile/СВладимировна")</f>
        <v>http://otzovik.com/profile/СВладимировна</v>
      </c>
      <c r="N1253" t="s">
        <v>390</v>
      </c>
      <c r="O1253" t="s">
        <v>1067</v>
      </c>
      <c r="P1253" t="str">
        <f>HYPERLINK("https://otzovik.com/reviews/sputnikovoe_televidenie_trikolor_tv/")</f>
        <v>https://otzovik.com/reviews/sputnikovoe_televidenie_trikolor_tv/</v>
      </c>
      <c r="R1253" t="s">
        <v>184</v>
      </c>
      <c r="S1253" t="s">
        <v>125</v>
      </c>
      <c r="T1253" t="s">
        <v>2225</v>
      </c>
      <c r="U1253" t="s">
        <v>2861</v>
      </c>
      <c r="W1253">
        <v>1</v>
      </c>
      <c r="X1253">
        <v>1</v>
      </c>
      <c r="AE1253">
        <v>0</v>
      </c>
      <c r="AH1253">
        <v>1</v>
      </c>
      <c r="AM1253" t="s">
        <v>129</v>
      </c>
      <c r="AN1253" t="s">
        <v>130</v>
      </c>
      <c r="AP1253" t="s">
        <v>41</v>
      </c>
      <c r="AZ1253" t="s">
        <v>51</v>
      </c>
      <c r="BA1253" t="s">
        <v>52</v>
      </c>
      <c r="BL1253" t="s">
        <v>63</v>
      </c>
    </row>
    <row r="1254" spans="1:69" x14ac:dyDescent="0.2">
      <c r="A1254" t="s">
        <v>4536</v>
      </c>
      <c r="B1254" t="s">
        <v>4799</v>
      </c>
      <c r="C1254" t="s">
        <v>4800</v>
      </c>
      <c r="D1254" t="s">
        <v>4801</v>
      </c>
      <c r="E1254" t="s">
        <v>4802</v>
      </c>
      <c r="F1254" t="s">
        <v>118</v>
      </c>
      <c r="G1254" t="str">
        <f>HYPERLINK("https://vk.com/wall-65700701_2134158?reply=2134289")</f>
        <v>https://vk.com/wall-65700701_2134158?reply=2134289</v>
      </c>
      <c r="H1254" t="s">
        <v>228</v>
      </c>
      <c r="I1254" t="s">
        <v>4803</v>
      </c>
      <c r="J1254" t="str">
        <f>HYPERLINK("http://vk.com/id359927908")</f>
        <v>http://vk.com/id359927908</v>
      </c>
      <c r="K1254">
        <v>146</v>
      </c>
      <c r="L1254" t="s">
        <v>151</v>
      </c>
      <c r="M1254">
        <v>36</v>
      </c>
      <c r="N1254" t="s">
        <v>122</v>
      </c>
      <c r="O1254" t="s">
        <v>4804</v>
      </c>
      <c r="P1254" t="str">
        <f>HYPERLINK("http://vk.com/club65700701")</f>
        <v>http://vk.com/club65700701</v>
      </c>
      <c r="Q1254">
        <v>42993</v>
      </c>
      <c r="R1254" t="s">
        <v>124</v>
      </c>
      <c r="S1254" t="s">
        <v>125</v>
      </c>
      <c r="AM1254" t="s">
        <v>129</v>
      </c>
      <c r="AN1254" t="s">
        <v>130</v>
      </c>
      <c r="AP1254" t="s">
        <v>41</v>
      </c>
      <c r="AW1254" t="s">
        <v>48</v>
      </c>
      <c r="AZ1254" t="s">
        <v>51</v>
      </c>
      <c r="BA1254" t="s">
        <v>52</v>
      </c>
    </row>
    <row r="1255" spans="1:69" x14ac:dyDescent="0.2">
      <c r="A1255" t="s">
        <v>4536</v>
      </c>
      <c r="B1255" t="s">
        <v>1072</v>
      </c>
      <c r="C1255" t="s">
        <v>4805</v>
      </c>
      <c r="D1255" t="s">
        <v>4806</v>
      </c>
      <c r="E1255" t="s">
        <v>4807</v>
      </c>
      <c r="F1255" t="s">
        <v>118</v>
      </c>
      <c r="G1255" t="str">
        <f>HYPERLINK("https://vk.com/wall-22935147_368585?reply=368602")</f>
        <v>https://vk.com/wall-22935147_368585?reply=368602</v>
      </c>
      <c r="H1255" t="s">
        <v>181</v>
      </c>
      <c r="I1255" t="s">
        <v>4808</v>
      </c>
      <c r="J1255" t="str">
        <f>HYPERLINK("http://vk.com/id63690020")</f>
        <v>http://vk.com/id63690020</v>
      </c>
      <c r="K1255">
        <v>183</v>
      </c>
      <c r="L1255" t="s">
        <v>151</v>
      </c>
      <c r="N1255" t="s">
        <v>122</v>
      </c>
      <c r="O1255" t="s">
        <v>1093</v>
      </c>
      <c r="P1255" t="str">
        <f>HYPERLINK("http://vk.com/club22935147")</f>
        <v>http://vk.com/club22935147</v>
      </c>
      <c r="Q1255">
        <v>8943</v>
      </c>
      <c r="R1255" t="s">
        <v>124</v>
      </c>
      <c r="S1255" t="s">
        <v>125</v>
      </c>
      <c r="T1255" t="s">
        <v>169</v>
      </c>
      <c r="U1255" t="s">
        <v>169</v>
      </c>
      <c r="W1255">
        <v>0</v>
      </c>
      <c r="X1255">
        <v>0</v>
      </c>
      <c r="AM1255" t="s">
        <v>129</v>
      </c>
      <c r="AN1255" t="s">
        <v>130</v>
      </c>
      <c r="AP1255" t="s">
        <v>41</v>
      </c>
      <c r="AT1255" t="s">
        <v>45</v>
      </c>
      <c r="AZ1255" t="s">
        <v>51</v>
      </c>
      <c r="BA1255" t="s">
        <v>52</v>
      </c>
      <c r="BL1255" t="s">
        <v>63</v>
      </c>
    </row>
    <row r="1256" spans="1:69" x14ac:dyDescent="0.2">
      <c r="A1256" t="s">
        <v>4536</v>
      </c>
      <c r="B1256" t="s">
        <v>1630</v>
      </c>
      <c r="C1256" t="s">
        <v>4809</v>
      </c>
      <c r="D1256" t="s">
        <v>4810</v>
      </c>
      <c r="E1256" t="s">
        <v>4811</v>
      </c>
      <c r="F1256" t="s">
        <v>118</v>
      </c>
      <c r="G1256" t="str">
        <f>HYPERLINK("https://telegram.me/modem_ca_chat/45530")</f>
        <v>https://telegram.me/modem_ca_chat/45530</v>
      </c>
      <c r="H1256" t="s">
        <v>228</v>
      </c>
      <c r="I1256" t="s">
        <v>4812</v>
      </c>
      <c r="J1256" t="str">
        <f>HYPERLINK("https://telegram.me/neveri4")</f>
        <v>https://telegram.me/neveri4</v>
      </c>
      <c r="L1256" t="s">
        <v>121</v>
      </c>
      <c r="N1256" t="s">
        <v>143</v>
      </c>
      <c r="O1256" t="s">
        <v>4813</v>
      </c>
      <c r="P1256" t="str">
        <f>HYPERLINK("https://telegram.me/modem_ca_chat")</f>
        <v>https://telegram.me/modem_ca_chat</v>
      </c>
      <c r="Q1256">
        <v>220</v>
      </c>
      <c r="R1256" t="s">
        <v>145</v>
      </c>
      <c r="AM1256" t="s">
        <v>129</v>
      </c>
      <c r="AN1256" t="s">
        <v>130</v>
      </c>
      <c r="AP1256" t="s">
        <v>41</v>
      </c>
      <c r="AT1256" t="s">
        <v>45</v>
      </c>
      <c r="AZ1256" t="s">
        <v>51</v>
      </c>
      <c r="BA1256" t="s">
        <v>52</v>
      </c>
      <c r="BL1256" t="s">
        <v>63</v>
      </c>
    </row>
    <row r="1257" spans="1:69" x14ac:dyDescent="0.2">
      <c r="A1257" t="s">
        <v>4536</v>
      </c>
      <c r="B1257" t="s">
        <v>526</v>
      </c>
      <c r="C1257" t="s">
        <v>4814</v>
      </c>
      <c r="D1257" t="s">
        <v>4815</v>
      </c>
      <c r="E1257" t="s">
        <v>4816</v>
      </c>
      <c r="F1257" t="s">
        <v>118</v>
      </c>
      <c r="G1257" t="str">
        <f>HYPERLINK("https://vk.com/wall-194033408_9834?reply=9839")</f>
        <v>https://vk.com/wall-194033408_9834?reply=9839</v>
      </c>
      <c r="H1257" t="s">
        <v>119</v>
      </c>
      <c r="I1257" t="s">
        <v>4817</v>
      </c>
      <c r="J1257" t="str">
        <f>HYPERLINK("http://vk.com/id2288882")</f>
        <v>http://vk.com/id2288882</v>
      </c>
      <c r="K1257">
        <v>604</v>
      </c>
      <c r="L1257" t="s">
        <v>121</v>
      </c>
      <c r="N1257" t="s">
        <v>122</v>
      </c>
      <c r="O1257" t="s">
        <v>4818</v>
      </c>
      <c r="P1257" t="str">
        <f>HYPERLINK("http://vk.com/club194033408")</f>
        <v>http://vk.com/club194033408</v>
      </c>
      <c r="Q1257">
        <v>1986</v>
      </c>
      <c r="R1257" t="s">
        <v>124</v>
      </c>
      <c r="S1257" t="s">
        <v>125</v>
      </c>
      <c r="AM1257" t="s">
        <v>129</v>
      </c>
      <c r="AN1257" t="s">
        <v>130</v>
      </c>
      <c r="AP1257" t="s">
        <v>41</v>
      </c>
      <c r="AT1257" t="s">
        <v>45</v>
      </c>
      <c r="AY1257" t="s">
        <v>50</v>
      </c>
      <c r="AZ1257" t="s">
        <v>51</v>
      </c>
      <c r="BA1257" t="s">
        <v>52</v>
      </c>
    </row>
    <row r="1258" spans="1:69" x14ac:dyDescent="0.2">
      <c r="A1258" t="s">
        <v>4536</v>
      </c>
      <c r="B1258" t="s">
        <v>526</v>
      </c>
      <c r="C1258" t="s">
        <v>4819</v>
      </c>
      <c r="D1258" t="s">
        <v>2001</v>
      </c>
      <c r="E1258" t="s">
        <v>4820</v>
      </c>
      <c r="F1258" t="s">
        <v>118</v>
      </c>
      <c r="G1258" t="str">
        <f>HYPERLINK("https://vk.com/wall-27863223_291925?reply=292038")</f>
        <v>https://vk.com/wall-27863223_291925?reply=292038</v>
      </c>
      <c r="H1258" t="s">
        <v>228</v>
      </c>
      <c r="I1258" t="s">
        <v>4670</v>
      </c>
      <c r="J1258" t="str">
        <f>HYPERLINK("http://vk.com/id109553233")</f>
        <v>http://vk.com/id109553233</v>
      </c>
      <c r="K1258">
        <v>146</v>
      </c>
      <c r="L1258" t="s">
        <v>121</v>
      </c>
      <c r="N1258" t="s">
        <v>122</v>
      </c>
      <c r="O1258" t="s">
        <v>175</v>
      </c>
      <c r="P1258" t="str">
        <f>HYPERLINK("http://vk.com/club27863223")</f>
        <v>http://vk.com/club27863223</v>
      </c>
      <c r="Q1258">
        <v>134698</v>
      </c>
      <c r="R1258" t="s">
        <v>124</v>
      </c>
      <c r="S1258" t="s">
        <v>125</v>
      </c>
      <c r="T1258" t="s">
        <v>1229</v>
      </c>
      <c r="U1258" t="s">
        <v>4671</v>
      </c>
      <c r="W1258">
        <v>0</v>
      </c>
      <c r="X1258">
        <v>0</v>
      </c>
      <c r="AM1258" t="s">
        <v>129</v>
      </c>
      <c r="AN1258" t="s">
        <v>130</v>
      </c>
      <c r="AP1258" t="s">
        <v>41</v>
      </c>
      <c r="AU1258" t="s">
        <v>46</v>
      </c>
      <c r="AY1258" t="s">
        <v>50</v>
      </c>
      <c r="AZ1258" t="s">
        <v>51</v>
      </c>
      <c r="BA1258" t="s">
        <v>52</v>
      </c>
    </row>
    <row r="1259" spans="1:69" x14ac:dyDescent="0.2">
      <c r="A1259" t="s">
        <v>4536</v>
      </c>
      <c r="B1259" t="s">
        <v>4821</v>
      </c>
      <c r="C1259" t="s">
        <v>4819</v>
      </c>
      <c r="D1259" t="s">
        <v>226</v>
      </c>
      <c r="E1259" t="s">
        <v>4822</v>
      </c>
      <c r="F1259" t="s">
        <v>118</v>
      </c>
      <c r="G1259" t="str">
        <f>HYPERLINK("https://vk.com/wall-27863223_291992?reply=292036")</f>
        <v>https://vk.com/wall-27863223_291992?reply=292036</v>
      </c>
      <c r="H1259" t="s">
        <v>119</v>
      </c>
      <c r="I1259" t="s">
        <v>4823</v>
      </c>
      <c r="J1259" t="str">
        <f>HYPERLINK("http://vk.com/id547815060")</f>
        <v>http://vk.com/id547815060</v>
      </c>
      <c r="L1259" t="s">
        <v>151</v>
      </c>
      <c r="N1259" t="s">
        <v>122</v>
      </c>
      <c r="O1259" t="s">
        <v>175</v>
      </c>
      <c r="P1259" t="str">
        <f>HYPERLINK("http://vk.com/club27863223")</f>
        <v>http://vk.com/club27863223</v>
      </c>
      <c r="Q1259">
        <v>134698</v>
      </c>
      <c r="R1259" t="s">
        <v>124</v>
      </c>
      <c r="S1259" t="s">
        <v>125</v>
      </c>
      <c r="T1259" t="s">
        <v>161</v>
      </c>
      <c r="U1259" t="s">
        <v>4824</v>
      </c>
      <c r="W1259">
        <v>0</v>
      </c>
      <c r="X1259">
        <v>0</v>
      </c>
      <c r="AM1259" t="s">
        <v>129</v>
      </c>
      <c r="AN1259" t="s">
        <v>130</v>
      </c>
      <c r="AP1259" t="s">
        <v>41</v>
      </c>
      <c r="AU1259" t="s">
        <v>46</v>
      </c>
      <c r="AZ1259" t="s">
        <v>51</v>
      </c>
      <c r="BA1259" t="s">
        <v>52</v>
      </c>
    </row>
    <row r="1260" spans="1:69" x14ac:dyDescent="0.2">
      <c r="A1260" t="s">
        <v>4536</v>
      </c>
      <c r="B1260" t="s">
        <v>4825</v>
      </c>
      <c r="C1260" t="s">
        <v>4826</v>
      </c>
      <c r="D1260" t="s">
        <v>4827</v>
      </c>
      <c r="E1260" t="s">
        <v>4828</v>
      </c>
      <c r="F1260" t="s">
        <v>118</v>
      </c>
      <c r="G1260" t="str">
        <f>HYPERLINK("https://www.youtube.com/watch?v=9KpHtpB2yCs&amp;lc=UgwTq-WNpqj9RHj11_Z4AaABAg")</f>
        <v>https://www.youtube.com/watch?v=9KpHtpB2yCs&amp;lc=UgwTq-WNpqj9RHj11_Z4AaABAg</v>
      </c>
      <c r="H1260" t="s">
        <v>119</v>
      </c>
      <c r="I1260" t="s">
        <v>4829</v>
      </c>
      <c r="J1260" t="str">
        <f>HYPERLINK("https://www.youtube.com/channel/UC1kJKyip9OpHSeMn1i4al6A")</f>
        <v>https://www.youtube.com/channel/UC1kJKyip9OpHSeMn1i4al6A</v>
      </c>
      <c r="K1260">
        <v>0</v>
      </c>
      <c r="L1260" t="s">
        <v>151</v>
      </c>
      <c r="N1260" t="s">
        <v>248</v>
      </c>
      <c r="O1260" t="s">
        <v>4830</v>
      </c>
      <c r="P1260" t="str">
        <f>HYPERLINK("https://www.youtube.com/channel/UC2KPugVH-BPDAwxTDMdMcug")</f>
        <v>https://www.youtube.com/channel/UC2KPugVH-BPDAwxTDMdMcug</v>
      </c>
      <c r="Q1260">
        <v>278000</v>
      </c>
      <c r="R1260" t="s">
        <v>124</v>
      </c>
      <c r="S1260" t="s">
        <v>125</v>
      </c>
      <c r="W1260">
        <v>2</v>
      </c>
      <c r="X1260">
        <v>2</v>
      </c>
      <c r="AE1260">
        <v>0</v>
      </c>
      <c r="AM1260" t="s">
        <v>129</v>
      </c>
      <c r="AN1260" t="s">
        <v>130</v>
      </c>
      <c r="AP1260" t="s">
        <v>41</v>
      </c>
      <c r="AY1260" t="s">
        <v>50</v>
      </c>
      <c r="AZ1260" t="s">
        <v>51</v>
      </c>
      <c r="BA1260" t="s">
        <v>52</v>
      </c>
    </row>
    <row r="1261" spans="1:69" x14ac:dyDescent="0.2">
      <c r="A1261" t="s">
        <v>4536</v>
      </c>
      <c r="B1261" t="s">
        <v>1085</v>
      </c>
      <c r="C1261" t="s">
        <v>4831</v>
      </c>
      <c r="D1261" t="s">
        <v>4832</v>
      </c>
      <c r="E1261" t="s">
        <v>4833</v>
      </c>
      <c r="F1261" t="s">
        <v>118</v>
      </c>
      <c r="G1261" t="str">
        <f>HYPERLINK("https://vk.com/wall-62857360_493581?reply=493598")</f>
        <v>https://vk.com/wall-62857360_493581?reply=493598</v>
      </c>
      <c r="H1261" t="s">
        <v>181</v>
      </c>
      <c r="I1261" t="s">
        <v>4834</v>
      </c>
      <c r="J1261" t="str">
        <f>HYPERLINK("http://vk.com/id5826244")</f>
        <v>http://vk.com/id5826244</v>
      </c>
      <c r="K1261">
        <v>30</v>
      </c>
      <c r="L1261" t="s">
        <v>151</v>
      </c>
      <c r="N1261" t="s">
        <v>122</v>
      </c>
      <c r="O1261" t="s">
        <v>4835</v>
      </c>
      <c r="P1261" t="str">
        <f>HYPERLINK("http://vk.com/club62857360")</f>
        <v>http://vk.com/club62857360</v>
      </c>
      <c r="Q1261">
        <v>11156</v>
      </c>
      <c r="R1261" t="s">
        <v>124</v>
      </c>
      <c r="S1261" t="s">
        <v>125</v>
      </c>
      <c r="T1261" t="s">
        <v>4836</v>
      </c>
      <c r="U1261" t="s">
        <v>4837</v>
      </c>
      <c r="AM1261" t="s">
        <v>129</v>
      </c>
      <c r="AN1261" t="s">
        <v>130</v>
      </c>
      <c r="AP1261" t="s">
        <v>41</v>
      </c>
      <c r="AZ1261" t="s">
        <v>51</v>
      </c>
      <c r="BA1261" t="s">
        <v>52</v>
      </c>
    </row>
    <row r="1262" spans="1:69" x14ac:dyDescent="0.2">
      <c r="A1262" t="s">
        <v>4536</v>
      </c>
      <c r="B1262" t="s">
        <v>550</v>
      </c>
      <c r="C1262" t="s">
        <v>4838</v>
      </c>
      <c r="D1262" t="s">
        <v>4609</v>
      </c>
      <c r="E1262" t="s">
        <v>4839</v>
      </c>
      <c r="F1262" t="s">
        <v>118</v>
      </c>
      <c r="G1262" t="str">
        <f>HYPERLINK("https://pikabu.ru/story/trikolor_tv_reklamnyiy_baner_kotoryiy_besitmalenkiy_layfkhak_8353681?cid=206851015")</f>
        <v>https://pikabu.ru/story/trikolor_tv_reklamnyiy_baner_kotoryiy_besitmalenkiy_layfkhak_8353681?cid=206851015</v>
      </c>
      <c r="H1262" t="s">
        <v>228</v>
      </c>
      <c r="I1262" t="s">
        <v>4840</v>
      </c>
      <c r="J1262" t="str">
        <f>HYPERLINK("http://pikabu.ru/profile/5yoda5")</f>
        <v>http://pikabu.ru/profile/5yoda5</v>
      </c>
      <c r="N1262" t="s">
        <v>402</v>
      </c>
      <c r="O1262" t="s">
        <v>4612</v>
      </c>
      <c r="P1262" t="str">
        <f>HYPERLINK("http://pikabu.ru/profile/Soonk80")</f>
        <v>http://pikabu.ru/profile/Soonk80</v>
      </c>
      <c r="R1262" t="s">
        <v>404</v>
      </c>
      <c r="AM1262" t="s">
        <v>129</v>
      </c>
      <c r="AN1262" t="s">
        <v>130</v>
      </c>
      <c r="AP1262" t="s">
        <v>41</v>
      </c>
      <c r="AT1262" t="s">
        <v>45</v>
      </c>
      <c r="AW1262" t="s">
        <v>48</v>
      </c>
      <c r="AZ1262" t="s">
        <v>51</v>
      </c>
      <c r="BA1262" t="s">
        <v>52</v>
      </c>
      <c r="BL1262" t="s">
        <v>63</v>
      </c>
    </row>
    <row r="1263" spans="1:69" x14ac:dyDescent="0.2">
      <c r="A1263" t="s">
        <v>4536</v>
      </c>
      <c r="B1263" t="s">
        <v>553</v>
      </c>
      <c r="C1263" t="s">
        <v>4841</v>
      </c>
      <c r="D1263" t="s">
        <v>3580</v>
      </c>
      <c r="E1263" t="s">
        <v>4842</v>
      </c>
      <c r="F1263" t="s">
        <v>118</v>
      </c>
      <c r="G1263" t="str">
        <f>HYPERLINK("https://vk.com/wall-104292825_852703?reply=852791&amp;thread=852734")</f>
        <v>https://vk.com/wall-104292825_852703?reply=852791&amp;thread=852734</v>
      </c>
      <c r="H1263" t="s">
        <v>119</v>
      </c>
      <c r="I1263" t="s">
        <v>4540</v>
      </c>
      <c r="J1263" t="str">
        <f>HYPERLINK("http://vk.com/id465072049")</f>
        <v>http://vk.com/id465072049</v>
      </c>
      <c r="K1263">
        <v>218</v>
      </c>
      <c r="L1263" t="s">
        <v>121</v>
      </c>
      <c r="N1263" t="s">
        <v>122</v>
      </c>
      <c r="O1263" t="s">
        <v>3583</v>
      </c>
      <c r="P1263" t="str">
        <f>HYPERLINK("http://vk.com/club104292825")</f>
        <v>http://vk.com/club104292825</v>
      </c>
      <c r="Q1263">
        <v>27863</v>
      </c>
      <c r="R1263" t="s">
        <v>124</v>
      </c>
      <c r="S1263" t="s">
        <v>125</v>
      </c>
      <c r="T1263" t="s">
        <v>627</v>
      </c>
      <c r="U1263" t="s">
        <v>3584</v>
      </c>
      <c r="AM1263" t="s">
        <v>129</v>
      </c>
      <c r="AN1263" t="s">
        <v>130</v>
      </c>
      <c r="AP1263" t="s">
        <v>41</v>
      </c>
      <c r="AW1263" t="s">
        <v>48</v>
      </c>
      <c r="AY1263" t="s">
        <v>50</v>
      </c>
      <c r="AZ1263" t="s">
        <v>51</v>
      </c>
      <c r="BA1263" t="s">
        <v>52</v>
      </c>
    </row>
    <row r="1264" spans="1:69" x14ac:dyDescent="0.2">
      <c r="A1264" t="s">
        <v>4536</v>
      </c>
      <c r="B1264" t="s">
        <v>1671</v>
      </c>
      <c r="C1264" t="s">
        <v>4843</v>
      </c>
      <c r="D1264" t="s">
        <v>204</v>
      </c>
      <c r="E1264" t="s">
        <v>4844</v>
      </c>
      <c r="F1264" t="s">
        <v>180</v>
      </c>
      <c r="G1264" t="str">
        <f>HYPERLINK("https://play.google.com/store/apps/details?id=ru.iflex.android.a3colortv&amp;reviewId=gp:AOqpTOGNQM4wMky7izXHekhejhOOXPHkogyMI9-bjfE9-mqY0pX0mWXAHcCsSHcitx64246mTKJVAnS6KwnPbA")</f>
        <v>https://play.google.com/store/apps/details?id=ru.iflex.android.a3colortv&amp;reviewId=gp:AOqpTOGNQM4wMky7izXHekhejhOOXPHkogyMI9-bjfE9-mqY0pX0mWXAHcCsSHcitx64246mTKJVAnS6KwnPbA</v>
      </c>
      <c r="H1264" t="s">
        <v>181</v>
      </c>
      <c r="I1264" t="s">
        <v>4845</v>
      </c>
      <c r="J1264" t="str">
        <f>HYPERLINK("https://plus.google.com/117169596043228627214")</f>
        <v>https://plus.google.com/117169596043228627214</v>
      </c>
      <c r="L1264" t="s">
        <v>121</v>
      </c>
      <c r="N1264" t="s">
        <v>207</v>
      </c>
      <c r="O1264" t="s">
        <v>204</v>
      </c>
      <c r="P1264" t="str">
        <f>HYPERLINK("https://play.google.com/store/apps/details?id=ru.iflex.android.a3colortv&amp;hl=ru")</f>
        <v>https://play.google.com/store/apps/details?id=ru.iflex.android.a3colortv&amp;hl=ru</v>
      </c>
      <c r="R1264" t="s">
        <v>184</v>
      </c>
      <c r="S1264" t="s">
        <v>125</v>
      </c>
      <c r="W1264">
        <v>0</v>
      </c>
      <c r="X1264">
        <v>0</v>
      </c>
      <c r="AH1264">
        <v>5</v>
      </c>
      <c r="AM1264" t="s">
        <v>129</v>
      </c>
      <c r="AN1264" t="s">
        <v>130</v>
      </c>
      <c r="AP1264" t="s">
        <v>41</v>
      </c>
      <c r="AZ1264" t="s">
        <v>51</v>
      </c>
      <c r="BA1264" t="s">
        <v>52</v>
      </c>
      <c r="BQ1264" t="s">
        <v>68</v>
      </c>
    </row>
    <row r="1265" spans="1:69" x14ac:dyDescent="0.2">
      <c r="A1265" t="s">
        <v>4536</v>
      </c>
      <c r="B1265" t="s">
        <v>1673</v>
      </c>
      <c r="C1265" t="s">
        <v>4846</v>
      </c>
      <c r="D1265" t="s">
        <v>4697</v>
      </c>
      <c r="E1265" t="s">
        <v>4847</v>
      </c>
      <c r="F1265" t="s">
        <v>118</v>
      </c>
      <c r="G1265" t="str">
        <f>HYPERLINK("https://vk.com/wall-22935147_368574?reply=368598&amp;thread=368576")</f>
        <v>https://vk.com/wall-22935147_368574?reply=368598&amp;thread=368576</v>
      </c>
      <c r="H1265" t="s">
        <v>181</v>
      </c>
      <c r="I1265" t="s">
        <v>4848</v>
      </c>
      <c r="J1265" t="str">
        <f>HYPERLINK("http://vk.com/id594875318")</f>
        <v>http://vk.com/id594875318</v>
      </c>
      <c r="K1265">
        <v>27</v>
      </c>
      <c r="L1265" t="s">
        <v>121</v>
      </c>
      <c r="M1265">
        <v>36</v>
      </c>
      <c r="N1265" t="s">
        <v>122</v>
      </c>
      <c r="O1265" t="s">
        <v>1093</v>
      </c>
      <c r="P1265" t="str">
        <f>HYPERLINK("http://vk.com/club22935147")</f>
        <v>http://vk.com/club22935147</v>
      </c>
      <c r="Q1265">
        <v>8943</v>
      </c>
      <c r="R1265" t="s">
        <v>124</v>
      </c>
      <c r="S1265" t="s">
        <v>125</v>
      </c>
      <c r="AM1265" t="s">
        <v>129</v>
      </c>
      <c r="AN1265" t="s">
        <v>130</v>
      </c>
      <c r="AP1265" t="s">
        <v>41</v>
      </c>
      <c r="AU1265" t="s">
        <v>46</v>
      </c>
      <c r="AZ1265" t="s">
        <v>51</v>
      </c>
      <c r="BA1265" t="s">
        <v>52</v>
      </c>
    </row>
    <row r="1266" spans="1:69" x14ac:dyDescent="0.2">
      <c r="A1266" t="s">
        <v>4536</v>
      </c>
      <c r="B1266" t="s">
        <v>4849</v>
      </c>
      <c r="C1266" t="s">
        <v>4846</v>
      </c>
      <c r="D1266" t="s">
        <v>4505</v>
      </c>
      <c r="E1266" t="s">
        <v>4850</v>
      </c>
      <c r="F1266" t="s">
        <v>118</v>
      </c>
      <c r="G1266" t="str">
        <f>HYPERLINK("https://vk.com/wall-22935147_368528?w=wall-22935147_368528_r368597")</f>
        <v>https://vk.com/wall-22935147_368528?w=wall-22935147_368528_r368597</v>
      </c>
      <c r="H1266" t="s">
        <v>119</v>
      </c>
      <c r="I1266" t="s">
        <v>4848</v>
      </c>
      <c r="J1266" t="str">
        <f>HYPERLINK("http://vk.com/id594875318")</f>
        <v>http://vk.com/id594875318</v>
      </c>
      <c r="K1266">
        <v>27</v>
      </c>
      <c r="L1266" t="s">
        <v>121</v>
      </c>
      <c r="M1266">
        <v>36</v>
      </c>
      <c r="N1266" t="s">
        <v>122</v>
      </c>
      <c r="O1266" t="s">
        <v>1093</v>
      </c>
      <c r="P1266" t="str">
        <f>HYPERLINK("http://vk.com/club22935147")</f>
        <v>http://vk.com/club22935147</v>
      </c>
      <c r="Q1266">
        <v>8943</v>
      </c>
      <c r="R1266" t="s">
        <v>124</v>
      </c>
      <c r="S1266" t="s">
        <v>125</v>
      </c>
      <c r="W1266">
        <v>0</v>
      </c>
      <c r="X1266">
        <v>0</v>
      </c>
      <c r="AM1266" t="s">
        <v>129</v>
      </c>
      <c r="AN1266" t="s">
        <v>130</v>
      </c>
      <c r="AP1266" t="s">
        <v>41</v>
      </c>
      <c r="AY1266" t="s">
        <v>50</v>
      </c>
      <c r="AZ1266" t="s">
        <v>51</v>
      </c>
      <c r="BA1266" t="s">
        <v>52</v>
      </c>
    </row>
    <row r="1267" spans="1:69" x14ac:dyDescent="0.2">
      <c r="A1267" t="s">
        <v>4536</v>
      </c>
      <c r="B1267" t="s">
        <v>4851</v>
      </c>
      <c r="C1267" t="s">
        <v>4852</v>
      </c>
      <c r="D1267" t="s">
        <v>4710</v>
      </c>
      <c r="E1267" t="s">
        <v>4853</v>
      </c>
      <c r="F1267" t="s">
        <v>180</v>
      </c>
      <c r="G1267" t="str">
        <f>HYPERLINK("https://www.ozon.ru/context/detail/id/226603194/#61204885")</f>
        <v>https://www.ozon.ru/context/detail/id/226603194/#61204885</v>
      </c>
      <c r="H1267" t="s">
        <v>181</v>
      </c>
      <c r="I1267" t="s">
        <v>4854</v>
      </c>
      <c r="J1267" t="str">
        <f>HYPERLINK("https://www.ozon.ru/context/client_opinion/ClientGuid/2c06f2e2-23d7-4a29-b39f-e813fa054cf4/")</f>
        <v>https://www.ozon.ru/context/client_opinion/ClientGuid/2c06f2e2-23d7-4a29-b39f-e813fa054cf4/</v>
      </c>
      <c r="L1267" t="s">
        <v>151</v>
      </c>
      <c r="N1267" t="s">
        <v>183</v>
      </c>
      <c r="O1267" t="s">
        <v>4710</v>
      </c>
      <c r="P1267" t="str">
        <f>HYPERLINK("https://www.ozon.ru/context/detail/id/226603194/")</f>
        <v>https://www.ozon.ru/context/detail/id/226603194/</v>
      </c>
      <c r="R1267" t="s">
        <v>184</v>
      </c>
      <c r="S1267" t="s">
        <v>125</v>
      </c>
      <c r="W1267">
        <v>0</v>
      </c>
      <c r="X1267">
        <v>0</v>
      </c>
      <c r="AH1267">
        <v>5</v>
      </c>
      <c r="AJ1267" t="s">
        <v>129</v>
      </c>
      <c r="AK1267" t="s">
        <v>129</v>
      </c>
      <c r="AL1267" t="str">
        <f>HYPERLINK("https://cdn1.ozone.ru/s3/rp-photo-1/5b94c0dd-fe8f-49d0-94cf-d5cd9ddacd18.jpeg")</f>
        <v>https://cdn1.ozone.ru/s3/rp-photo-1/5b94c0dd-fe8f-49d0-94cf-d5cd9ddacd18.jpeg</v>
      </c>
      <c r="AM1267" t="s">
        <v>129</v>
      </c>
      <c r="AN1267" t="s">
        <v>130</v>
      </c>
      <c r="AP1267" t="s">
        <v>41</v>
      </c>
      <c r="AT1267" t="s">
        <v>45</v>
      </c>
      <c r="AZ1267" t="s">
        <v>51</v>
      </c>
      <c r="BA1267" t="s">
        <v>52</v>
      </c>
    </row>
    <row r="1268" spans="1:69" x14ac:dyDescent="0.2">
      <c r="A1268" t="s">
        <v>4536</v>
      </c>
      <c r="B1268" t="s">
        <v>4851</v>
      </c>
      <c r="C1268" t="s">
        <v>4855</v>
      </c>
      <c r="D1268" t="s">
        <v>4609</v>
      </c>
      <c r="E1268" t="s">
        <v>4856</v>
      </c>
      <c r="F1268" t="s">
        <v>118</v>
      </c>
      <c r="G1268" t="str">
        <f>HYPERLINK("https://pikabu.ru/story/trikolor_tv_reklamnyiy_baner_kotoryiy_besitmalenkiy_layfkhak_8353681?cid=206849329")</f>
        <v>https://pikabu.ru/story/trikolor_tv_reklamnyiy_baner_kotoryiy_besitmalenkiy_layfkhak_8353681?cid=206849329</v>
      </c>
      <c r="H1268" t="s">
        <v>181</v>
      </c>
      <c r="I1268" t="s">
        <v>4857</v>
      </c>
      <c r="J1268" t="str">
        <f>HYPERLINK("http://pikabu.ru/profile/Zhahooovsky")</f>
        <v>http://pikabu.ru/profile/Zhahooovsky</v>
      </c>
      <c r="N1268" t="s">
        <v>402</v>
      </c>
      <c r="O1268" t="s">
        <v>4612</v>
      </c>
      <c r="P1268" t="str">
        <f>HYPERLINK("http://pikabu.ru/profile/Soonk80")</f>
        <v>http://pikabu.ru/profile/Soonk80</v>
      </c>
      <c r="R1268" t="s">
        <v>404</v>
      </c>
      <c r="AM1268" t="s">
        <v>129</v>
      </c>
      <c r="AN1268" t="s">
        <v>130</v>
      </c>
      <c r="AP1268" t="s">
        <v>41</v>
      </c>
      <c r="AY1268" t="s">
        <v>50</v>
      </c>
      <c r="AZ1268" t="s">
        <v>51</v>
      </c>
      <c r="BA1268" t="s">
        <v>52</v>
      </c>
    </row>
    <row r="1269" spans="1:69" x14ac:dyDescent="0.2">
      <c r="A1269" t="s">
        <v>4536</v>
      </c>
      <c r="B1269" t="s">
        <v>4858</v>
      </c>
      <c r="C1269" t="s">
        <v>4855</v>
      </c>
      <c r="D1269" t="s">
        <v>4609</v>
      </c>
      <c r="E1269" t="s">
        <v>4859</v>
      </c>
      <c r="F1269" t="s">
        <v>118</v>
      </c>
      <c r="G1269" t="str">
        <f>HYPERLINK("https://pikabu.ru/story/trikolor_tv_reklamnyiy_baner_kotoryiy_besitmalenkiy_layfkhak_8353681?cid=206849141")</f>
        <v>https://pikabu.ru/story/trikolor_tv_reklamnyiy_baner_kotoryiy_besitmalenkiy_layfkhak_8353681?cid=206849141</v>
      </c>
      <c r="H1269" t="s">
        <v>119</v>
      </c>
      <c r="I1269" t="s">
        <v>4857</v>
      </c>
      <c r="J1269" t="str">
        <f>HYPERLINK("http://pikabu.ru/profile/Zhahooovsky")</f>
        <v>http://pikabu.ru/profile/Zhahooovsky</v>
      </c>
      <c r="N1269" t="s">
        <v>402</v>
      </c>
      <c r="O1269" t="s">
        <v>4612</v>
      </c>
      <c r="P1269" t="str">
        <f>HYPERLINK("http://pikabu.ru/profile/Soonk80")</f>
        <v>http://pikabu.ru/profile/Soonk80</v>
      </c>
      <c r="R1269" t="s">
        <v>404</v>
      </c>
      <c r="AM1269" t="s">
        <v>129</v>
      </c>
      <c r="AN1269" t="s">
        <v>130</v>
      </c>
      <c r="AP1269" t="s">
        <v>41</v>
      </c>
      <c r="AT1269" t="s">
        <v>45</v>
      </c>
      <c r="AZ1269" t="s">
        <v>51</v>
      </c>
      <c r="BA1269" t="s">
        <v>52</v>
      </c>
      <c r="BL1269" t="s">
        <v>63</v>
      </c>
    </row>
    <row r="1270" spans="1:69" x14ac:dyDescent="0.2">
      <c r="A1270" t="s">
        <v>4536</v>
      </c>
      <c r="B1270" t="s">
        <v>562</v>
      </c>
      <c r="C1270" t="s">
        <v>4855</v>
      </c>
      <c r="D1270" t="s">
        <v>4609</v>
      </c>
      <c r="E1270" t="s">
        <v>4860</v>
      </c>
      <c r="F1270" t="s">
        <v>118</v>
      </c>
      <c r="G1270" t="str">
        <f>HYPERLINK("https://pikabu.ru/story/trikolor_tv_reklamnyiy_baner_kotoryiy_besitmalenkiy_layfkhak_8353681?cid=206848859")</f>
        <v>https://pikabu.ru/story/trikolor_tv_reklamnyiy_baner_kotoryiy_besitmalenkiy_layfkhak_8353681?cid=206848859</v>
      </c>
      <c r="H1270" t="s">
        <v>181</v>
      </c>
      <c r="I1270" t="s">
        <v>4861</v>
      </c>
      <c r="J1270" t="str">
        <f>HYPERLINK("http://pikabu.ru/profile/NickYarushev")</f>
        <v>http://pikabu.ru/profile/NickYarushev</v>
      </c>
      <c r="N1270" t="s">
        <v>402</v>
      </c>
      <c r="O1270" t="s">
        <v>4612</v>
      </c>
      <c r="P1270" t="str">
        <f>HYPERLINK("http://pikabu.ru/profile/Soonk80")</f>
        <v>http://pikabu.ru/profile/Soonk80</v>
      </c>
      <c r="R1270" t="s">
        <v>404</v>
      </c>
      <c r="AM1270" t="s">
        <v>129</v>
      </c>
      <c r="AN1270" t="s">
        <v>130</v>
      </c>
      <c r="AP1270" t="s">
        <v>41</v>
      </c>
      <c r="AZ1270" t="s">
        <v>51</v>
      </c>
      <c r="BA1270" t="s">
        <v>52</v>
      </c>
    </row>
    <row r="1271" spans="1:69" x14ac:dyDescent="0.2">
      <c r="A1271" t="s">
        <v>4536</v>
      </c>
      <c r="B1271" t="s">
        <v>2154</v>
      </c>
      <c r="C1271" t="s">
        <v>4862</v>
      </c>
      <c r="D1271" t="s">
        <v>651</v>
      </c>
      <c r="E1271" t="s">
        <v>4863</v>
      </c>
      <c r="F1271" t="s">
        <v>180</v>
      </c>
      <c r="G1271" t="str">
        <f>HYPERLINK("https://www.ozon.ru/context/detail/id/227979649/#61193701")</f>
        <v>https://www.ozon.ru/context/detail/id/227979649/#61193701</v>
      </c>
      <c r="H1271" t="s">
        <v>181</v>
      </c>
      <c r="I1271" t="s">
        <v>4864</v>
      </c>
      <c r="J1271" t="str">
        <f>HYPERLINK("https://www.ozon.ru/context/client_opinion/ClientGuid/bbfe8433-2789-4dd1-aa4b-252d1f925f07/")</f>
        <v>https://www.ozon.ru/context/client_opinion/ClientGuid/bbfe8433-2789-4dd1-aa4b-252d1f925f07/</v>
      </c>
      <c r="L1271" t="s">
        <v>121</v>
      </c>
      <c r="N1271" t="s">
        <v>183</v>
      </c>
      <c r="O1271" t="s">
        <v>654</v>
      </c>
      <c r="P1271" t="str">
        <f>HYPERLINK("https://www.ozon.ru/context/detail/id/227979649/")</f>
        <v>https://www.ozon.ru/context/detail/id/227979649/</v>
      </c>
      <c r="R1271" t="s">
        <v>184</v>
      </c>
      <c r="S1271" t="s">
        <v>125</v>
      </c>
      <c r="W1271">
        <v>0</v>
      </c>
      <c r="X1271">
        <v>0</v>
      </c>
      <c r="AH1271">
        <v>5</v>
      </c>
      <c r="AM1271" t="s">
        <v>129</v>
      </c>
      <c r="AN1271" t="s">
        <v>130</v>
      </c>
      <c r="AP1271" t="s">
        <v>41</v>
      </c>
      <c r="AT1271" t="s">
        <v>45</v>
      </c>
      <c r="AZ1271" t="s">
        <v>51</v>
      </c>
      <c r="BA1271" t="s">
        <v>52</v>
      </c>
      <c r="BL1271" t="s">
        <v>63</v>
      </c>
    </row>
    <row r="1272" spans="1:69" x14ac:dyDescent="0.2">
      <c r="A1272" t="s">
        <v>4536</v>
      </c>
      <c r="B1272" t="s">
        <v>1127</v>
      </c>
      <c r="C1272" t="s">
        <v>4865</v>
      </c>
      <c r="D1272" t="s">
        <v>4866</v>
      </c>
      <c r="E1272" t="s">
        <v>4867</v>
      </c>
      <c r="F1272" t="s">
        <v>118</v>
      </c>
      <c r="G1272" t="str">
        <f>HYPERLINK("https://vk.com/wall-51812607_8013438?reply=8013452&amp;thread=8013442")</f>
        <v>https://vk.com/wall-51812607_8013438?reply=8013452&amp;thread=8013442</v>
      </c>
      <c r="H1272" t="s">
        <v>119</v>
      </c>
      <c r="I1272" t="s">
        <v>4699</v>
      </c>
      <c r="J1272" t="str">
        <f>HYPERLINK("http://vk.com/id282258755")</f>
        <v>http://vk.com/id282258755</v>
      </c>
      <c r="K1272">
        <v>953</v>
      </c>
      <c r="L1272" t="s">
        <v>121</v>
      </c>
      <c r="M1272">
        <v>20</v>
      </c>
      <c r="N1272" t="s">
        <v>122</v>
      </c>
      <c r="O1272" t="s">
        <v>4868</v>
      </c>
      <c r="P1272" t="str">
        <f>HYPERLINK("http://vk.com/club51812607")</f>
        <v>http://vk.com/club51812607</v>
      </c>
      <c r="Q1272">
        <v>2096494</v>
      </c>
      <c r="R1272" t="s">
        <v>124</v>
      </c>
      <c r="S1272" t="s">
        <v>125</v>
      </c>
      <c r="T1272" t="s">
        <v>487</v>
      </c>
      <c r="U1272" t="s">
        <v>488</v>
      </c>
      <c r="AM1272" t="s">
        <v>129</v>
      </c>
      <c r="AN1272" t="s">
        <v>130</v>
      </c>
      <c r="AP1272" t="s">
        <v>41</v>
      </c>
      <c r="AU1272" t="s">
        <v>46</v>
      </c>
      <c r="AZ1272" t="s">
        <v>51</v>
      </c>
      <c r="BA1272" t="s">
        <v>52</v>
      </c>
      <c r="BL1272" t="s">
        <v>63</v>
      </c>
    </row>
    <row r="1273" spans="1:69" x14ac:dyDescent="0.2">
      <c r="A1273" t="s">
        <v>4536</v>
      </c>
      <c r="B1273" t="s">
        <v>617</v>
      </c>
      <c r="C1273" t="s">
        <v>4869</v>
      </c>
      <c r="D1273" t="s">
        <v>531</v>
      </c>
      <c r="E1273" t="s">
        <v>4870</v>
      </c>
      <c r="F1273" t="s">
        <v>180</v>
      </c>
      <c r="G1273" t="str">
        <f>HYPERLINK("https://www.wildberries.ru/catalog/13884511/detail.aspx?targetUrl=ES#Comments")</f>
        <v>https://www.wildberries.ru/catalog/13884511/detail.aspx?targetUrl=ES#Comments</v>
      </c>
      <c r="H1273" t="s">
        <v>181</v>
      </c>
      <c r="I1273" t="s">
        <v>4871</v>
      </c>
      <c r="J1273" t="str">
        <f>HYPERLINK("https://www.wildberries.ru/profile/w7TDssOkw7PCu8KzwrDCtsK1wrbCuMKwwrU=")</f>
        <v>https://www.wildberries.ru/profile/w7TDssOkw7PCu8KzwrDCtsK1wrbCuMKwwrU=</v>
      </c>
      <c r="L1273" t="s">
        <v>151</v>
      </c>
      <c r="N1273" t="s">
        <v>534</v>
      </c>
      <c r="O1273" t="s">
        <v>531</v>
      </c>
      <c r="P1273" t="str">
        <f>HYPERLINK("https://www.wildberries.ru/catalog/10388939/detail.aspx")</f>
        <v>https://www.wildberries.ru/catalog/10388939/detail.aspx</v>
      </c>
      <c r="R1273" t="s">
        <v>184</v>
      </c>
      <c r="S1273" t="s">
        <v>125</v>
      </c>
      <c r="W1273">
        <v>0</v>
      </c>
      <c r="X1273">
        <v>0</v>
      </c>
      <c r="AH1273">
        <v>5</v>
      </c>
      <c r="AM1273" t="s">
        <v>129</v>
      </c>
      <c r="AN1273" t="s">
        <v>130</v>
      </c>
      <c r="AP1273" t="s">
        <v>41</v>
      </c>
      <c r="AZ1273" t="s">
        <v>51</v>
      </c>
      <c r="BA1273" t="s">
        <v>52</v>
      </c>
      <c r="BK1273" t="s">
        <v>62</v>
      </c>
    </row>
    <row r="1274" spans="1:69" x14ac:dyDescent="0.2">
      <c r="A1274" t="s">
        <v>4536</v>
      </c>
      <c r="B1274" t="s">
        <v>621</v>
      </c>
      <c r="C1274" t="s">
        <v>4872</v>
      </c>
      <c r="D1274" t="s">
        <v>4873</v>
      </c>
      <c r="E1274" t="s">
        <v>4874</v>
      </c>
      <c r="F1274" t="s">
        <v>118</v>
      </c>
      <c r="G1274" t="str">
        <f>HYPERLINK("https://vk.com/wall-63322771_686304?reply=686900")</f>
        <v>https://vk.com/wall-63322771_686304?reply=686900</v>
      </c>
      <c r="H1274" t="s">
        <v>119</v>
      </c>
      <c r="I1274" t="s">
        <v>4875</v>
      </c>
      <c r="J1274" t="str">
        <f>HYPERLINK("http://vk.com/id228468354")</f>
        <v>http://vk.com/id228468354</v>
      </c>
      <c r="K1274">
        <v>1346</v>
      </c>
      <c r="L1274" t="s">
        <v>121</v>
      </c>
      <c r="M1274">
        <v>31</v>
      </c>
      <c r="N1274" t="s">
        <v>122</v>
      </c>
      <c r="O1274" t="s">
        <v>4876</v>
      </c>
      <c r="P1274" t="str">
        <f>HYPERLINK("http://vk.com/club63322771")</f>
        <v>http://vk.com/club63322771</v>
      </c>
      <c r="Q1274">
        <v>23496</v>
      </c>
      <c r="R1274" t="s">
        <v>124</v>
      </c>
      <c r="S1274" t="s">
        <v>125</v>
      </c>
      <c r="T1274" t="s">
        <v>1275</v>
      </c>
      <c r="U1274" t="s">
        <v>4877</v>
      </c>
      <c r="AM1274" t="s">
        <v>129</v>
      </c>
      <c r="AN1274" t="s">
        <v>130</v>
      </c>
      <c r="AP1274" t="s">
        <v>41</v>
      </c>
      <c r="AZ1274" t="s">
        <v>51</v>
      </c>
      <c r="BA1274" t="s">
        <v>52</v>
      </c>
    </row>
    <row r="1275" spans="1:69" x14ac:dyDescent="0.2">
      <c r="A1275" t="s">
        <v>4536</v>
      </c>
      <c r="B1275" t="s">
        <v>1736</v>
      </c>
      <c r="C1275" t="s">
        <v>4878</v>
      </c>
      <c r="D1275" t="s">
        <v>4879</v>
      </c>
      <c r="E1275" t="s">
        <v>4880</v>
      </c>
      <c r="F1275" t="s">
        <v>180</v>
      </c>
      <c r="G1275" t="str">
        <f>HYPERLINK("https://www.ozon.ru/context/detail/id/150942509/#61184562")</f>
        <v>https://www.ozon.ru/context/detail/id/150942509/#61184562</v>
      </c>
      <c r="H1275" t="s">
        <v>181</v>
      </c>
      <c r="I1275" t="s">
        <v>4881</v>
      </c>
      <c r="J1275" t="str">
        <f>HYPERLINK("https://www.ozon.ru/context/client_opinion/ClientGuid/534862b6-880b-43a0-b7d7-7b7cfaf4dbb7/")</f>
        <v>https://www.ozon.ru/context/client_opinion/ClientGuid/534862b6-880b-43a0-b7d7-7b7cfaf4dbb7/</v>
      </c>
      <c r="L1275" t="s">
        <v>121</v>
      </c>
      <c r="N1275" t="s">
        <v>183</v>
      </c>
      <c r="O1275" t="s">
        <v>4879</v>
      </c>
      <c r="P1275" t="str">
        <f>HYPERLINK("https://www.ozon.ru/context/detail/id/150942509/")</f>
        <v>https://www.ozon.ru/context/detail/id/150942509/</v>
      </c>
      <c r="R1275" t="s">
        <v>184</v>
      </c>
      <c r="S1275" t="s">
        <v>125</v>
      </c>
      <c r="W1275">
        <v>0</v>
      </c>
      <c r="X1275">
        <v>0</v>
      </c>
      <c r="AH1275">
        <v>5</v>
      </c>
      <c r="AJ1275" t="s">
        <v>4882</v>
      </c>
      <c r="AK1275" t="s">
        <v>4883</v>
      </c>
      <c r="AL1275" t="str">
        <f>HYPERLINK("https://cdn1.ozone.ru/s3/rp-photo-1/b13bc916-c51e-42c2-bf02-cf9206cf538d.jpeg")</f>
        <v>https://cdn1.ozone.ru/s3/rp-photo-1/b13bc916-c51e-42c2-bf02-cf9206cf538d.jpeg</v>
      </c>
      <c r="AM1275" t="s">
        <v>129</v>
      </c>
      <c r="AN1275" t="s">
        <v>130</v>
      </c>
      <c r="AP1275" t="s">
        <v>41</v>
      </c>
      <c r="AT1275" t="s">
        <v>45</v>
      </c>
      <c r="AW1275" t="s">
        <v>48</v>
      </c>
      <c r="AZ1275" t="s">
        <v>51</v>
      </c>
      <c r="BA1275" t="s">
        <v>52</v>
      </c>
    </row>
    <row r="1276" spans="1:69" x14ac:dyDescent="0.2">
      <c r="A1276" t="s">
        <v>4536</v>
      </c>
      <c r="B1276" t="s">
        <v>649</v>
      </c>
      <c r="C1276" t="s">
        <v>4884</v>
      </c>
      <c r="D1276" t="s">
        <v>204</v>
      </c>
      <c r="E1276" t="s">
        <v>4885</v>
      </c>
      <c r="F1276" t="s">
        <v>180</v>
      </c>
      <c r="G1276" t="str">
        <f>HYPERLINK("https://play.google.com/store/apps/details?id=ru.iflex.android.a3colortv&amp;reviewId=gp:AOqpTOGVHKlpZJnpq7_L0NyV63-Tu6pjULVCwrDHeMBaquYSVQnbNQzdofLyi7FRCITZOgbTf37VnnwOl0H32g")</f>
        <v>https://play.google.com/store/apps/details?id=ru.iflex.android.a3colortv&amp;reviewId=gp:AOqpTOGVHKlpZJnpq7_L0NyV63-Tu6pjULVCwrDHeMBaquYSVQnbNQzdofLyi7FRCITZOgbTf37VnnwOl0H32g</v>
      </c>
      <c r="H1276" t="s">
        <v>181</v>
      </c>
      <c r="I1276" t="s">
        <v>4886</v>
      </c>
      <c r="J1276" t="str">
        <f>HYPERLINK("https://plus.google.com/102370853073675120488")</f>
        <v>https://plus.google.com/102370853073675120488</v>
      </c>
      <c r="N1276" t="s">
        <v>207</v>
      </c>
      <c r="O1276" t="s">
        <v>204</v>
      </c>
      <c r="P1276" t="str">
        <f>HYPERLINK("https://play.google.com/store/apps/details?id=ru.iflex.android.a3colortv&amp;hl=ru")</f>
        <v>https://play.google.com/store/apps/details?id=ru.iflex.android.a3colortv&amp;hl=ru</v>
      </c>
      <c r="R1276" t="s">
        <v>184</v>
      </c>
      <c r="S1276" t="s">
        <v>125</v>
      </c>
      <c r="W1276">
        <v>0</v>
      </c>
      <c r="X1276">
        <v>0</v>
      </c>
      <c r="AH1276">
        <v>5</v>
      </c>
      <c r="AM1276" t="s">
        <v>129</v>
      </c>
      <c r="AN1276" t="s">
        <v>130</v>
      </c>
      <c r="AP1276" t="s">
        <v>41</v>
      </c>
      <c r="AZ1276" t="s">
        <v>51</v>
      </c>
      <c r="BA1276" t="s">
        <v>52</v>
      </c>
      <c r="BQ1276" t="s">
        <v>68</v>
      </c>
    </row>
    <row r="1277" spans="1:69" x14ac:dyDescent="0.2">
      <c r="A1277" t="s">
        <v>4536</v>
      </c>
      <c r="B1277" t="s">
        <v>3540</v>
      </c>
      <c r="C1277" t="s">
        <v>4887</v>
      </c>
      <c r="D1277" t="s">
        <v>4888</v>
      </c>
      <c r="E1277" t="s">
        <v>4889</v>
      </c>
      <c r="F1277" t="s">
        <v>118</v>
      </c>
      <c r="G1277" t="str">
        <f>HYPERLINK("https://vk.com/wall-59780149_9199029?reply=9199151&amp;thread=9199090")</f>
        <v>https://vk.com/wall-59780149_9199029?reply=9199151&amp;thread=9199090</v>
      </c>
      <c r="H1277" t="s">
        <v>119</v>
      </c>
      <c r="I1277" t="s">
        <v>4890</v>
      </c>
      <c r="J1277" t="str">
        <f>HYPERLINK("http://vk.com/id259125378")</f>
        <v>http://vk.com/id259125378</v>
      </c>
      <c r="K1277">
        <v>14</v>
      </c>
      <c r="L1277" t="s">
        <v>121</v>
      </c>
      <c r="N1277" t="s">
        <v>122</v>
      </c>
      <c r="O1277" t="s">
        <v>4891</v>
      </c>
      <c r="P1277" t="str">
        <f>HYPERLINK("http://vk.com/club59780149")</f>
        <v>http://vk.com/club59780149</v>
      </c>
      <c r="Q1277">
        <v>41458</v>
      </c>
      <c r="R1277" t="s">
        <v>124</v>
      </c>
      <c r="AM1277" t="s">
        <v>129</v>
      </c>
      <c r="AN1277" t="s">
        <v>130</v>
      </c>
      <c r="AP1277" t="s">
        <v>41</v>
      </c>
      <c r="AZ1277" t="s">
        <v>51</v>
      </c>
      <c r="BA1277" t="s">
        <v>52</v>
      </c>
    </row>
    <row r="1278" spans="1:69" x14ac:dyDescent="0.2">
      <c r="A1278" t="s">
        <v>4536</v>
      </c>
      <c r="B1278" t="s">
        <v>3960</v>
      </c>
      <c r="C1278" t="s">
        <v>4892</v>
      </c>
      <c r="D1278" t="s">
        <v>3580</v>
      </c>
      <c r="E1278" t="s">
        <v>4893</v>
      </c>
      <c r="F1278" t="s">
        <v>118</v>
      </c>
      <c r="G1278" t="str">
        <f>HYPERLINK("https://vk.com/wall-104292825_852703?reply=852769&amp;thread=852726")</f>
        <v>https://vk.com/wall-104292825_852703?reply=852769&amp;thread=852726</v>
      </c>
      <c r="H1278" t="s">
        <v>119</v>
      </c>
      <c r="I1278" t="s">
        <v>4894</v>
      </c>
      <c r="J1278" t="str">
        <f>HYPERLINK("http://vk.com/id184827856")</f>
        <v>http://vk.com/id184827856</v>
      </c>
      <c r="K1278">
        <v>241</v>
      </c>
      <c r="L1278" t="s">
        <v>121</v>
      </c>
      <c r="N1278" t="s">
        <v>122</v>
      </c>
      <c r="O1278" t="s">
        <v>3583</v>
      </c>
      <c r="P1278" t="str">
        <f>HYPERLINK("http://vk.com/club104292825")</f>
        <v>http://vk.com/club104292825</v>
      </c>
      <c r="Q1278">
        <v>27863</v>
      </c>
      <c r="R1278" t="s">
        <v>124</v>
      </c>
      <c r="S1278" t="s">
        <v>125</v>
      </c>
      <c r="AM1278" t="s">
        <v>129</v>
      </c>
      <c r="AN1278" t="s">
        <v>130</v>
      </c>
      <c r="AP1278" t="s">
        <v>41</v>
      </c>
      <c r="AT1278" t="s">
        <v>45</v>
      </c>
      <c r="AZ1278" t="s">
        <v>51</v>
      </c>
      <c r="BA1278" t="s">
        <v>52</v>
      </c>
    </row>
    <row r="1279" spans="1:69" x14ac:dyDescent="0.2">
      <c r="A1279" t="s">
        <v>4536</v>
      </c>
      <c r="B1279" t="s">
        <v>2187</v>
      </c>
      <c r="C1279" t="s">
        <v>4668</v>
      </c>
      <c r="D1279" t="s">
        <v>2001</v>
      </c>
      <c r="E1279" t="s">
        <v>4895</v>
      </c>
      <c r="F1279" t="s">
        <v>118</v>
      </c>
      <c r="G1279" t="str">
        <f>HYPERLINK("https://www.facebook.com/story.php?story_fbid=4095215527199353&amp;id=206198386101106&amp;comment_id=4106258726095033")</f>
        <v>https://www.facebook.com/story.php?story_fbid=4095215527199353&amp;id=206198386101106&amp;comment_id=4106258726095033</v>
      </c>
      <c r="H1279" t="s">
        <v>228</v>
      </c>
      <c r="I1279" t="s">
        <v>4896</v>
      </c>
      <c r="J1279" t="str">
        <f>HYPERLINK("https://www.facebook.com/100015758619842")</f>
        <v>https://www.facebook.com/100015758619842</v>
      </c>
      <c r="K1279">
        <v>4091</v>
      </c>
      <c r="L1279" t="s">
        <v>151</v>
      </c>
      <c r="N1279" t="s">
        <v>305</v>
      </c>
      <c r="O1279" t="s">
        <v>175</v>
      </c>
      <c r="P1279" t="str">
        <f>HYPERLINK("https://www.facebook.com/206198386101106")</f>
        <v>https://www.facebook.com/206198386101106</v>
      </c>
      <c r="Q1279">
        <v>16432</v>
      </c>
      <c r="R1279" t="s">
        <v>124</v>
      </c>
      <c r="S1279" t="s">
        <v>125</v>
      </c>
      <c r="T1279" t="s">
        <v>1027</v>
      </c>
      <c r="U1279" t="s">
        <v>1028</v>
      </c>
      <c r="W1279">
        <v>0</v>
      </c>
      <c r="X1279">
        <v>0</v>
      </c>
      <c r="AE1279">
        <v>1</v>
      </c>
      <c r="AM1279" t="s">
        <v>129</v>
      </c>
      <c r="AN1279" t="s">
        <v>130</v>
      </c>
      <c r="AP1279" t="s">
        <v>41</v>
      </c>
      <c r="AZ1279" t="s">
        <v>51</v>
      </c>
      <c r="BA1279" t="s">
        <v>52</v>
      </c>
    </row>
    <row r="1280" spans="1:69" x14ac:dyDescent="0.2">
      <c r="A1280" t="s">
        <v>4536</v>
      </c>
      <c r="B1280" t="s">
        <v>4897</v>
      </c>
      <c r="C1280" t="s">
        <v>4898</v>
      </c>
      <c r="D1280" t="s">
        <v>4899</v>
      </c>
      <c r="E1280" t="s">
        <v>4900</v>
      </c>
      <c r="F1280" t="s">
        <v>180</v>
      </c>
      <c r="G1280" t="str">
        <f>HYPERLINK("https://otzovik.com/review_12202264.html")</f>
        <v>https://otzovik.com/review_12202264.html</v>
      </c>
      <c r="H1280" t="s">
        <v>119</v>
      </c>
      <c r="I1280" t="s">
        <v>4901</v>
      </c>
      <c r="J1280" t="str">
        <f>HYPERLINK("http://otzovik.com/profile/Prosto+Katerina")</f>
        <v>http://otzovik.com/profile/Prosto+Katerina</v>
      </c>
      <c r="L1280" t="s">
        <v>151</v>
      </c>
      <c r="N1280" t="s">
        <v>390</v>
      </c>
      <c r="O1280" t="s">
        <v>4902</v>
      </c>
      <c r="P1280" t="str">
        <f>HYPERLINK("https://otzovik.com/reviews/sputnikoviy_resiver_general_satellite_gs_hd-9305/")</f>
        <v>https://otzovik.com/reviews/sputnikoviy_resiver_general_satellite_gs_hd-9305/</v>
      </c>
      <c r="R1280" t="s">
        <v>184</v>
      </c>
      <c r="S1280" t="s">
        <v>125</v>
      </c>
      <c r="T1280" t="s">
        <v>137</v>
      </c>
      <c r="U1280" t="s">
        <v>137</v>
      </c>
      <c r="W1280">
        <v>8</v>
      </c>
      <c r="X1280">
        <v>8</v>
      </c>
      <c r="AE1280">
        <v>0</v>
      </c>
      <c r="AH1280">
        <v>4</v>
      </c>
      <c r="AM1280" t="s">
        <v>129</v>
      </c>
      <c r="AN1280" t="s">
        <v>130</v>
      </c>
      <c r="AP1280" t="s">
        <v>41</v>
      </c>
      <c r="AZ1280" t="s">
        <v>51</v>
      </c>
      <c r="BA1280" t="s">
        <v>52</v>
      </c>
      <c r="BL1280" t="s">
        <v>63</v>
      </c>
    </row>
    <row r="1281" spans="1:69" x14ac:dyDescent="0.2">
      <c r="A1281" t="s">
        <v>4536</v>
      </c>
      <c r="B1281" t="s">
        <v>1794</v>
      </c>
      <c r="C1281" t="s">
        <v>4270</v>
      </c>
      <c r="D1281" t="s">
        <v>4903</v>
      </c>
      <c r="E1281" t="s">
        <v>4904</v>
      </c>
      <c r="F1281" t="s">
        <v>180</v>
      </c>
      <c r="G1281" t="str">
        <f>HYPERLINK("https://www.ozon.ru/context/detail/id/241264642/#61151853")</f>
        <v>https://www.ozon.ru/context/detail/id/241264642/#61151853</v>
      </c>
      <c r="H1281" t="s">
        <v>119</v>
      </c>
      <c r="I1281" t="s">
        <v>4905</v>
      </c>
      <c r="J1281" t="str">
        <f>HYPERLINK("https://www.ozon.ru/context/client_opinion/ClientGuid/b754f35f-3154-48e7-8bc5-d2077c3f7647/")</f>
        <v>https://www.ozon.ru/context/client_opinion/ClientGuid/b754f35f-3154-48e7-8bc5-d2077c3f7647/</v>
      </c>
      <c r="L1281" t="s">
        <v>121</v>
      </c>
      <c r="N1281" t="s">
        <v>183</v>
      </c>
      <c r="O1281" t="s">
        <v>4906</v>
      </c>
      <c r="P1281" t="str">
        <f>HYPERLINK("https://www.ozon.ru/context/detail/id/241264642/")</f>
        <v>https://www.ozon.ru/context/detail/id/241264642/</v>
      </c>
      <c r="R1281" t="s">
        <v>184</v>
      </c>
      <c r="S1281" t="s">
        <v>125</v>
      </c>
      <c r="W1281">
        <v>0</v>
      </c>
      <c r="X1281">
        <v>0</v>
      </c>
      <c r="AH1281">
        <v>4</v>
      </c>
      <c r="AM1281" t="s">
        <v>129</v>
      </c>
      <c r="AN1281" t="s">
        <v>130</v>
      </c>
      <c r="AP1281" t="s">
        <v>41</v>
      </c>
      <c r="AZ1281" t="s">
        <v>51</v>
      </c>
      <c r="BA1281" t="s">
        <v>52</v>
      </c>
      <c r="BK1281" t="s">
        <v>62</v>
      </c>
      <c r="BL1281" t="s">
        <v>63</v>
      </c>
    </row>
    <row r="1282" spans="1:69" x14ac:dyDescent="0.2">
      <c r="A1282" t="s">
        <v>4536</v>
      </c>
      <c r="B1282" t="s">
        <v>2227</v>
      </c>
      <c r="C1282" t="s">
        <v>4907</v>
      </c>
      <c r="D1282" t="s">
        <v>204</v>
      </c>
      <c r="E1282" t="s">
        <v>4908</v>
      </c>
      <c r="F1282" t="s">
        <v>180</v>
      </c>
      <c r="G1282" t="str">
        <f>HYPERLINK("https://play.google.com/store/apps/details?id=ru.iflex.android.a3colortv&amp;reviewId=gp:AOqpTOGjb6oQ_6eqZekC2OAv73kR7fqZgBZhOarmPgM4pxA6nNxJHuGKZHt8OPNUDABGVXAeMc9cL65HeXciMw")</f>
        <v>https://play.google.com/store/apps/details?id=ru.iflex.android.a3colortv&amp;reviewId=gp:AOqpTOGjb6oQ_6eqZekC2OAv73kR7fqZgBZhOarmPgM4pxA6nNxJHuGKZHt8OPNUDABGVXAeMc9cL65HeXciMw</v>
      </c>
      <c r="H1282" t="s">
        <v>181</v>
      </c>
      <c r="I1282" t="s">
        <v>4909</v>
      </c>
      <c r="J1282" t="str">
        <f>HYPERLINK("https://plus.google.com/104271685499245150359")</f>
        <v>https://plus.google.com/104271685499245150359</v>
      </c>
      <c r="L1282" t="s">
        <v>151</v>
      </c>
      <c r="N1282" t="s">
        <v>207</v>
      </c>
      <c r="O1282" t="s">
        <v>204</v>
      </c>
      <c r="P1282" t="str">
        <f>HYPERLINK("https://play.google.com/store/apps/details?id=ru.iflex.android.a3colortv&amp;hl=ru")</f>
        <v>https://play.google.com/store/apps/details?id=ru.iflex.android.a3colortv&amp;hl=ru</v>
      </c>
      <c r="R1282" t="s">
        <v>184</v>
      </c>
      <c r="S1282" t="s">
        <v>125</v>
      </c>
      <c r="W1282">
        <v>0</v>
      </c>
      <c r="X1282">
        <v>0</v>
      </c>
      <c r="AH1282">
        <v>5</v>
      </c>
      <c r="AM1282" t="s">
        <v>129</v>
      </c>
      <c r="AN1282" t="s">
        <v>130</v>
      </c>
      <c r="AP1282" t="s">
        <v>41</v>
      </c>
      <c r="AZ1282" t="s">
        <v>51</v>
      </c>
      <c r="BA1282" t="s">
        <v>52</v>
      </c>
      <c r="BQ1282" t="s">
        <v>68</v>
      </c>
    </row>
    <row r="1283" spans="1:69" x14ac:dyDescent="0.2">
      <c r="A1283" t="s">
        <v>4536</v>
      </c>
      <c r="B1283" t="s">
        <v>4468</v>
      </c>
      <c r="C1283" t="s">
        <v>4910</v>
      </c>
      <c r="D1283" t="s">
        <v>4505</v>
      </c>
      <c r="E1283" t="s">
        <v>4911</v>
      </c>
      <c r="F1283" t="s">
        <v>118</v>
      </c>
      <c r="G1283" t="str">
        <f>HYPERLINK("https://vk.com/wall-22935147_368528?reply=368595")</f>
        <v>https://vk.com/wall-22935147_368528?reply=368595</v>
      </c>
      <c r="H1283" t="s">
        <v>228</v>
      </c>
      <c r="I1283" t="s">
        <v>4912</v>
      </c>
      <c r="J1283" t="str">
        <f>HYPERLINK("http://vk.com/id387819224")</f>
        <v>http://vk.com/id387819224</v>
      </c>
      <c r="K1283">
        <v>171</v>
      </c>
      <c r="L1283" t="s">
        <v>151</v>
      </c>
      <c r="M1283">
        <v>38</v>
      </c>
      <c r="N1283" t="s">
        <v>122</v>
      </c>
      <c r="O1283" t="s">
        <v>1093</v>
      </c>
      <c r="P1283" t="str">
        <f>HYPERLINK("http://vk.com/club22935147")</f>
        <v>http://vk.com/club22935147</v>
      </c>
      <c r="Q1283">
        <v>8943</v>
      </c>
      <c r="R1283" t="s">
        <v>124</v>
      </c>
      <c r="S1283" t="s">
        <v>125</v>
      </c>
      <c r="T1283" t="s">
        <v>1401</v>
      </c>
      <c r="U1283" t="s">
        <v>4913</v>
      </c>
      <c r="AM1283" t="s">
        <v>129</v>
      </c>
      <c r="AN1283" t="s">
        <v>130</v>
      </c>
      <c r="AP1283" t="s">
        <v>41</v>
      </c>
      <c r="AZ1283" t="s">
        <v>51</v>
      </c>
      <c r="BB1283" t="s">
        <v>53</v>
      </c>
    </row>
    <row r="1284" spans="1:69" x14ac:dyDescent="0.2">
      <c r="A1284" t="s">
        <v>4536</v>
      </c>
      <c r="B1284" t="s">
        <v>4914</v>
      </c>
      <c r="C1284" t="s">
        <v>4915</v>
      </c>
      <c r="D1284" t="s">
        <v>4916</v>
      </c>
      <c r="E1284" t="s">
        <v>4917</v>
      </c>
      <c r="F1284" t="s">
        <v>180</v>
      </c>
      <c r="G1284" t="str">
        <f>HYPERLINK("https://www.bnkomi.ru/data/news/131299/")</f>
        <v>https://www.bnkomi.ru/data/news/131299/</v>
      </c>
      <c r="H1284" t="s">
        <v>119</v>
      </c>
      <c r="I1284" t="s">
        <v>4918</v>
      </c>
      <c r="J1284" t="str">
        <f>HYPERLINK("http://bnkomi.ru")</f>
        <v>http://bnkomi.ru</v>
      </c>
      <c r="N1284" t="s">
        <v>4919</v>
      </c>
      <c r="R1284" t="s">
        <v>785</v>
      </c>
      <c r="S1284" t="s">
        <v>125</v>
      </c>
      <c r="AM1284" t="s">
        <v>129</v>
      </c>
      <c r="AN1284" t="s">
        <v>130</v>
      </c>
      <c r="AV1284" t="s">
        <v>47</v>
      </c>
    </row>
    <row r="1285" spans="1:69" x14ac:dyDescent="0.2">
      <c r="A1285" t="s">
        <v>4536</v>
      </c>
      <c r="B1285" t="s">
        <v>4920</v>
      </c>
      <c r="C1285" t="s">
        <v>2441</v>
      </c>
      <c r="D1285" t="s">
        <v>4921</v>
      </c>
      <c r="E1285" t="s">
        <v>4922</v>
      </c>
      <c r="F1285" t="s">
        <v>180</v>
      </c>
      <c r="G1285" t="str">
        <f>HYPERLINK("https://www.ozon.ru/context/detail/id/220828037/#61144052")</f>
        <v>https://www.ozon.ru/context/detail/id/220828037/#61144052</v>
      </c>
      <c r="H1285" t="s">
        <v>119</v>
      </c>
      <c r="I1285" t="s">
        <v>4864</v>
      </c>
      <c r="J1285" t="str">
        <f>HYPERLINK("https://www.ozon.ru/context/client_opinion/ClientGuid/4e117701-2b0e-4d15-bf87-48280671f0e6/")</f>
        <v>https://www.ozon.ru/context/client_opinion/ClientGuid/4e117701-2b0e-4d15-bf87-48280671f0e6/</v>
      </c>
      <c r="L1285" t="s">
        <v>121</v>
      </c>
      <c r="N1285" t="s">
        <v>183</v>
      </c>
      <c r="O1285" t="s">
        <v>4921</v>
      </c>
      <c r="P1285" t="str">
        <f>HYPERLINK("https://www.ozon.ru/context/detail/id/220828037/")</f>
        <v>https://www.ozon.ru/context/detail/id/220828037/</v>
      </c>
      <c r="R1285" t="s">
        <v>184</v>
      </c>
      <c r="S1285" t="s">
        <v>125</v>
      </c>
      <c r="W1285">
        <v>0</v>
      </c>
      <c r="X1285">
        <v>0</v>
      </c>
      <c r="AH1285">
        <v>1</v>
      </c>
      <c r="AM1285" t="s">
        <v>129</v>
      </c>
      <c r="AN1285" t="s">
        <v>130</v>
      </c>
      <c r="AP1285" t="s">
        <v>41</v>
      </c>
      <c r="AT1285" t="s">
        <v>45</v>
      </c>
      <c r="AZ1285" t="s">
        <v>51</v>
      </c>
      <c r="BA1285" t="s">
        <v>52</v>
      </c>
      <c r="BO1285" t="s">
        <v>66</v>
      </c>
    </row>
    <row r="1286" spans="1:69" x14ac:dyDescent="0.2">
      <c r="A1286" t="s">
        <v>4536</v>
      </c>
      <c r="B1286" t="s">
        <v>4923</v>
      </c>
      <c r="C1286" t="s">
        <v>4924</v>
      </c>
      <c r="D1286" t="s">
        <v>4925</v>
      </c>
      <c r="E1286" t="s">
        <v>4926</v>
      </c>
      <c r="F1286" t="s">
        <v>118</v>
      </c>
      <c r="G1286" t="str">
        <f>HYPERLINK("https://vk.com/wall-86115141_1046126?reply=1046633&amp;thread=1046595")</f>
        <v>https://vk.com/wall-86115141_1046126?reply=1046633&amp;thread=1046595</v>
      </c>
      <c r="H1286" t="s">
        <v>119</v>
      </c>
      <c r="I1286" t="s">
        <v>4927</v>
      </c>
      <c r="J1286" t="str">
        <f>HYPERLINK("http://vk.com/id636685105")</f>
        <v>http://vk.com/id636685105</v>
      </c>
      <c r="K1286">
        <v>204</v>
      </c>
      <c r="L1286" t="s">
        <v>151</v>
      </c>
      <c r="M1286">
        <v>47</v>
      </c>
      <c r="N1286" t="s">
        <v>122</v>
      </c>
      <c r="O1286" t="s">
        <v>4928</v>
      </c>
      <c r="P1286" t="str">
        <f>HYPERLINK("http://vk.com/club86115141")</f>
        <v>http://vk.com/club86115141</v>
      </c>
      <c r="Q1286">
        <v>16356</v>
      </c>
      <c r="R1286" t="s">
        <v>124</v>
      </c>
      <c r="AM1286" t="s">
        <v>129</v>
      </c>
      <c r="AN1286" t="s">
        <v>130</v>
      </c>
      <c r="AP1286" t="s">
        <v>41</v>
      </c>
      <c r="AY1286" t="s">
        <v>50</v>
      </c>
      <c r="AZ1286" t="s">
        <v>51</v>
      </c>
      <c r="BA1286" t="s">
        <v>52</v>
      </c>
    </row>
    <row r="1287" spans="1:69" x14ac:dyDescent="0.2">
      <c r="A1287" t="s">
        <v>4536</v>
      </c>
      <c r="B1287" t="s">
        <v>1810</v>
      </c>
      <c r="C1287" t="s">
        <v>4929</v>
      </c>
      <c r="D1287" t="s">
        <v>3580</v>
      </c>
      <c r="E1287" t="s">
        <v>4930</v>
      </c>
      <c r="F1287" t="s">
        <v>118</v>
      </c>
      <c r="G1287" t="str">
        <f>HYPERLINK("https://vk.com/wall-104292825_852703?reply=852752")</f>
        <v>https://vk.com/wall-104292825_852703?reply=852752</v>
      </c>
      <c r="H1287" t="s">
        <v>119</v>
      </c>
      <c r="I1287" t="s">
        <v>4931</v>
      </c>
      <c r="J1287" t="str">
        <f>HYPERLINK("http://vk.com/id91268901")</f>
        <v>http://vk.com/id91268901</v>
      </c>
      <c r="K1287">
        <v>64</v>
      </c>
      <c r="L1287" t="s">
        <v>151</v>
      </c>
      <c r="M1287">
        <v>36</v>
      </c>
      <c r="N1287" t="s">
        <v>122</v>
      </c>
      <c r="O1287" t="s">
        <v>3583</v>
      </c>
      <c r="P1287" t="str">
        <f>HYPERLINK("http://vk.com/club104292825")</f>
        <v>http://vk.com/club104292825</v>
      </c>
      <c r="Q1287">
        <v>27863</v>
      </c>
      <c r="R1287" t="s">
        <v>124</v>
      </c>
      <c r="S1287" t="s">
        <v>125</v>
      </c>
      <c r="T1287" t="s">
        <v>627</v>
      </c>
      <c r="U1287" t="s">
        <v>3584</v>
      </c>
      <c r="AM1287" t="s">
        <v>129</v>
      </c>
      <c r="AN1287" t="s">
        <v>130</v>
      </c>
      <c r="AP1287" t="s">
        <v>41</v>
      </c>
      <c r="AT1287" t="s">
        <v>45</v>
      </c>
      <c r="AW1287" t="s">
        <v>48</v>
      </c>
      <c r="AZ1287" t="s">
        <v>51</v>
      </c>
      <c r="BA1287" t="s">
        <v>52</v>
      </c>
    </row>
    <row r="1288" spans="1:69" x14ac:dyDescent="0.2">
      <c r="A1288" t="s">
        <v>4536</v>
      </c>
      <c r="B1288" t="s">
        <v>3269</v>
      </c>
      <c r="C1288" t="s">
        <v>4932</v>
      </c>
      <c r="D1288" t="s">
        <v>4806</v>
      </c>
      <c r="E1288" t="s">
        <v>4933</v>
      </c>
      <c r="F1288" t="s">
        <v>118</v>
      </c>
      <c r="G1288" t="str">
        <f>HYPERLINK("https://vk.com/wall-22935147_368585?reply=368594")</f>
        <v>https://vk.com/wall-22935147_368585?reply=368594</v>
      </c>
      <c r="H1288" t="s">
        <v>119</v>
      </c>
      <c r="I1288" t="s">
        <v>4934</v>
      </c>
      <c r="J1288" t="str">
        <f>HYPERLINK("http://vk.com/id662268001")</f>
        <v>http://vk.com/id662268001</v>
      </c>
      <c r="K1288">
        <v>0</v>
      </c>
      <c r="L1288" t="s">
        <v>121</v>
      </c>
      <c r="M1288">
        <v>38</v>
      </c>
      <c r="N1288" t="s">
        <v>122</v>
      </c>
      <c r="O1288" t="s">
        <v>1093</v>
      </c>
      <c r="P1288" t="str">
        <f>HYPERLINK("http://vk.com/club22935147")</f>
        <v>http://vk.com/club22935147</v>
      </c>
      <c r="Q1288">
        <v>8943</v>
      </c>
      <c r="R1288" t="s">
        <v>124</v>
      </c>
      <c r="S1288" t="s">
        <v>125</v>
      </c>
      <c r="T1288" t="s">
        <v>169</v>
      </c>
      <c r="U1288" t="s">
        <v>169</v>
      </c>
      <c r="W1288">
        <v>0</v>
      </c>
      <c r="X1288">
        <v>0</v>
      </c>
      <c r="AM1288" t="s">
        <v>129</v>
      </c>
      <c r="AN1288" t="s">
        <v>130</v>
      </c>
      <c r="AP1288" t="s">
        <v>41</v>
      </c>
      <c r="AZ1288" t="s">
        <v>51</v>
      </c>
      <c r="BA1288" t="s">
        <v>52</v>
      </c>
      <c r="BL1288" t="s">
        <v>63</v>
      </c>
    </row>
    <row r="1289" spans="1:69" x14ac:dyDescent="0.2">
      <c r="A1289" t="s">
        <v>4536</v>
      </c>
      <c r="B1289" t="s">
        <v>4935</v>
      </c>
      <c r="C1289" t="s">
        <v>4936</v>
      </c>
      <c r="D1289" t="s">
        <v>4609</v>
      </c>
      <c r="E1289" t="s">
        <v>4937</v>
      </c>
      <c r="F1289" t="s">
        <v>118</v>
      </c>
      <c r="G1289" t="str">
        <f>HYPERLINK("https://pikabu.ru/story/trikolor_tv_reklamnyiy_baner_kotoryiy_besitmalenkiy_layfkhak_8353681?cid=206825668")</f>
        <v>https://pikabu.ru/story/trikolor_tv_reklamnyiy_baner_kotoryiy_besitmalenkiy_layfkhak_8353681?cid=206825668</v>
      </c>
      <c r="H1289" t="s">
        <v>119</v>
      </c>
      <c r="I1289" t="s">
        <v>4840</v>
      </c>
      <c r="J1289" t="str">
        <f>HYPERLINK("http://pikabu.ru/profile/5yoda5")</f>
        <v>http://pikabu.ru/profile/5yoda5</v>
      </c>
      <c r="N1289" t="s">
        <v>402</v>
      </c>
      <c r="O1289" t="s">
        <v>4612</v>
      </c>
      <c r="P1289" t="str">
        <f>HYPERLINK("http://pikabu.ru/profile/Soonk80")</f>
        <v>http://pikabu.ru/profile/Soonk80</v>
      </c>
      <c r="R1289" t="s">
        <v>404</v>
      </c>
      <c r="AM1289" t="s">
        <v>129</v>
      </c>
      <c r="AN1289" t="s">
        <v>130</v>
      </c>
      <c r="AP1289" t="s">
        <v>41</v>
      </c>
      <c r="AT1289" t="s">
        <v>45</v>
      </c>
      <c r="AW1289" t="s">
        <v>48</v>
      </c>
      <c r="AZ1289" t="s">
        <v>51</v>
      </c>
      <c r="BB1289" t="s">
        <v>53</v>
      </c>
    </row>
    <row r="1290" spans="1:69" x14ac:dyDescent="0.2">
      <c r="A1290" t="s">
        <v>4536</v>
      </c>
      <c r="B1290" t="s">
        <v>4938</v>
      </c>
      <c r="C1290" t="s">
        <v>4939</v>
      </c>
      <c r="D1290" t="s">
        <v>4940</v>
      </c>
      <c r="E1290" t="s">
        <v>4941</v>
      </c>
      <c r="F1290" t="s">
        <v>180</v>
      </c>
      <c r="G1290" t="str">
        <f>HYPERLINK("https://www.ozon.ru/context/detail/id/255986073/#61137215")</f>
        <v>https://www.ozon.ru/context/detail/id/255986073/#61137215</v>
      </c>
      <c r="H1290" t="s">
        <v>181</v>
      </c>
      <c r="I1290" t="s">
        <v>4942</v>
      </c>
      <c r="J1290" t="str">
        <f>HYPERLINK("https://www.ozon.ru/context/client_opinion/ClientGuid/993da067-0f11-4a42-a0d7-eb0070ef266c/")</f>
        <v>https://www.ozon.ru/context/client_opinion/ClientGuid/993da067-0f11-4a42-a0d7-eb0070ef266c/</v>
      </c>
      <c r="L1290" t="s">
        <v>121</v>
      </c>
      <c r="N1290" t="s">
        <v>183</v>
      </c>
      <c r="O1290" t="s">
        <v>4940</v>
      </c>
      <c r="P1290" t="str">
        <f>HYPERLINK("https://www.ozon.ru/context/detail/id/255986073/")</f>
        <v>https://www.ozon.ru/context/detail/id/255986073/</v>
      </c>
      <c r="R1290" t="s">
        <v>184</v>
      </c>
      <c r="S1290" t="s">
        <v>125</v>
      </c>
      <c r="W1290">
        <v>0</v>
      </c>
      <c r="X1290">
        <v>0</v>
      </c>
      <c r="AH1290">
        <v>5</v>
      </c>
      <c r="AM1290" t="s">
        <v>129</v>
      </c>
      <c r="AN1290" t="s">
        <v>130</v>
      </c>
      <c r="AP1290" t="s">
        <v>41</v>
      </c>
      <c r="AT1290" t="s">
        <v>45</v>
      </c>
      <c r="AZ1290" t="s">
        <v>51</v>
      </c>
      <c r="BA1290" t="s">
        <v>52</v>
      </c>
      <c r="BL1290" t="s">
        <v>63</v>
      </c>
    </row>
    <row r="1291" spans="1:69" x14ac:dyDescent="0.2">
      <c r="A1291" t="s">
        <v>4536</v>
      </c>
      <c r="B1291" t="s">
        <v>4943</v>
      </c>
      <c r="C1291" t="s">
        <v>4944</v>
      </c>
      <c r="D1291" t="s">
        <v>4945</v>
      </c>
      <c r="E1291" t="s">
        <v>4946</v>
      </c>
      <c r="F1291" t="s">
        <v>180</v>
      </c>
      <c r="G1291" t="str">
        <f>HYPERLINK("https://www.google.com/maps/reviews/data=!4m5!14m4!1m3!1m2!1s109922793326731619703!2s0x0:0x77df2760acd82c48?hl=en-NL")</f>
        <v>https://www.google.com/maps/reviews/data=!4m5!14m4!1m3!1m2!1s109922793326731619703!2s0x0:0x77df2760acd82c48?hl=en-NL</v>
      </c>
      <c r="H1291" t="s">
        <v>181</v>
      </c>
      <c r="I1291" t="s">
        <v>4947</v>
      </c>
      <c r="J1291" t="str">
        <f>HYPERLINK("https://maps.google.com/maps/contrib/109922793326731619703")</f>
        <v>https://maps.google.com/maps/contrib/109922793326731619703</v>
      </c>
      <c r="L1291" t="s">
        <v>121</v>
      </c>
      <c r="N1291" t="s">
        <v>673</v>
      </c>
      <c r="O1291" t="s">
        <v>4945</v>
      </c>
      <c r="P1291" t="str">
        <f>HYPERLINK("https://maps.google.com/maps/place/data=!3m1!4b1!4m5!3m4!1s0x0:0x77df2760acd82c48!8m2!3d55.914490!4d37.866810")</f>
        <v>https://maps.google.com/maps/place/data=!3m1!4b1!4m5!3m4!1s0x0:0x77df2760acd82c48!8m2!3d55.914490!4d37.866810</v>
      </c>
      <c r="R1291" t="s">
        <v>184</v>
      </c>
      <c r="S1291" t="s">
        <v>125</v>
      </c>
      <c r="T1291" t="s">
        <v>153</v>
      </c>
      <c r="U1291" t="s">
        <v>4948</v>
      </c>
      <c r="W1291">
        <v>0</v>
      </c>
      <c r="X1291">
        <v>0</v>
      </c>
      <c r="AH1291">
        <v>5</v>
      </c>
      <c r="AM1291" t="s">
        <v>129</v>
      </c>
      <c r="AN1291" t="s">
        <v>130</v>
      </c>
      <c r="AP1291" t="s">
        <v>41</v>
      </c>
      <c r="AX1291" t="s">
        <v>49</v>
      </c>
      <c r="AZ1291" t="s">
        <v>51</v>
      </c>
      <c r="BA1291" t="s">
        <v>52</v>
      </c>
    </row>
    <row r="1292" spans="1:69" x14ac:dyDescent="0.2">
      <c r="A1292" t="s">
        <v>4536</v>
      </c>
      <c r="B1292" t="s">
        <v>4949</v>
      </c>
      <c r="C1292" t="s">
        <v>4950</v>
      </c>
      <c r="D1292" t="s">
        <v>4951</v>
      </c>
      <c r="E1292" t="s">
        <v>4952</v>
      </c>
      <c r="F1292" t="s">
        <v>180</v>
      </c>
      <c r="G1292" t="str">
        <f>HYPERLINK("https://telesputnik.ru/forum/viewtopic.php?f=36&amp;t=86505&amp;start=160#p2482215")</f>
        <v>https://telesputnik.ru/forum/viewtopic.php?f=36&amp;t=86505&amp;start=160#p2482215</v>
      </c>
      <c r="H1292" t="s">
        <v>228</v>
      </c>
      <c r="I1292" t="s">
        <v>1789</v>
      </c>
      <c r="J1292" t="str">
        <f>HYPERLINK("https://telesputnik.ru/forum/memberlist.php?mode=viewprofile&amp;u=50240")</f>
        <v>https://telesputnik.ru/forum/memberlist.php?mode=viewprofile&amp;u=50240</v>
      </c>
      <c r="N1292" t="s">
        <v>335</v>
      </c>
      <c r="O1292" t="s">
        <v>909</v>
      </c>
      <c r="P1292" t="str">
        <f>HYPERLINK("https://telesputnik.ru/forum/viewforum.php?f=36")</f>
        <v>https://telesputnik.ru/forum/viewforum.php?f=36</v>
      </c>
      <c r="R1292" t="s">
        <v>295</v>
      </c>
      <c r="S1292" t="s">
        <v>125</v>
      </c>
      <c r="AJ1292" t="s">
        <v>4953</v>
      </c>
      <c r="AK1292" t="s">
        <v>4954</v>
      </c>
      <c r="AL1292" t="str">
        <f>HYPERLINK("https://pbs.twimg.com/media/C-q6y-_WsAAnEJu?format=jpg&amp;name=large")</f>
        <v>https://pbs.twimg.com/media/C-q6y-_WsAAnEJu?format=jpg&amp;name=large</v>
      </c>
      <c r="AM1292" t="s">
        <v>129</v>
      </c>
      <c r="AN1292" t="s">
        <v>130</v>
      </c>
      <c r="AP1292" t="s">
        <v>41</v>
      </c>
      <c r="AU1292" t="s">
        <v>46</v>
      </c>
      <c r="AZ1292" t="s">
        <v>51</v>
      </c>
      <c r="BA1292" t="s">
        <v>52</v>
      </c>
    </row>
    <row r="1293" spans="1:69" x14ac:dyDescent="0.2">
      <c r="A1293" t="s">
        <v>4536</v>
      </c>
      <c r="B1293" t="s">
        <v>1192</v>
      </c>
      <c r="C1293" t="s">
        <v>4955</v>
      </c>
      <c r="D1293" t="s">
        <v>4956</v>
      </c>
      <c r="E1293" t="s">
        <v>4957</v>
      </c>
      <c r="F1293" t="s">
        <v>180</v>
      </c>
      <c r="G1293" t="str">
        <f>HYPERLINK("https://market.yandex.ru/product/254752600/reviews?id=135005506")</f>
        <v>https://market.yandex.ru/product/254752600/reviews?id=135005506</v>
      </c>
      <c r="H1293" t="s">
        <v>119</v>
      </c>
      <c r="I1293" t="s">
        <v>2131</v>
      </c>
      <c r="J1293" t="str">
        <f>HYPERLINK("https://market.yandex.ru/user/kqcmzcccyq1vqwcrtmb9twxwkg/reviews")</f>
        <v>https://market.yandex.ru/user/kqcmzcccyq1vqwcrtmb9twxwkg/reviews</v>
      </c>
      <c r="L1293" t="s">
        <v>121</v>
      </c>
      <c r="N1293" t="s">
        <v>611</v>
      </c>
      <c r="O1293" t="s">
        <v>4956</v>
      </c>
      <c r="P1293" t="str">
        <f>HYPERLINK("https://market.yandex.ru/product/254752600")</f>
        <v>https://market.yandex.ru/product/254752600</v>
      </c>
      <c r="R1293" t="s">
        <v>184</v>
      </c>
      <c r="S1293" t="s">
        <v>125</v>
      </c>
      <c r="T1293" t="s">
        <v>264</v>
      </c>
      <c r="U1293" t="s">
        <v>265</v>
      </c>
      <c r="W1293">
        <v>0</v>
      </c>
      <c r="X1293">
        <v>0</v>
      </c>
      <c r="AH1293">
        <v>3</v>
      </c>
      <c r="AM1293" t="s">
        <v>129</v>
      </c>
      <c r="AN1293" t="s">
        <v>130</v>
      </c>
      <c r="AP1293" t="s">
        <v>41</v>
      </c>
      <c r="AT1293" t="s">
        <v>45</v>
      </c>
      <c r="AU1293" t="s">
        <v>46</v>
      </c>
      <c r="AY1293" t="s">
        <v>50</v>
      </c>
      <c r="AZ1293" t="s">
        <v>51</v>
      </c>
      <c r="BA1293" t="s">
        <v>52</v>
      </c>
    </row>
    <row r="1294" spans="1:69" x14ac:dyDescent="0.2">
      <c r="A1294" t="s">
        <v>4536</v>
      </c>
      <c r="B1294" t="s">
        <v>4958</v>
      </c>
      <c r="C1294" t="s">
        <v>4959</v>
      </c>
      <c r="D1294" t="s">
        <v>4960</v>
      </c>
      <c r="E1294" t="s">
        <v>4961</v>
      </c>
      <c r="F1294" t="s">
        <v>118</v>
      </c>
      <c r="G1294" t="str">
        <f>HYPERLINK("https://vk.com/wall-90623832_1964680?reply=1965794")</f>
        <v>https://vk.com/wall-90623832_1964680?reply=1965794</v>
      </c>
      <c r="H1294" t="s">
        <v>119</v>
      </c>
      <c r="I1294" t="s">
        <v>4962</v>
      </c>
      <c r="J1294" t="str">
        <f>HYPERLINK("http://vk.com/id135130697")</f>
        <v>http://vk.com/id135130697</v>
      </c>
      <c r="K1294">
        <v>48</v>
      </c>
      <c r="L1294" t="s">
        <v>151</v>
      </c>
      <c r="N1294" t="s">
        <v>122</v>
      </c>
      <c r="O1294" t="s">
        <v>4963</v>
      </c>
      <c r="P1294" t="str">
        <f>HYPERLINK("http://vk.com/club90623832")</f>
        <v>http://vk.com/club90623832</v>
      </c>
      <c r="Q1294">
        <v>60464</v>
      </c>
      <c r="R1294" t="s">
        <v>124</v>
      </c>
      <c r="S1294" t="s">
        <v>125</v>
      </c>
      <c r="T1294" t="s">
        <v>1229</v>
      </c>
      <c r="U1294" t="s">
        <v>4964</v>
      </c>
      <c r="AM1294" t="s">
        <v>129</v>
      </c>
      <c r="AN1294" t="s">
        <v>130</v>
      </c>
      <c r="AP1294" t="s">
        <v>41</v>
      </c>
      <c r="AW1294" t="s">
        <v>48</v>
      </c>
      <c r="AZ1294" t="s">
        <v>51</v>
      </c>
      <c r="BA1294" t="s">
        <v>52</v>
      </c>
      <c r="BM1294" t="s">
        <v>64</v>
      </c>
    </row>
    <row r="1295" spans="1:69" x14ac:dyDescent="0.2">
      <c r="A1295" t="s">
        <v>4536</v>
      </c>
      <c r="B1295" t="s">
        <v>4965</v>
      </c>
      <c r="C1295" t="s">
        <v>4966</v>
      </c>
      <c r="D1295" t="s">
        <v>4274</v>
      </c>
      <c r="E1295" t="s">
        <v>4967</v>
      </c>
      <c r="F1295" t="s">
        <v>180</v>
      </c>
      <c r="G1295" t="str">
        <f>HYPERLINK("https://4pda.to/forum/index.php?showtopic=544619&amp;st=76000#entry108136458")</f>
        <v>https://4pda.to/forum/index.php?showtopic=544619&amp;st=76000#entry108136458</v>
      </c>
      <c r="H1295" t="s">
        <v>119</v>
      </c>
      <c r="I1295" t="s">
        <v>4968</v>
      </c>
      <c r="J1295" t="str">
        <f>HYPERLINK("https://4pda.to/forum/index.php?showuser=194320")</f>
        <v>https://4pda.to/forum/index.php?showuser=194320</v>
      </c>
      <c r="N1295" t="s">
        <v>293</v>
      </c>
      <c r="O1295" t="s">
        <v>1526</v>
      </c>
      <c r="P1295" t="str">
        <f>HYPERLINK("https://4pda.to/forum/index.php?showforum=98")</f>
        <v>https://4pda.to/forum/index.php?showforum=98</v>
      </c>
      <c r="R1295" t="s">
        <v>295</v>
      </c>
      <c r="S1295" t="s">
        <v>125</v>
      </c>
      <c r="AM1295" t="s">
        <v>129</v>
      </c>
      <c r="AN1295" t="s">
        <v>130</v>
      </c>
      <c r="AP1295" t="s">
        <v>41</v>
      </c>
      <c r="AZ1295" t="s">
        <v>51</v>
      </c>
      <c r="BA1295" t="s">
        <v>52</v>
      </c>
      <c r="BL1295" t="s">
        <v>63</v>
      </c>
      <c r="BQ1295" t="s">
        <v>68</v>
      </c>
    </row>
    <row r="1296" spans="1:69" x14ac:dyDescent="0.2">
      <c r="A1296" t="s">
        <v>4536</v>
      </c>
      <c r="B1296" t="s">
        <v>4969</v>
      </c>
      <c r="C1296" t="s">
        <v>4970</v>
      </c>
      <c r="D1296" t="s">
        <v>1350</v>
      </c>
      <c r="E1296" t="s">
        <v>4971</v>
      </c>
      <c r="F1296" t="s">
        <v>180</v>
      </c>
      <c r="G1296" t="str">
        <f>HYPERLINK("https://www.ozon.ru/context/detail/id/231618666/#61127032")</f>
        <v>https://www.ozon.ru/context/detail/id/231618666/#61127032</v>
      </c>
      <c r="H1296" t="s">
        <v>181</v>
      </c>
      <c r="I1296" t="s">
        <v>4972</v>
      </c>
      <c r="J1296" t="str">
        <f>HYPERLINK("https://www.ozon.ru/context/client_opinion/ClientGuid/b4c26d1f-0734-4468-bc95-f51b8b93f815/")</f>
        <v>https://www.ozon.ru/context/client_opinion/ClientGuid/b4c26d1f-0734-4468-bc95-f51b8b93f815/</v>
      </c>
      <c r="L1296" t="s">
        <v>121</v>
      </c>
      <c r="N1296" t="s">
        <v>183</v>
      </c>
      <c r="O1296" t="s">
        <v>1350</v>
      </c>
      <c r="P1296" t="str">
        <f>HYPERLINK("https://www.ozon.ru/context/detail/id/231618666/")</f>
        <v>https://www.ozon.ru/context/detail/id/231618666/</v>
      </c>
      <c r="R1296" t="s">
        <v>184</v>
      </c>
      <c r="S1296" t="s">
        <v>125</v>
      </c>
      <c r="W1296">
        <v>0</v>
      </c>
      <c r="X1296">
        <v>0</v>
      </c>
      <c r="AH1296">
        <v>5</v>
      </c>
      <c r="AM1296" t="s">
        <v>129</v>
      </c>
      <c r="AN1296" t="s">
        <v>130</v>
      </c>
      <c r="AP1296" t="s">
        <v>41</v>
      </c>
      <c r="AZ1296" t="s">
        <v>51</v>
      </c>
      <c r="BA1296" t="s">
        <v>52</v>
      </c>
      <c r="BK1296" t="s">
        <v>62</v>
      </c>
      <c r="BL1296" t="s">
        <v>63</v>
      </c>
    </row>
    <row r="1297" spans="1:100" x14ac:dyDescent="0.2">
      <c r="A1297" t="s">
        <v>4536</v>
      </c>
      <c r="B1297" t="s">
        <v>4973</v>
      </c>
      <c r="C1297" t="s">
        <v>4974</v>
      </c>
      <c r="D1297" t="s">
        <v>4609</v>
      </c>
      <c r="E1297" t="s">
        <v>4975</v>
      </c>
      <c r="F1297" t="s">
        <v>118</v>
      </c>
      <c r="G1297" t="str">
        <f>HYPERLINK("https://pikabu.ru/story/trikolor_tv_reklamnyiy_baner_kotoryiy_besitmalenkiy_layfkhak_8353681?cid=206818065")</f>
        <v>https://pikabu.ru/story/trikolor_tv_reklamnyiy_baner_kotoryiy_besitmalenkiy_layfkhak_8353681?cid=206818065</v>
      </c>
      <c r="H1297" t="s">
        <v>119</v>
      </c>
      <c r="I1297" t="s">
        <v>4976</v>
      </c>
      <c r="J1297" t="str">
        <f>HYPERLINK("http://pikabu.ru/profile/Stranger04")</f>
        <v>http://pikabu.ru/profile/Stranger04</v>
      </c>
      <c r="N1297" t="s">
        <v>402</v>
      </c>
      <c r="O1297" t="s">
        <v>4612</v>
      </c>
      <c r="P1297" t="str">
        <f>HYPERLINK("http://pikabu.ru/profile/Soonk80")</f>
        <v>http://pikabu.ru/profile/Soonk80</v>
      </c>
      <c r="R1297" t="s">
        <v>404</v>
      </c>
      <c r="AM1297" t="s">
        <v>129</v>
      </c>
      <c r="AN1297" t="s">
        <v>130</v>
      </c>
      <c r="AP1297" t="s">
        <v>41</v>
      </c>
      <c r="AU1297" t="s">
        <v>46</v>
      </c>
      <c r="AW1297" t="s">
        <v>48</v>
      </c>
      <c r="AZ1297" t="s">
        <v>51</v>
      </c>
      <c r="BA1297" t="s">
        <v>52</v>
      </c>
    </row>
    <row r="1298" spans="1:100" x14ac:dyDescent="0.2">
      <c r="A1298" t="s">
        <v>4536</v>
      </c>
      <c r="B1298" t="s">
        <v>4977</v>
      </c>
      <c r="C1298" t="s">
        <v>4978</v>
      </c>
      <c r="D1298" t="s">
        <v>4609</v>
      </c>
      <c r="E1298" t="s">
        <v>4979</v>
      </c>
      <c r="F1298" t="s">
        <v>118</v>
      </c>
      <c r="G1298" t="str">
        <f>HYPERLINK("https://pikabu.ru/story/trikolor_tv_reklamnyiy_baner_kotoryiy_besitmalenkiy_layfkhak_8353681?cid=206815446")</f>
        <v>https://pikabu.ru/story/trikolor_tv_reklamnyiy_baner_kotoryiy_besitmalenkiy_layfkhak_8353681?cid=206815446</v>
      </c>
      <c r="H1298" t="s">
        <v>228</v>
      </c>
      <c r="I1298" t="s">
        <v>4980</v>
      </c>
      <c r="J1298" t="str">
        <f>HYPERLINK("http://pikabu.ru/profile/Ramadanta")</f>
        <v>http://pikabu.ru/profile/Ramadanta</v>
      </c>
      <c r="N1298" t="s">
        <v>402</v>
      </c>
      <c r="O1298" t="s">
        <v>4612</v>
      </c>
      <c r="P1298" t="str">
        <f>HYPERLINK("http://pikabu.ru/profile/Soonk80")</f>
        <v>http://pikabu.ru/profile/Soonk80</v>
      </c>
      <c r="R1298" t="s">
        <v>404</v>
      </c>
      <c r="AM1298" t="s">
        <v>129</v>
      </c>
      <c r="AN1298" t="s">
        <v>130</v>
      </c>
      <c r="AP1298" t="s">
        <v>41</v>
      </c>
      <c r="BA1298" t="s">
        <v>52</v>
      </c>
      <c r="BF1298" t="s">
        <v>57</v>
      </c>
      <c r="BL1298" t="s">
        <v>63</v>
      </c>
      <c r="CV1298" t="s">
        <v>99</v>
      </c>
    </row>
    <row r="1299" spans="1:100" x14ac:dyDescent="0.2">
      <c r="A1299" t="s">
        <v>4981</v>
      </c>
      <c r="B1299" t="s">
        <v>4982</v>
      </c>
      <c r="C1299" t="s">
        <v>4983</v>
      </c>
      <c r="D1299" t="s">
        <v>3580</v>
      </c>
      <c r="E1299" t="s">
        <v>4984</v>
      </c>
      <c r="F1299" t="s">
        <v>118</v>
      </c>
      <c r="G1299" t="str">
        <f>HYPERLINK("https://vk.com/wall-104292825_852703?reply=852734")</f>
        <v>https://vk.com/wall-104292825_852703?reply=852734</v>
      </c>
      <c r="H1299" t="s">
        <v>228</v>
      </c>
      <c r="I1299" t="s">
        <v>4540</v>
      </c>
      <c r="J1299" t="str">
        <f>HYPERLINK("http://vk.com/id465072049")</f>
        <v>http://vk.com/id465072049</v>
      </c>
      <c r="K1299">
        <v>218</v>
      </c>
      <c r="L1299" t="s">
        <v>121</v>
      </c>
      <c r="N1299" t="s">
        <v>122</v>
      </c>
      <c r="O1299" t="s">
        <v>3583</v>
      </c>
      <c r="P1299" t="str">
        <f>HYPERLINK("http://vk.com/club104292825")</f>
        <v>http://vk.com/club104292825</v>
      </c>
      <c r="Q1299">
        <v>27863</v>
      </c>
      <c r="R1299" t="s">
        <v>124</v>
      </c>
      <c r="S1299" t="s">
        <v>125</v>
      </c>
      <c r="T1299" t="s">
        <v>627</v>
      </c>
      <c r="U1299" t="s">
        <v>3584</v>
      </c>
      <c r="AM1299" t="s">
        <v>129</v>
      </c>
      <c r="AN1299" t="s">
        <v>130</v>
      </c>
      <c r="AP1299" t="s">
        <v>41</v>
      </c>
      <c r="AY1299" t="s">
        <v>50</v>
      </c>
      <c r="AZ1299" t="s">
        <v>51</v>
      </c>
      <c r="BA1299" t="s">
        <v>52</v>
      </c>
    </row>
    <row r="1300" spans="1:100" x14ac:dyDescent="0.2">
      <c r="A1300" t="s">
        <v>4981</v>
      </c>
      <c r="B1300" t="s">
        <v>1244</v>
      </c>
      <c r="C1300" t="s">
        <v>4985</v>
      </c>
      <c r="D1300" t="s">
        <v>4806</v>
      </c>
      <c r="E1300" t="s">
        <v>4986</v>
      </c>
      <c r="F1300" t="s">
        <v>118</v>
      </c>
      <c r="G1300" t="str">
        <f>HYPERLINK("https://vk.com/wall-22935147_368585?reply=368593")</f>
        <v>https://vk.com/wall-22935147_368585?reply=368593</v>
      </c>
      <c r="H1300" t="s">
        <v>119</v>
      </c>
      <c r="I1300" t="s">
        <v>4987</v>
      </c>
      <c r="J1300" t="str">
        <f>HYPERLINK("http://vk.com/id2397772")</f>
        <v>http://vk.com/id2397772</v>
      </c>
      <c r="K1300">
        <v>99</v>
      </c>
      <c r="L1300" t="s">
        <v>121</v>
      </c>
      <c r="N1300" t="s">
        <v>122</v>
      </c>
      <c r="O1300" t="s">
        <v>1093</v>
      </c>
      <c r="P1300" t="str">
        <f>HYPERLINK("http://vk.com/club22935147")</f>
        <v>http://vk.com/club22935147</v>
      </c>
      <c r="Q1300">
        <v>8943</v>
      </c>
      <c r="R1300" t="s">
        <v>124</v>
      </c>
      <c r="S1300" t="s">
        <v>125</v>
      </c>
      <c r="T1300" t="s">
        <v>2225</v>
      </c>
      <c r="U1300" t="s">
        <v>2861</v>
      </c>
      <c r="W1300">
        <v>0</v>
      </c>
      <c r="X1300">
        <v>0</v>
      </c>
      <c r="AM1300" t="s">
        <v>129</v>
      </c>
      <c r="AN1300" t="s">
        <v>130</v>
      </c>
      <c r="AP1300" t="s">
        <v>41</v>
      </c>
      <c r="AT1300" t="s">
        <v>45</v>
      </c>
      <c r="AZ1300" t="s">
        <v>51</v>
      </c>
      <c r="BA1300" t="s">
        <v>52</v>
      </c>
    </row>
    <row r="1301" spans="1:100" x14ac:dyDescent="0.2">
      <c r="A1301" t="s">
        <v>4981</v>
      </c>
      <c r="B1301" t="s">
        <v>146</v>
      </c>
      <c r="C1301" t="s">
        <v>4988</v>
      </c>
      <c r="D1301" t="s">
        <v>3580</v>
      </c>
      <c r="E1301" t="s">
        <v>4989</v>
      </c>
      <c r="F1301" t="s">
        <v>118</v>
      </c>
      <c r="G1301" t="str">
        <f>HYPERLINK("https://vk.com/wall-104292825_852703?reply=852709")</f>
        <v>https://vk.com/wall-104292825_852703?reply=852709</v>
      </c>
      <c r="H1301" t="s">
        <v>119</v>
      </c>
      <c r="I1301" t="s">
        <v>4990</v>
      </c>
      <c r="J1301" t="str">
        <f>HYPERLINK("http://vk.com/id512339708")</f>
        <v>http://vk.com/id512339708</v>
      </c>
      <c r="K1301">
        <v>33</v>
      </c>
      <c r="L1301" t="s">
        <v>151</v>
      </c>
      <c r="M1301">
        <v>31</v>
      </c>
      <c r="N1301" t="s">
        <v>122</v>
      </c>
      <c r="O1301" t="s">
        <v>3583</v>
      </c>
      <c r="P1301" t="str">
        <f>HYPERLINK("http://vk.com/club104292825")</f>
        <v>http://vk.com/club104292825</v>
      </c>
      <c r="Q1301">
        <v>27863</v>
      </c>
      <c r="R1301" t="s">
        <v>124</v>
      </c>
      <c r="S1301" t="s">
        <v>125</v>
      </c>
      <c r="T1301" t="s">
        <v>627</v>
      </c>
      <c r="U1301" t="s">
        <v>3584</v>
      </c>
      <c r="AM1301" t="s">
        <v>129</v>
      </c>
      <c r="AN1301" t="s">
        <v>130</v>
      </c>
      <c r="AP1301" t="s">
        <v>41</v>
      </c>
      <c r="AT1301" t="s">
        <v>45</v>
      </c>
      <c r="AZ1301" t="s">
        <v>51</v>
      </c>
      <c r="BA1301" t="s">
        <v>52</v>
      </c>
      <c r="BL1301" t="s">
        <v>63</v>
      </c>
    </row>
    <row r="1302" spans="1:100" x14ac:dyDescent="0.2">
      <c r="A1302" t="s">
        <v>4981</v>
      </c>
      <c r="B1302" t="s">
        <v>146</v>
      </c>
      <c r="C1302" t="s">
        <v>4991</v>
      </c>
      <c r="D1302" t="s">
        <v>3580</v>
      </c>
      <c r="E1302" t="s">
        <v>4992</v>
      </c>
      <c r="F1302" t="s">
        <v>118</v>
      </c>
      <c r="G1302" t="str">
        <f>HYPERLINK("https://vk.com/wall-104292825_852703?reply=852707")</f>
        <v>https://vk.com/wall-104292825_852703?reply=852707</v>
      </c>
      <c r="H1302" t="s">
        <v>119</v>
      </c>
      <c r="I1302" t="s">
        <v>4993</v>
      </c>
      <c r="J1302" t="str">
        <f>HYPERLINK("http://vk.com/id370074764")</f>
        <v>http://vk.com/id370074764</v>
      </c>
      <c r="K1302">
        <v>126</v>
      </c>
      <c r="L1302" t="s">
        <v>121</v>
      </c>
      <c r="M1302">
        <v>24</v>
      </c>
      <c r="N1302" t="s">
        <v>122</v>
      </c>
      <c r="O1302" t="s">
        <v>3583</v>
      </c>
      <c r="P1302" t="str">
        <f>HYPERLINK("http://vk.com/club104292825")</f>
        <v>http://vk.com/club104292825</v>
      </c>
      <c r="Q1302">
        <v>27863</v>
      </c>
      <c r="R1302" t="s">
        <v>124</v>
      </c>
      <c r="S1302" t="s">
        <v>125</v>
      </c>
      <c r="T1302" t="s">
        <v>627</v>
      </c>
      <c r="U1302" t="s">
        <v>846</v>
      </c>
      <c r="AM1302" t="s">
        <v>129</v>
      </c>
      <c r="AN1302" t="s">
        <v>130</v>
      </c>
      <c r="AP1302" t="s">
        <v>41</v>
      </c>
      <c r="AW1302" t="s">
        <v>48</v>
      </c>
      <c r="AZ1302" t="s">
        <v>51</v>
      </c>
      <c r="BA1302" t="s">
        <v>52</v>
      </c>
    </row>
    <row r="1303" spans="1:100" x14ac:dyDescent="0.2">
      <c r="A1303" t="s">
        <v>4981</v>
      </c>
      <c r="B1303" t="s">
        <v>3327</v>
      </c>
      <c r="C1303" t="s">
        <v>4994</v>
      </c>
      <c r="D1303" t="s">
        <v>4995</v>
      </c>
      <c r="E1303" t="s">
        <v>4996</v>
      </c>
      <c r="F1303" t="s">
        <v>118</v>
      </c>
      <c r="G1303" t="str">
        <f>HYPERLINK("https://vk.com/wall-59132379_2656?reply=2712")</f>
        <v>https://vk.com/wall-59132379_2656?reply=2712</v>
      </c>
      <c r="H1303" t="s">
        <v>119</v>
      </c>
      <c r="I1303" t="s">
        <v>4997</v>
      </c>
      <c r="J1303" t="str">
        <f>HYPERLINK("http://vk.com/id97363930")</f>
        <v>http://vk.com/id97363930</v>
      </c>
      <c r="K1303">
        <v>495</v>
      </c>
      <c r="L1303" t="s">
        <v>151</v>
      </c>
      <c r="M1303">
        <v>30</v>
      </c>
      <c r="N1303" t="s">
        <v>122</v>
      </c>
      <c r="O1303" t="s">
        <v>4998</v>
      </c>
      <c r="P1303" t="str">
        <f>HYPERLINK("http://vk.com/club59132379")</f>
        <v>http://vk.com/club59132379</v>
      </c>
      <c r="Q1303">
        <v>3050</v>
      </c>
      <c r="R1303" t="s">
        <v>124</v>
      </c>
      <c r="S1303" t="s">
        <v>125</v>
      </c>
      <c r="AM1303" t="s">
        <v>129</v>
      </c>
      <c r="AN1303" t="s">
        <v>130</v>
      </c>
      <c r="AP1303" t="s">
        <v>41</v>
      </c>
      <c r="AY1303" t="s">
        <v>50</v>
      </c>
      <c r="AZ1303" t="s">
        <v>51</v>
      </c>
      <c r="BA1303" t="s">
        <v>52</v>
      </c>
      <c r="BL1303" t="s">
        <v>63</v>
      </c>
    </row>
    <row r="1304" spans="1:100" x14ac:dyDescent="0.2">
      <c r="A1304" t="s">
        <v>4981</v>
      </c>
      <c r="B1304" t="s">
        <v>4566</v>
      </c>
      <c r="C1304" t="s">
        <v>4999</v>
      </c>
      <c r="D1304" t="s">
        <v>226</v>
      </c>
      <c r="E1304" t="s">
        <v>5000</v>
      </c>
      <c r="F1304" t="s">
        <v>118</v>
      </c>
      <c r="G1304" t="str">
        <f>HYPERLINK("https://vk.com/wall-27863223_291992?w=wall-27863223_291992_r292031")</f>
        <v>https://vk.com/wall-27863223_291992?w=wall-27863223_291992_r292031</v>
      </c>
      <c r="H1304" t="s">
        <v>228</v>
      </c>
      <c r="I1304" t="s">
        <v>3716</v>
      </c>
      <c r="J1304" t="str">
        <f>HYPERLINK("http://vk.com/id194510547")</f>
        <v>http://vk.com/id194510547</v>
      </c>
      <c r="K1304">
        <v>116</v>
      </c>
      <c r="L1304" t="s">
        <v>151</v>
      </c>
      <c r="N1304" t="s">
        <v>122</v>
      </c>
      <c r="O1304" t="s">
        <v>175</v>
      </c>
      <c r="P1304" t="str">
        <f>HYPERLINK("http://vk.com/club27863223")</f>
        <v>http://vk.com/club27863223</v>
      </c>
      <c r="Q1304">
        <v>134698</v>
      </c>
      <c r="R1304" t="s">
        <v>124</v>
      </c>
      <c r="S1304" t="s">
        <v>125</v>
      </c>
      <c r="T1304" t="s">
        <v>1275</v>
      </c>
      <c r="U1304" t="s">
        <v>3717</v>
      </c>
      <c r="W1304">
        <v>0</v>
      </c>
      <c r="X1304">
        <v>0</v>
      </c>
      <c r="AM1304" t="s">
        <v>129</v>
      </c>
      <c r="AN1304" t="s">
        <v>130</v>
      </c>
      <c r="AP1304" t="s">
        <v>41</v>
      </c>
      <c r="AU1304" t="s">
        <v>46</v>
      </c>
      <c r="AZ1304" t="s">
        <v>51</v>
      </c>
      <c r="BA1304" t="s">
        <v>52</v>
      </c>
    </row>
    <row r="1305" spans="1:100" x14ac:dyDescent="0.2">
      <c r="A1305" t="s">
        <v>4981</v>
      </c>
      <c r="B1305" t="s">
        <v>5001</v>
      </c>
      <c r="C1305" t="s">
        <v>5002</v>
      </c>
      <c r="D1305" t="s">
        <v>226</v>
      </c>
      <c r="E1305" t="s">
        <v>5003</v>
      </c>
      <c r="F1305" t="s">
        <v>118</v>
      </c>
      <c r="G1305" t="str">
        <f>HYPERLINK("https://vk.com/wall-27863223_291992?w=wall-27863223_291992_r292029")</f>
        <v>https://vk.com/wall-27863223_291992?w=wall-27863223_291992_r292029</v>
      </c>
      <c r="H1305" t="s">
        <v>228</v>
      </c>
      <c r="I1305" t="s">
        <v>3716</v>
      </c>
      <c r="J1305" t="str">
        <f>HYPERLINK("http://vk.com/id194510547")</f>
        <v>http://vk.com/id194510547</v>
      </c>
      <c r="K1305">
        <v>116</v>
      </c>
      <c r="L1305" t="s">
        <v>151</v>
      </c>
      <c r="N1305" t="s">
        <v>122</v>
      </c>
      <c r="O1305" t="s">
        <v>175</v>
      </c>
      <c r="P1305" t="str">
        <f>HYPERLINK("http://vk.com/club27863223")</f>
        <v>http://vk.com/club27863223</v>
      </c>
      <c r="Q1305">
        <v>134698</v>
      </c>
      <c r="R1305" t="s">
        <v>124</v>
      </c>
      <c r="S1305" t="s">
        <v>125</v>
      </c>
      <c r="T1305" t="s">
        <v>1275</v>
      </c>
      <c r="U1305" t="s">
        <v>3717</v>
      </c>
      <c r="W1305">
        <v>0</v>
      </c>
      <c r="X1305">
        <v>0</v>
      </c>
      <c r="AM1305" t="s">
        <v>129</v>
      </c>
      <c r="AN1305" t="s">
        <v>130</v>
      </c>
      <c r="AP1305" t="s">
        <v>41</v>
      </c>
      <c r="AU1305" t="s">
        <v>46</v>
      </c>
      <c r="AZ1305" t="s">
        <v>51</v>
      </c>
      <c r="BA1305" t="s">
        <v>52</v>
      </c>
    </row>
    <row r="1306" spans="1:100" x14ac:dyDescent="0.2">
      <c r="A1306" t="s">
        <v>4981</v>
      </c>
      <c r="B1306" t="s">
        <v>5001</v>
      </c>
      <c r="C1306" t="s">
        <v>5004</v>
      </c>
      <c r="D1306" t="s">
        <v>129</v>
      </c>
      <c r="E1306" t="s">
        <v>5005</v>
      </c>
      <c r="F1306" t="s">
        <v>180</v>
      </c>
      <c r="G1306" t="str">
        <f>HYPERLINK("https://vk.com/wall-104292825_852703")</f>
        <v>https://vk.com/wall-104292825_852703</v>
      </c>
      <c r="H1306" t="s">
        <v>119</v>
      </c>
      <c r="I1306" t="s">
        <v>4931</v>
      </c>
      <c r="J1306" t="str">
        <f>HYPERLINK("http://vk.com/id91268901")</f>
        <v>http://vk.com/id91268901</v>
      </c>
      <c r="K1306">
        <v>64</v>
      </c>
      <c r="L1306" t="s">
        <v>151</v>
      </c>
      <c r="M1306">
        <v>36</v>
      </c>
      <c r="N1306" t="s">
        <v>122</v>
      </c>
      <c r="O1306" t="s">
        <v>3583</v>
      </c>
      <c r="P1306" t="str">
        <f>HYPERLINK("http://vk.com/club104292825")</f>
        <v>http://vk.com/club104292825</v>
      </c>
      <c r="Q1306">
        <v>27863</v>
      </c>
      <c r="R1306" t="s">
        <v>124</v>
      </c>
      <c r="S1306" t="s">
        <v>125</v>
      </c>
      <c r="T1306" t="s">
        <v>627</v>
      </c>
      <c r="U1306" t="s">
        <v>3584</v>
      </c>
      <c r="W1306">
        <v>1</v>
      </c>
      <c r="X1306">
        <v>1</v>
      </c>
      <c r="AE1306">
        <v>21</v>
      </c>
      <c r="AF1306">
        <v>1</v>
      </c>
      <c r="AG1306">
        <v>2692</v>
      </c>
      <c r="AM1306" t="s">
        <v>129</v>
      </c>
      <c r="AN1306" t="s">
        <v>130</v>
      </c>
      <c r="AP1306" t="s">
        <v>41</v>
      </c>
      <c r="AW1306" t="s">
        <v>48</v>
      </c>
      <c r="AZ1306" t="s">
        <v>51</v>
      </c>
      <c r="BA1306" t="s">
        <v>52</v>
      </c>
    </row>
    <row r="1307" spans="1:100" x14ac:dyDescent="0.2">
      <c r="A1307" t="s">
        <v>4981</v>
      </c>
      <c r="B1307" t="s">
        <v>4576</v>
      </c>
      <c r="C1307" t="s">
        <v>5002</v>
      </c>
      <c r="D1307" t="s">
        <v>4806</v>
      </c>
      <c r="E1307" t="s">
        <v>5006</v>
      </c>
      <c r="F1307" t="s">
        <v>118</v>
      </c>
      <c r="G1307" t="str">
        <f>HYPERLINK("https://vk.com/wall-22935147_368585?reply=368591")</f>
        <v>https://vk.com/wall-22935147_368585?reply=368591</v>
      </c>
      <c r="H1307" t="s">
        <v>119</v>
      </c>
      <c r="I1307" t="s">
        <v>5007</v>
      </c>
      <c r="J1307" t="str">
        <f>HYPERLINK("http://vk.com/id665022122")</f>
        <v>http://vk.com/id665022122</v>
      </c>
      <c r="K1307">
        <v>0</v>
      </c>
      <c r="L1307" t="s">
        <v>121</v>
      </c>
      <c r="M1307">
        <v>44</v>
      </c>
      <c r="N1307" t="s">
        <v>122</v>
      </c>
      <c r="O1307" t="s">
        <v>1093</v>
      </c>
      <c r="P1307" t="str">
        <f>HYPERLINK("http://vk.com/club22935147")</f>
        <v>http://vk.com/club22935147</v>
      </c>
      <c r="Q1307">
        <v>8943</v>
      </c>
      <c r="R1307" t="s">
        <v>124</v>
      </c>
      <c r="S1307" t="s">
        <v>125</v>
      </c>
      <c r="T1307" t="s">
        <v>169</v>
      </c>
      <c r="U1307" t="s">
        <v>169</v>
      </c>
      <c r="W1307">
        <v>0</v>
      </c>
      <c r="X1307">
        <v>0</v>
      </c>
      <c r="AM1307" t="s">
        <v>129</v>
      </c>
      <c r="AN1307" t="s">
        <v>130</v>
      </c>
      <c r="AP1307" t="s">
        <v>41</v>
      </c>
      <c r="AZ1307" t="s">
        <v>51</v>
      </c>
      <c r="BA1307" t="s">
        <v>52</v>
      </c>
      <c r="BL1307" t="s">
        <v>63</v>
      </c>
    </row>
    <row r="1308" spans="1:100" x14ac:dyDescent="0.2">
      <c r="A1308" t="s">
        <v>4981</v>
      </c>
      <c r="B1308" t="s">
        <v>2908</v>
      </c>
      <c r="C1308" t="s">
        <v>4966</v>
      </c>
      <c r="D1308" t="s">
        <v>4274</v>
      </c>
      <c r="E1308" t="s">
        <v>5008</v>
      </c>
      <c r="F1308" t="s">
        <v>180</v>
      </c>
      <c r="G1308" t="str">
        <f>HYPERLINK("https://4pda.to/forum/index.php?showtopic=544619&amp;st=76000#entry108133294")</f>
        <v>https://4pda.to/forum/index.php?showtopic=544619&amp;st=76000#entry108133294</v>
      </c>
      <c r="H1308" t="s">
        <v>119</v>
      </c>
      <c r="I1308" t="s">
        <v>1809</v>
      </c>
      <c r="J1308" t="str">
        <f>HYPERLINK("https://4pda.to/forum/index.php?showuser=4330687")</f>
        <v>https://4pda.to/forum/index.php?showuser=4330687</v>
      </c>
      <c r="N1308" t="s">
        <v>293</v>
      </c>
      <c r="O1308" t="s">
        <v>1526</v>
      </c>
      <c r="P1308" t="str">
        <f>HYPERLINK("https://4pda.to/forum/index.php?showforum=98")</f>
        <v>https://4pda.to/forum/index.php?showforum=98</v>
      </c>
      <c r="R1308" t="s">
        <v>295</v>
      </c>
      <c r="S1308" t="s">
        <v>125</v>
      </c>
      <c r="AM1308" t="s">
        <v>129</v>
      </c>
      <c r="AN1308" t="s">
        <v>130</v>
      </c>
      <c r="AP1308" t="s">
        <v>41</v>
      </c>
      <c r="AU1308" t="s">
        <v>46</v>
      </c>
      <c r="AW1308" t="s">
        <v>48</v>
      </c>
      <c r="AZ1308" t="s">
        <v>51</v>
      </c>
      <c r="BA1308" t="s">
        <v>52</v>
      </c>
      <c r="BL1308" t="s">
        <v>63</v>
      </c>
    </row>
    <row r="1309" spans="1:100" x14ac:dyDescent="0.2">
      <c r="A1309" t="s">
        <v>4981</v>
      </c>
      <c r="B1309" t="s">
        <v>1297</v>
      </c>
      <c r="C1309" t="s">
        <v>5009</v>
      </c>
      <c r="D1309" t="s">
        <v>4505</v>
      </c>
      <c r="E1309" t="s">
        <v>5010</v>
      </c>
      <c r="F1309" t="s">
        <v>118</v>
      </c>
      <c r="G1309" t="str">
        <f>HYPERLINK("https://vk.com/wall-22935147_368528?reply=368590&amp;thread=368577")</f>
        <v>https://vk.com/wall-22935147_368528?reply=368590&amp;thread=368577</v>
      </c>
      <c r="H1309" t="s">
        <v>119</v>
      </c>
      <c r="I1309" t="s">
        <v>5011</v>
      </c>
      <c r="J1309" t="str">
        <f>HYPERLINK("http://vk.com/id47853739")</f>
        <v>http://vk.com/id47853739</v>
      </c>
      <c r="K1309">
        <v>156</v>
      </c>
      <c r="L1309" t="s">
        <v>121</v>
      </c>
      <c r="N1309" t="s">
        <v>122</v>
      </c>
      <c r="O1309" t="s">
        <v>1093</v>
      </c>
      <c r="P1309" t="str">
        <f>HYPERLINK("http://vk.com/club22935147")</f>
        <v>http://vk.com/club22935147</v>
      </c>
      <c r="Q1309">
        <v>8943</v>
      </c>
      <c r="R1309" t="s">
        <v>124</v>
      </c>
      <c r="S1309" t="s">
        <v>125</v>
      </c>
      <c r="AM1309" t="s">
        <v>129</v>
      </c>
      <c r="AN1309" t="s">
        <v>130</v>
      </c>
      <c r="AP1309" t="s">
        <v>41</v>
      </c>
      <c r="AY1309" t="s">
        <v>50</v>
      </c>
      <c r="AZ1309" t="s">
        <v>51</v>
      </c>
      <c r="BA1309" t="s">
        <v>52</v>
      </c>
      <c r="BQ1309" t="s">
        <v>68</v>
      </c>
    </row>
    <row r="1310" spans="1:100" x14ac:dyDescent="0.2">
      <c r="A1310" t="s">
        <v>4981</v>
      </c>
      <c r="B1310" t="s">
        <v>5012</v>
      </c>
      <c r="C1310" t="s">
        <v>5013</v>
      </c>
      <c r="D1310" t="s">
        <v>4697</v>
      </c>
      <c r="E1310" t="s">
        <v>5014</v>
      </c>
      <c r="F1310" t="s">
        <v>118</v>
      </c>
      <c r="G1310" t="str">
        <f>HYPERLINK("https://vk.com/wall-22935147_368574?reply=368589")</f>
        <v>https://vk.com/wall-22935147_368574?reply=368589</v>
      </c>
      <c r="H1310" t="s">
        <v>119</v>
      </c>
      <c r="I1310" t="s">
        <v>5011</v>
      </c>
      <c r="J1310" t="str">
        <f>HYPERLINK("http://vk.com/id47853739")</f>
        <v>http://vk.com/id47853739</v>
      </c>
      <c r="K1310">
        <v>156</v>
      </c>
      <c r="L1310" t="s">
        <v>121</v>
      </c>
      <c r="N1310" t="s">
        <v>122</v>
      </c>
      <c r="O1310" t="s">
        <v>1093</v>
      </c>
      <c r="P1310" t="str">
        <f>HYPERLINK("http://vk.com/club22935147")</f>
        <v>http://vk.com/club22935147</v>
      </c>
      <c r="Q1310">
        <v>8943</v>
      </c>
      <c r="R1310" t="s">
        <v>124</v>
      </c>
      <c r="S1310" t="s">
        <v>125</v>
      </c>
      <c r="AM1310" t="s">
        <v>129</v>
      </c>
      <c r="AN1310" t="s">
        <v>130</v>
      </c>
      <c r="AP1310" t="s">
        <v>41</v>
      </c>
      <c r="AT1310" t="s">
        <v>45</v>
      </c>
      <c r="AY1310" t="s">
        <v>50</v>
      </c>
      <c r="AZ1310" t="s">
        <v>51</v>
      </c>
      <c r="BA1310" t="s">
        <v>52</v>
      </c>
      <c r="BQ1310" t="s">
        <v>68</v>
      </c>
    </row>
    <row r="1311" spans="1:100" x14ac:dyDescent="0.2">
      <c r="A1311" t="s">
        <v>4981</v>
      </c>
      <c r="B1311" t="s">
        <v>1879</v>
      </c>
      <c r="C1311" t="s">
        <v>5015</v>
      </c>
      <c r="D1311" t="s">
        <v>4806</v>
      </c>
      <c r="E1311" t="s">
        <v>5016</v>
      </c>
      <c r="F1311" t="s">
        <v>118</v>
      </c>
      <c r="G1311" t="str">
        <f>HYPERLINK("https://vk.com/wall-22935147_368585?reply=368588")</f>
        <v>https://vk.com/wall-22935147_368585?reply=368588</v>
      </c>
      <c r="H1311" t="s">
        <v>119</v>
      </c>
      <c r="I1311" t="s">
        <v>5017</v>
      </c>
      <c r="J1311" t="str">
        <f>HYPERLINK("http://vk.com/id232350668")</f>
        <v>http://vk.com/id232350668</v>
      </c>
      <c r="K1311">
        <v>92</v>
      </c>
      <c r="L1311" t="s">
        <v>121</v>
      </c>
      <c r="M1311">
        <v>42</v>
      </c>
      <c r="N1311" t="s">
        <v>122</v>
      </c>
      <c r="O1311" t="s">
        <v>1093</v>
      </c>
      <c r="P1311" t="str">
        <f>HYPERLINK("http://vk.com/club22935147")</f>
        <v>http://vk.com/club22935147</v>
      </c>
      <c r="Q1311">
        <v>8943</v>
      </c>
      <c r="R1311" t="s">
        <v>124</v>
      </c>
      <c r="S1311" t="s">
        <v>125</v>
      </c>
      <c r="T1311" t="s">
        <v>570</v>
      </c>
      <c r="U1311" t="s">
        <v>5018</v>
      </c>
      <c r="W1311">
        <v>0</v>
      </c>
      <c r="X1311">
        <v>0</v>
      </c>
      <c r="AM1311" t="s">
        <v>129</v>
      </c>
      <c r="AN1311" t="s">
        <v>130</v>
      </c>
      <c r="AP1311" t="s">
        <v>41</v>
      </c>
      <c r="AT1311" t="s">
        <v>45</v>
      </c>
      <c r="AZ1311" t="s">
        <v>51</v>
      </c>
      <c r="BA1311" t="s">
        <v>52</v>
      </c>
    </row>
    <row r="1312" spans="1:100" x14ac:dyDescent="0.2">
      <c r="A1312" t="s">
        <v>4981</v>
      </c>
      <c r="B1312" t="s">
        <v>5019</v>
      </c>
      <c r="C1312" t="s">
        <v>5015</v>
      </c>
      <c r="D1312" t="s">
        <v>4806</v>
      </c>
      <c r="E1312" t="s">
        <v>5020</v>
      </c>
      <c r="F1312" t="s">
        <v>118</v>
      </c>
      <c r="G1312" t="str">
        <f>HYPERLINK("https://vk.com/wall-22935147_368585?reply=368587")</f>
        <v>https://vk.com/wall-22935147_368585?reply=368587</v>
      </c>
      <c r="H1312" t="s">
        <v>119</v>
      </c>
      <c r="I1312" t="s">
        <v>5021</v>
      </c>
      <c r="J1312" t="str">
        <f>HYPERLINK("http://vk.com/id514754539")</f>
        <v>http://vk.com/id514754539</v>
      </c>
      <c r="K1312">
        <v>57</v>
      </c>
      <c r="L1312" t="s">
        <v>121</v>
      </c>
      <c r="M1312">
        <v>20</v>
      </c>
      <c r="N1312" t="s">
        <v>122</v>
      </c>
      <c r="O1312" t="s">
        <v>1093</v>
      </c>
      <c r="P1312" t="str">
        <f>HYPERLINK("http://vk.com/club22935147")</f>
        <v>http://vk.com/club22935147</v>
      </c>
      <c r="Q1312">
        <v>8943</v>
      </c>
      <c r="R1312" t="s">
        <v>124</v>
      </c>
      <c r="S1312" t="s">
        <v>125</v>
      </c>
      <c r="T1312" t="s">
        <v>153</v>
      </c>
      <c r="U1312" t="s">
        <v>1851</v>
      </c>
      <c r="W1312">
        <v>0</v>
      </c>
      <c r="X1312">
        <v>0</v>
      </c>
      <c r="AM1312" t="s">
        <v>129</v>
      </c>
      <c r="AN1312" t="s">
        <v>130</v>
      </c>
      <c r="AP1312" t="s">
        <v>41</v>
      </c>
      <c r="AT1312" t="s">
        <v>45</v>
      </c>
      <c r="AZ1312" t="s">
        <v>51</v>
      </c>
      <c r="BA1312" t="s">
        <v>52</v>
      </c>
    </row>
    <row r="1313" spans="1:69" x14ac:dyDescent="0.2">
      <c r="A1313" t="s">
        <v>4981</v>
      </c>
      <c r="B1313" t="s">
        <v>2324</v>
      </c>
      <c r="C1313" t="s">
        <v>5015</v>
      </c>
      <c r="D1313" t="s">
        <v>129</v>
      </c>
      <c r="E1313" t="s">
        <v>4806</v>
      </c>
      <c r="F1313" t="s">
        <v>180</v>
      </c>
      <c r="G1313" t="str">
        <f>HYPERLINK("https://vk.com/wall-22935147_368585")</f>
        <v>https://vk.com/wall-22935147_368585</v>
      </c>
      <c r="H1313" t="s">
        <v>119</v>
      </c>
      <c r="I1313" t="s">
        <v>5022</v>
      </c>
      <c r="J1313" t="str">
        <f>HYPERLINK("http://vk.com/id468651130")</f>
        <v>http://vk.com/id468651130</v>
      </c>
      <c r="K1313">
        <v>77</v>
      </c>
      <c r="L1313" t="s">
        <v>121</v>
      </c>
      <c r="M1313">
        <v>45</v>
      </c>
      <c r="N1313" t="s">
        <v>122</v>
      </c>
      <c r="O1313" t="s">
        <v>1093</v>
      </c>
      <c r="P1313" t="str">
        <f>HYPERLINK("http://vk.com/club22935147")</f>
        <v>http://vk.com/club22935147</v>
      </c>
      <c r="Q1313">
        <v>8943</v>
      </c>
      <c r="R1313" t="s">
        <v>124</v>
      </c>
      <c r="S1313" t="s">
        <v>125</v>
      </c>
      <c r="T1313" t="s">
        <v>153</v>
      </c>
      <c r="U1313" t="s">
        <v>5023</v>
      </c>
      <c r="W1313">
        <v>12</v>
      </c>
      <c r="X1313">
        <v>12</v>
      </c>
      <c r="AE1313">
        <v>7</v>
      </c>
      <c r="AF1313">
        <v>0</v>
      </c>
      <c r="AG1313">
        <v>1807</v>
      </c>
      <c r="AJ1313" t="s">
        <v>5024</v>
      </c>
      <c r="AK1313" t="s">
        <v>129</v>
      </c>
      <c r="AL1313" t="str">
        <f>HYPERLINK("https://sun9-4.userapi.com/impg/wUZsq-PEUeX4hJ8HwIhTsEFcs2_mclg0E66xyw/BPXp_JNk3oM.jpg?size=1200x1600&amp;quality=96&amp;sign=46c8f3f1a0468acda8f2528d83fb7fdb&amp;c_uniq_tag=L2mz1z_5QKiNL7PXW6id6uAEx1emoinpDmHWjsUG0pY&amp;type=album")</f>
        <v>https://sun9-4.userapi.com/impg/wUZsq-PEUeX4hJ8HwIhTsEFcs2_mclg0E66xyw/BPXp_JNk3oM.jpg?size=1200x1600&amp;quality=96&amp;sign=46c8f3f1a0468acda8f2528d83fb7fdb&amp;c_uniq_tag=L2mz1z_5QKiNL7PXW6id6uAEx1emoinpDmHWjsUG0pY&amp;type=album</v>
      </c>
      <c r="AM1313" t="s">
        <v>129</v>
      </c>
      <c r="AN1313" t="s">
        <v>130</v>
      </c>
      <c r="AP1313" t="s">
        <v>41</v>
      </c>
      <c r="AZ1313" t="s">
        <v>51</v>
      </c>
      <c r="BA1313" t="s">
        <v>52</v>
      </c>
      <c r="BL1313" t="s">
        <v>63</v>
      </c>
    </row>
    <row r="1314" spans="1:69" x14ac:dyDescent="0.2">
      <c r="A1314" t="s">
        <v>4981</v>
      </c>
      <c r="B1314" t="s">
        <v>5025</v>
      </c>
      <c r="C1314" t="s">
        <v>5015</v>
      </c>
      <c r="D1314" t="s">
        <v>4782</v>
      </c>
      <c r="E1314" t="s">
        <v>5026</v>
      </c>
      <c r="F1314" t="s">
        <v>118</v>
      </c>
      <c r="G1314" t="str">
        <f>HYPERLINK("https://vk.com/wall-61101621_254734?reply=254740")</f>
        <v>https://vk.com/wall-61101621_254734?reply=254740</v>
      </c>
      <c r="H1314" t="s">
        <v>119</v>
      </c>
      <c r="I1314" t="s">
        <v>5027</v>
      </c>
      <c r="J1314" t="str">
        <f>HYPERLINK("http://vk.com/id12132513")</f>
        <v>http://vk.com/id12132513</v>
      </c>
      <c r="K1314">
        <v>350</v>
      </c>
      <c r="L1314" t="s">
        <v>121</v>
      </c>
      <c r="N1314" t="s">
        <v>122</v>
      </c>
      <c r="O1314" t="s">
        <v>160</v>
      </c>
      <c r="P1314" t="str">
        <f>HYPERLINK("http://vk.com/club61101621")</f>
        <v>http://vk.com/club61101621</v>
      </c>
      <c r="Q1314">
        <v>21119</v>
      </c>
      <c r="R1314" t="s">
        <v>124</v>
      </c>
      <c r="S1314" t="s">
        <v>125</v>
      </c>
      <c r="T1314" t="s">
        <v>372</v>
      </c>
      <c r="U1314" t="s">
        <v>5028</v>
      </c>
      <c r="W1314">
        <v>0</v>
      </c>
      <c r="X1314">
        <v>0</v>
      </c>
      <c r="AM1314" t="s">
        <v>129</v>
      </c>
      <c r="AN1314" t="s">
        <v>130</v>
      </c>
      <c r="AP1314" t="s">
        <v>41</v>
      </c>
      <c r="AT1314" t="s">
        <v>45</v>
      </c>
      <c r="AZ1314" t="s">
        <v>51</v>
      </c>
      <c r="BA1314" t="s">
        <v>52</v>
      </c>
      <c r="BM1314" t="s">
        <v>64</v>
      </c>
    </row>
    <row r="1315" spans="1:69" x14ac:dyDescent="0.2">
      <c r="A1315" t="s">
        <v>4981</v>
      </c>
      <c r="B1315" t="s">
        <v>5029</v>
      </c>
      <c r="C1315" t="s">
        <v>5030</v>
      </c>
      <c r="D1315" t="s">
        <v>204</v>
      </c>
      <c r="E1315" t="s">
        <v>5031</v>
      </c>
      <c r="F1315" t="s">
        <v>180</v>
      </c>
      <c r="G1315" t="str">
        <f>HYPERLINK("https://play.google.com/store/apps/details?id=ru.iflex.android.a3colortv&amp;reviewId=gp:AOqpTOFDa3d2oa9VlB6c6hjbn_tqTgPEmvTLSS81zihpOgKqNH75BW_WO0fBPOdpIZF71bdQuS9FgPzcHThvzA")</f>
        <v>https://play.google.com/store/apps/details?id=ru.iflex.android.a3colortv&amp;reviewId=gp:AOqpTOFDa3d2oa9VlB6c6hjbn_tqTgPEmvTLSS81zihpOgKqNH75BW_WO0fBPOdpIZF71bdQuS9FgPzcHThvzA</v>
      </c>
      <c r="H1315" t="s">
        <v>181</v>
      </c>
      <c r="I1315" t="s">
        <v>5032</v>
      </c>
      <c r="J1315" t="str">
        <f>HYPERLINK("https://plus.google.com/102213684780074195965")</f>
        <v>https://plus.google.com/102213684780074195965</v>
      </c>
      <c r="L1315" t="s">
        <v>151</v>
      </c>
      <c r="N1315" t="s">
        <v>207</v>
      </c>
      <c r="O1315" t="s">
        <v>204</v>
      </c>
      <c r="P1315" t="str">
        <f>HYPERLINK("https://play.google.com/store/apps/details?id=ru.iflex.android.a3colortv&amp;hl=ru")</f>
        <v>https://play.google.com/store/apps/details?id=ru.iflex.android.a3colortv&amp;hl=ru</v>
      </c>
      <c r="R1315" t="s">
        <v>184</v>
      </c>
      <c r="S1315" t="s">
        <v>125</v>
      </c>
      <c r="W1315">
        <v>0</v>
      </c>
      <c r="X1315">
        <v>0</v>
      </c>
      <c r="AH1315">
        <v>5</v>
      </c>
      <c r="AM1315" t="s">
        <v>129</v>
      </c>
      <c r="AN1315" t="s">
        <v>130</v>
      </c>
      <c r="AP1315" t="s">
        <v>41</v>
      </c>
      <c r="AZ1315" t="s">
        <v>51</v>
      </c>
      <c r="BA1315" t="s">
        <v>52</v>
      </c>
      <c r="BQ1315" t="s">
        <v>68</v>
      </c>
    </row>
    <row r="1316" spans="1:69" x14ac:dyDescent="0.2">
      <c r="A1316" t="s">
        <v>4981</v>
      </c>
      <c r="B1316" t="s">
        <v>5033</v>
      </c>
      <c r="C1316" t="s">
        <v>5034</v>
      </c>
      <c r="D1316" t="s">
        <v>4697</v>
      </c>
      <c r="E1316" t="s">
        <v>5035</v>
      </c>
      <c r="F1316" t="s">
        <v>118</v>
      </c>
      <c r="G1316" t="str">
        <f>HYPERLINK("https://vk.com/wall-22935147_368574?reply=368584&amp;thread=368576")</f>
        <v>https://vk.com/wall-22935147_368574?reply=368584&amp;thread=368576</v>
      </c>
      <c r="H1316" t="s">
        <v>228</v>
      </c>
      <c r="I1316" t="s">
        <v>5036</v>
      </c>
      <c r="J1316" t="str">
        <f>HYPERLINK("http://vk.com/id566870388")</f>
        <v>http://vk.com/id566870388</v>
      </c>
      <c r="L1316" t="s">
        <v>121</v>
      </c>
      <c r="N1316" t="s">
        <v>122</v>
      </c>
      <c r="O1316" t="s">
        <v>1093</v>
      </c>
      <c r="P1316" t="str">
        <f>HYPERLINK("http://vk.com/club22935147")</f>
        <v>http://vk.com/club22935147</v>
      </c>
      <c r="Q1316">
        <v>8943</v>
      </c>
      <c r="R1316" t="s">
        <v>124</v>
      </c>
      <c r="S1316" t="s">
        <v>125</v>
      </c>
      <c r="T1316" t="s">
        <v>169</v>
      </c>
      <c r="U1316" t="s">
        <v>169</v>
      </c>
      <c r="AM1316" t="s">
        <v>129</v>
      </c>
      <c r="AN1316" t="s">
        <v>130</v>
      </c>
      <c r="AP1316" t="s">
        <v>41</v>
      </c>
      <c r="AU1316" t="s">
        <v>46</v>
      </c>
      <c r="AY1316" t="s">
        <v>50</v>
      </c>
      <c r="AZ1316" t="s">
        <v>51</v>
      </c>
      <c r="BA1316" t="s">
        <v>52</v>
      </c>
      <c r="BQ1316" t="s">
        <v>68</v>
      </c>
    </row>
    <row r="1317" spans="1:69" x14ac:dyDescent="0.2">
      <c r="A1317" t="s">
        <v>4981</v>
      </c>
      <c r="B1317" t="s">
        <v>815</v>
      </c>
      <c r="C1317" t="s">
        <v>5037</v>
      </c>
      <c r="D1317" t="s">
        <v>5038</v>
      </c>
      <c r="E1317" t="s">
        <v>5039</v>
      </c>
      <c r="F1317" t="s">
        <v>180</v>
      </c>
      <c r="G1317" t="str">
        <f>HYPERLINK("https://www.ozon.ru/context/detail/id/216961648/#61091978")</f>
        <v>https://www.ozon.ru/context/detail/id/216961648/#61091978</v>
      </c>
      <c r="H1317" t="s">
        <v>119</v>
      </c>
      <c r="I1317" t="s">
        <v>512</v>
      </c>
      <c r="J1317" t="str">
        <f>HYPERLINK("https://www.ozon.ru/context/client_opinion/ClientGuid//")</f>
        <v>https://www.ozon.ru/context/client_opinion/ClientGuid//</v>
      </c>
      <c r="N1317" t="s">
        <v>183</v>
      </c>
      <c r="O1317" t="s">
        <v>5038</v>
      </c>
      <c r="P1317" t="str">
        <f>HYPERLINK("https://www.ozon.ru/context/detail/id/216961648/")</f>
        <v>https://www.ozon.ru/context/detail/id/216961648/</v>
      </c>
      <c r="R1317" t="s">
        <v>184</v>
      </c>
      <c r="S1317" t="s">
        <v>125</v>
      </c>
      <c r="W1317">
        <v>0</v>
      </c>
      <c r="X1317">
        <v>0</v>
      </c>
      <c r="AH1317">
        <v>4</v>
      </c>
      <c r="AM1317" t="s">
        <v>129</v>
      </c>
      <c r="AN1317" t="s">
        <v>130</v>
      </c>
      <c r="AP1317" t="s">
        <v>41</v>
      </c>
      <c r="AY1317" t="s">
        <v>50</v>
      </c>
      <c r="AZ1317" t="s">
        <v>51</v>
      </c>
      <c r="BA1317" t="s">
        <v>52</v>
      </c>
      <c r="BO1317" t="s">
        <v>66</v>
      </c>
    </row>
    <row r="1318" spans="1:69" x14ac:dyDescent="0.2">
      <c r="A1318" t="s">
        <v>4981</v>
      </c>
      <c r="B1318" t="s">
        <v>3634</v>
      </c>
      <c r="C1318" t="s">
        <v>5037</v>
      </c>
      <c r="D1318" t="s">
        <v>5040</v>
      </c>
      <c r="E1318" t="s">
        <v>5041</v>
      </c>
      <c r="F1318" t="s">
        <v>118</v>
      </c>
      <c r="G1318" t="str">
        <f>HYPERLINK("https://telegram.me/willichat/191966")</f>
        <v>https://telegram.me/willichat/191966</v>
      </c>
      <c r="H1318" t="s">
        <v>119</v>
      </c>
      <c r="I1318" t="s">
        <v>5042</v>
      </c>
      <c r="J1318" t="str">
        <f>HYPERLINK("https://telegram.me/alexeyrus2019")</f>
        <v>https://telegram.me/alexeyrus2019</v>
      </c>
      <c r="N1318" t="s">
        <v>143</v>
      </c>
      <c r="O1318" t="s">
        <v>5043</v>
      </c>
      <c r="P1318" t="str">
        <f>HYPERLINK("https://telegram.me/willichat")</f>
        <v>https://telegram.me/willichat</v>
      </c>
      <c r="Q1318">
        <v>3620</v>
      </c>
      <c r="R1318" t="s">
        <v>145</v>
      </c>
      <c r="AM1318" t="s">
        <v>129</v>
      </c>
      <c r="AN1318" t="s">
        <v>130</v>
      </c>
      <c r="AP1318" t="s">
        <v>41</v>
      </c>
      <c r="AZ1318" t="s">
        <v>51</v>
      </c>
      <c r="BB1318" t="s">
        <v>53</v>
      </c>
      <c r="BM1318" t="s">
        <v>64</v>
      </c>
    </row>
    <row r="1319" spans="1:69" x14ac:dyDescent="0.2">
      <c r="A1319" t="s">
        <v>4981</v>
      </c>
      <c r="B1319" t="s">
        <v>208</v>
      </c>
      <c r="C1319" t="s">
        <v>5044</v>
      </c>
      <c r="D1319" t="s">
        <v>2001</v>
      </c>
      <c r="E1319" t="s">
        <v>5045</v>
      </c>
      <c r="F1319" t="s">
        <v>118</v>
      </c>
      <c r="G1319" t="str">
        <f>HYPERLINK("https://ok.ru/group/51085510115462/topic/153461283857798#MTYyNjg5MTUxOTAwNjotMTk3NToxNjI2ODkxNTE5MDA2OjE1MzQ2MTI4Mzg1Nzc5ODox")</f>
        <v>https://ok.ru/group/51085510115462/topic/153461283857798#MTYyNjg5MTUxOTAwNjotMTk3NToxNjI2ODkxNTE5MDA2OjE1MzQ2MTI4Mzg1Nzc5ODox</v>
      </c>
      <c r="H1319" t="s">
        <v>228</v>
      </c>
      <c r="I1319" t="s">
        <v>5046</v>
      </c>
      <c r="J1319" t="str">
        <f>HYPERLINK("https://ok.ru/profile/565795640182")</f>
        <v>https://ok.ru/profile/565795640182</v>
      </c>
      <c r="K1319">
        <v>76</v>
      </c>
      <c r="L1319" t="s">
        <v>121</v>
      </c>
      <c r="M1319">
        <v>34</v>
      </c>
      <c r="N1319" t="s">
        <v>347</v>
      </c>
      <c r="O1319" t="s">
        <v>175</v>
      </c>
      <c r="P1319" t="str">
        <f>HYPERLINK("https://ok.ru/group/51085510115462")</f>
        <v>https://ok.ru/group/51085510115462</v>
      </c>
      <c r="Q1319">
        <v>94768</v>
      </c>
      <c r="R1319" t="s">
        <v>124</v>
      </c>
      <c r="S1319" t="s">
        <v>125</v>
      </c>
      <c r="T1319" t="s">
        <v>627</v>
      </c>
      <c r="U1319" t="s">
        <v>5047</v>
      </c>
      <c r="W1319">
        <v>0</v>
      </c>
      <c r="X1319">
        <v>0</v>
      </c>
      <c r="AM1319" t="s">
        <v>129</v>
      </c>
      <c r="AN1319" t="s">
        <v>130</v>
      </c>
      <c r="AP1319" t="s">
        <v>41</v>
      </c>
      <c r="AZ1319" t="s">
        <v>51</v>
      </c>
      <c r="BA1319" t="s">
        <v>52</v>
      </c>
      <c r="BM1319" t="s">
        <v>64</v>
      </c>
    </row>
    <row r="1320" spans="1:69" x14ac:dyDescent="0.2">
      <c r="A1320" t="s">
        <v>4981</v>
      </c>
      <c r="B1320" t="s">
        <v>5048</v>
      </c>
      <c r="C1320" t="s">
        <v>5030</v>
      </c>
      <c r="D1320" t="s">
        <v>204</v>
      </c>
      <c r="E1320" t="s">
        <v>5049</v>
      </c>
      <c r="F1320" t="s">
        <v>180</v>
      </c>
      <c r="G1320" t="str">
        <f>HYPERLINK("https://play.google.com/store/apps/details?id=ru.iflex.android.a3colortv&amp;reviewId=gp:AOqpTOH7Ha6zLbDNQ8U8IZjg_-H-V8h27Lw01VSKFxC8zwXYqEBIegi8cG-EDrWFTPUuro_ai65KGlh1Bsdc1w")</f>
        <v>https://play.google.com/store/apps/details?id=ru.iflex.android.a3colortv&amp;reviewId=gp:AOqpTOH7Ha6zLbDNQ8U8IZjg_-H-V8h27Lw01VSKFxC8zwXYqEBIegi8cG-EDrWFTPUuro_ai65KGlh1Bsdc1w</v>
      </c>
      <c r="H1320" t="s">
        <v>181</v>
      </c>
      <c r="I1320" t="s">
        <v>5050</v>
      </c>
      <c r="J1320" t="str">
        <f>HYPERLINK("https://plus.google.com/116736314053098300020")</f>
        <v>https://plus.google.com/116736314053098300020</v>
      </c>
      <c r="L1320" t="s">
        <v>121</v>
      </c>
      <c r="N1320" t="s">
        <v>207</v>
      </c>
      <c r="O1320" t="s">
        <v>204</v>
      </c>
      <c r="P1320" t="str">
        <f>HYPERLINK("https://play.google.com/store/apps/details?id=ru.iflex.android.a3colortv&amp;hl=ru")</f>
        <v>https://play.google.com/store/apps/details?id=ru.iflex.android.a3colortv&amp;hl=ru</v>
      </c>
      <c r="R1320" t="s">
        <v>184</v>
      </c>
      <c r="S1320" t="s">
        <v>125</v>
      </c>
      <c r="W1320">
        <v>0</v>
      </c>
      <c r="X1320">
        <v>0</v>
      </c>
      <c r="AH1320">
        <v>5</v>
      </c>
      <c r="AM1320" t="s">
        <v>129</v>
      </c>
      <c r="AN1320" t="s">
        <v>130</v>
      </c>
      <c r="AP1320" t="s">
        <v>41</v>
      </c>
      <c r="AZ1320" t="s">
        <v>51</v>
      </c>
      <c r="BA1320" t="s">
        <v>52</v>
      </c>
      <c r="BQ1320" t="s">
        <v>68</v>
      </c>
    </row>
    <row r="1321" spans="1:69" x14ac:dyDescent="0.2">
      <c r="A1321" t="s">
        <v>4981</v>
      </c>
      <c r="B1321" t="s">
        <v>5051</v>
      </c>
      <c r="C1321" t="s">
        <v>5052</v>
      </c>
      <c r="D1321" t="s">
        <v>5053</v>
      </c>
      <c r="E1321" t="s">
        <v>5054</v>
      </c>
      <c r="F1321" t="s">
        <v>118</v>
      </c>
      <c r="G1321" t="str">
        <f>HYPERLINK("https://vk.com/wall-77143523_221492?reply=221633&amp;thread=221537")</f>
        <v>https://vk.com/wall-77143523_221492?reply=221633&amp;thread=221537</v>
      </c>
      <c r="H1321" t="s">
        <v>119</v>
      </c>
      <c r="I1321" t="s">
        <v>5055</v>
      </c>
      <c r="J1321" t="str">
        <f>HYPERLINK("http://vk.com/id652055")</f>
        <v>http://vk.com/id652055</v>
      </c>
      <c r="K1321">
        <v>256</v>
      </c>
      <c r="L1321" t="s">
        <v>151</v>
      </c>
      <c r="N1321" t="s">
        <v>122</v>
      </c>
      <c r="O1321" t="s">
        <v>5056</v>
      </c>
      <c r="P1321" t="str">
        <f>HYPERLINK("http://vk.com/club77143523")</f>
        <v>http://vk.com/club77143523</v>
      </c>
      <c r="Q1321">
        <v>14448</v>
      </c>
      <c r="R1321" t="s">
        <v>124</v>
      </c>
      <c r="S1321" t="s">
        <v>125</v>
      </c>
      <c r="T1321" t="s">
        <v>137</v>
      </c>
      <c r="U1321" t="s">
        <v>137</v>
      </c>
      <c r="AM1321" t="s">
        <v>129</v>
      </c>
      <c r="AN1321" t="s">
        <v>130</v>
      </c>
      <c r="AP1321" t="s">
        <v>41</v>
      </c>
      <c r="AZ1321" t="s">
        <v>51</v>
      </c>
      <c r="BA1321" t="s">
        <v>52</v>
      </c>
      <c r="BL1321" t="s">
        <v>63</v>
      </c>
      <c r="BM1321" t="s">
        <v>64</v>
      </c>
    </row>
    <row r="1322" spans="1:69" x14ac:dyDescent="0.2">
      <c r="A1322" t="s">
        <v>4981</v>
      </c>
      <c r="B1322" t="s">
        <v>1339</v>
      </c>
      <c r="C1322" t="s">
        <v>5057</v>
      </c>
      <c r="D1322" t="s">
        <v>5053</v>
      </c>
      <c r="E1322" t="s">
        <v>5058</v>
      </c>
      <c r="F1322" t="s">
        <v>118</v>
      </c>
      <c r="G1322" t="str">
        <f>HYPERLINK("https://vk.com/wall-77143523_221492?reply=221629&amp;thread=221537")</f>
        <v>https://vk.com/wall-77143523_221492?reply=221629&amp;thread=221537</v>
      </c>
      <c r="H1322" t="s">
        <v>119</v>
      </c>
      <c r="I1322" t="s">
        <v>5055</v>
      </c>
      <c r="J1322" t="str">
        <f>HYPERLINK("http://vk.com/id652055")</f>
        <v>http://vk.com/id652055</v>
      </c>
      <c r="K1322">
        <v>256</v>
      </c>
      <c r="L1322" t="s">
        <v>151</v>
      </c>
      <c r="N1322" t="s">
        <v>122</v>
      </c>
      <c r="O1322" t="s">
        <v>5056</v>
      </c>
      <c r="P1322" t="str">
        <f>HYPERLINK("http://vk.com/club77143523")</f>
        <v>http://vk.com/club77143523</v>
      </c>
      <c r="Q1322">
        <v>14448</v>
      </c>
      <c r="R1322" t="s">
        <v>124</v>
      </c>
      <c r="S1322" t="s">
        <v>125</v>
      </c>
      <c r="T1322" t="s">
        <v>137</v>
      </c>
      <c r="U1322" t="s">
        <v>137</v>
      </c>
      <c r="AM1322" t="s">
        <v>129</v>
      </c>
      <c r="AN1322" t="s">
        <v>130</v>
      </c>
      <c r="AP1322" t="s">
        <v>41</v>
      </c>
      <c r="AT1322" t="s">
        <v>45</v>
      </c>
      <c r="AW1322" t="s">
        <v>48</v>
      </c>
      <c r="AZ1322" t="s">
        <v>51</v>
      </c>
      <c r="BA1322" t="s">
        <v>52</v>
      </c>
      <c r="BL1322" t="s">
        <v>63</v>
      </c>
    </row>
    <row r="1323" spans="1:69" x14ac:dyDescent="0.2">
      <c r="A1323" t="s">
        <v>4981</v>
      </c>
      <c r="B1323" t="s">
        <v>1345</v>
      </c>
      <c r="C1323" t="s">
        <v>5059</v>
      </c>
      <c r="D1323" t="s">
        <v>5053</v>
      </c>
      <c r="E1323" t="s">
        <v>5060</v>
      </c>
      <c r="F1323" t="s">
        <v>118</v>
      </c>
      <c r="G1323" t="str">
        <f>HYPERLINK("https://vk.com/wall-77143523_221492?reply=221626&amp;thread=221537")</f>
        <v>https://vk.com/wall-77143523_221492?reply=221626&amp;thread=221537</v>
      </c>
      <c r="H1323" t="s">
        <v>119</v>
      </c>
      <c r="I1323" t="s">
        <v>5055</v>
      </c>
      <c r="J1323" t="str">
        <f>HYPERLINK("http://vk.com/id652055")</f>
        <v>http://vk.com/id652055</v>
      </c>
      <c r="K1323">
        <v>256</v>
      </c>
      <c r="L1323" t="s">
        <v>151</v>
      </c>
      <c r="N1323" t="s">
        <v>122</v>
      </c>
      <c r="O1323" t="s">
        <v>5056</v>
      </c>
      <c r="P1323" t="str">
        <f>HYPERLINK("http://vk.com/club77143523")</f>
        <v>http://vk.com/club77143523</v>
      </c>
      <c r="Q1323">
        <v>14448</v>
      </c>
      <c r="R1323" t="s">
        <v>124</v>
      </c>
      <c r="S1323" t="s">
        <v>125</v>
      </c>
      <c r="T1323" t="s">
        <v>137</v>
      </c>
      <c r="U1323" t="s">
        <v>137</v>
      </c>
      <c r="AM1323" t="s">
        <v>129</v>
      </c>
      <c r="AN1323" t="s">
        <v>130</v>
      </c>
      <c r="AP1323" t="s">
        <v>41</v>
      </c>
      <c r="AT1323" t="s">
        <v>45</v>
      </c>
      <c r="AW1323" t="s">
        <v>48</v>
      </c>
      <c r="AZ1323" t="s">
        <v>51</v>
      </c>
      <c r="BA1323" t="s">
        <v>52</v>
      </c>
    </row>
    <row r="1324" spans="1:69" x14ac:dyDescent="0.2">
      <c r="A1324" t="s">
        <v>4981</v>
      </c>
      <c r="B1324" t="s">
        <v>5061</v>
      </c>
      <c r="C1324" t="s">
        <v>5062</v>
      </c>
      <c r="D1324" t="s">
        <v>5053</v>
      </c>
      <c r="E1324" t="s">
        <v>5063</v>
      </c>
      <c r="F1324" t="s">
        <v>118</v>
      </c>
      <c r="G1324" t="str">
        <f>HYPERLINK("https://vk.com/wall-77143523_221492?reply=221624&amp;thread=221537")</f>
        <v>https://vk.com/wall-77143523_221492?reply=221624&amp;thread=221537</v>
      </c>
      <c r="H1324" t="s">
        <v>119</v>
      </c>
      <c r="I1324" t="s">
        <v>5055</v>
      </c>
      <c r="J1324" t="str">
        <f>HYPERLINK("http://vk.com/id652055")</f>
        <v>http://vk.com/id652055</v>
      </c>
      <c r="K1324">
        <v>256</v>
      </c>
      <c r="L1324" t="s">
        <v>151</v>
      </c>
      <c r="N1324" t="s">
        <v>122</v>
      </c>
      <c r="O1324" t="s">
        <v>5056</v>
      </c>
      <c r="P1324" t="str">
        <f>HYPERLINK("http://vk.com/club77143523")</f>
        <v>http://vk.com/club77143523</v>
      </c>
      <c r="Q1324">
        <v>14448</v>
      </c>
      <c r="R1324" t="s">
        <v>124</v>
      </c>
      <c r="S1324" t="s">
        <v>125</v>
      </c>
      <c r="T1324" t="s">
        <v>137</v>
      </c>
      <c r="U1324" t="s">
        <v>137</v>
      </c>
      <c r="AM1324" t="s">
        <v>129</v>
      </c>
      <c r="AN1324" t="s">
        <v>130</v>
      </c>
      <c r="AP1324" t="s">
        <v>41</v>
      </c>
      <c r="AT1324" t="s">
        <v>45</v>
      </c>
      <c r="AW1324" t="s">
        <v>48</v>
      </c>
      <c r="AZ1324" t="s">
        <v>51</v>
      </c>
      <c r="BA1324" t="s">
        <v>52</v>
      </c>
    </row>
    <row r="1325" spans="1:69" x14ac:dyDescent="0.2">
      <c r="A1325" t="s">
        <v>4981</v>
      </c>
      <c r="B1325" t="s">
        <v>5064</v>
      </c>
      <c r="C1325" t="s">
        <v>5065</v>
      </c>
      <c r="D1325" t="s">
        <v>5053</v>
      </c>
      <c r="E1325" t="s">
        <v>5066</v>
      </c>
      <c r="F1325" t="s">
        <v>118</v>
      </c>
      <c r="G1325" t="str">
        <f>HYPERLINK("https://vk.com/wall-77143523_221492?reply=221622&amp;thread=221537")</f>
        <v>https://vk.com/wall-77143523_221492?reply=221622&amp;thread=221537</v>
      </c>
      <c r="H1325" t="s">
        <v>119</v>
      </c>
      <c r="I1325" t="s">
        <v>5055</v>
      </c>
      <c r="J1325" t="str">
        <f>HYPERLINK("http://vk.com/id652055")</f>
        <v>http://vk.com/id652055</v>
      </c>
      <c r="K1325">
        <v>256</v>
      </c>
      <c r="L1325" t="s">
        <v>151</v>
      </c>
      <c r="N1325" t="s">
        <v>122</v>
      </c>
      <c r="O1325" t="s">
        <v>5056</v>
      </c>
      <c r="P1325" t="str">
        <f>HYPERLINK("http://vk.com/club77143523")</f>
        <v>http://vk.com/club77143523</v>
      </c>
      <c r="Q1325">
        <v>14448</v>
      </c>
      <c r="R1325" t="s">
        <v>124</v>
      </c>
      <c r="S1325" t="s">
        <v>125</v>
      </c>
      <c r="T1325" t="s">
        <v>137</v>
      </c>
      <c r="U1325" t="s">
        <v>137</v>
      </c>
      <c r="AM1325" t="s">
        <v>129</v>
      </c>
      <c r="AN1325" t="s">
        <v>130</v>
      </c>
      <c r="AP1325" t="s">
        <v>41</v>
      </c>
      <c r="AT1325" t="s">
        <v>45</v>
      </c>
      <c r="AZ1325" t="s">
        <v>51</v>
      </c>
      <c r="BA1325" t="s">
        <v>52</v>
      </c>
    </row>
    <row r="1326" spans="1:69" x14ac:dyDescent="0.2">
      <c r="A1326" t="s">
        <v>4981</v>
      </c>
      <c r="B1326" t="s">
        <v>2396</v>
      </c>
      <c r="C1326" t="s">
        <v>5067</v>
      </c>
      <c r="D1326" t="s">
        <v>3981</v>
      </c>
      <c r="E1326" t="s">
        <v>5068</v>
      </c>
      <c r="F1326" t="s">
        <v>180</v>
      </c>
      <c r="G1326" t="str">
        <f>HYPERLINK("https://www.ozon.ru/context/detail/id/261317236/#61077852")</f>
        <v>https://www.ozon.ru/context/detail/id/261317236/#61077852</v>
      </c>
      <c r="H1326" t="s">
        <v>181</v>
      </c>
      <c r="I1326" t="s">
        <v>5069</v>
      </c>
      <c r="J1326" t="str">
        <f>HYPERLINK("https://www.ozon.ru/context/client_opinion/ClientGuid/b1c3f11f-94ce-4817-afcd-863608d7aedf/")</f>
        <v>https://www.ozon.ru/context/client_opinion/ClientGuid/b1c3f11f-94ce-4817-afcd-863608d7aedf/</v>
      </c>
      <c r="L1326" t="s">
        <v>121</v>
      </c>
      <c r="N1326" t="s">
        <v>183</v>
      </c>
      <c r="O1326" t="s">
        <v>3981</v>
      </c>
      <c r="P1326" t="str">
        <f>HYPERLINK("https://www.ozon.ru/context/detail/id/261317236/")</f>
        <v>https://www.ozon.ru/context/detail/id/261317236/</v>
      </c>
      <c r="R1326" t="s">
        <v>184</v>
      </c>
      <c r="S1326" t="s">
        <v>125</v>
      </c>
      <c r="W1326">
        <v>0</v>
      </c>
      <c r="X1326">
        <v>0</v>
      </c>
      <c r="AH1326">
        <v>5</v>
      </c>
      <c r="AM1326" t="s">
        <v>129</v>
      </c>
      <c r="AN1326" t="s">
        <v>130</v>
      </c>
      <c r="AP1326" t="s">
        <v>41</v>
      </c>
      <c r="AT1326" t="s">
        <v>45</v>
      </c>
      <c r="AZ1326" t="s">
        <v>51</v>
      </c>
      <c r="BA1326" t="s">
        <v>52</v>
      </c>
      <c r="BL1326" t="s">
        <v>63</v>
      </c>
    </row>
    <row r="1327" spans="1:69" x14ac:dyDescent="0.2">
      <c r="A1327" t="s">
        <v>4981</v>
      </c>
      <c r="B1327" t="s">
        <v>4178</v>
      </c>
      <c r="C1327" t="s">
        <v>5070</v>
      </c>
      <c r="D1327" t="s">
        <v>5053</v>
      </c>
      <c r="E1327" t="s">
        <v>5071</v>
      </c>
      <c r="F1327" t="s">
        <v>118</v>
      </c>
      <c r="G1327" t="str">
        <f>HYPERLINK("https://vk.com/wall-77143523_221492?reply=221599&amp;thread=221537")</f>
        <v>https://vk.com/wall-77143523_221492?reply=221599&amp;thread=221537</v>
      </c>
      <c r="H1327" t="s">
        <v>181</v>
      </c>
      <c r="I1327" t="s">
        <v>5072</v>
      </c>
      <c r="J1327" t="str">
        <f>HYPERLINK("http://vk.com/id464563758")</f>
        <v>http://vk.com/id464563758</v>
      </c>
      <c r="K1327">
        <v>176</v>
      </c>
      <c r="L1327" t="s">
        <v>151</v>
      </c>
      <c r="M1327">
        <v>54</v>
      </c>
      <c r="N1327" t="s">
        <v>122</v>
      </c>
      <c r="O1327" t="s">
        <v>5056</v>
      </c>
      <c r="P1327" t="str">
        <f>HYPERLINK("http://vk.com/club77143523")</f>
        <v>http://vk.com/club77143523</v>
      </c>
      <c r="Q1327">
        <v>14448</v>
      </c>
      <c r="R1327" t="s">
        <v>124</v>
      </c>
      <c r="S1327" t="s">
        <v>125</v>
      </c>
      <c r="T1327" t="s">
        <v>137</v>
      </c>
      <c r="U1327" t="s">
        <v>137</v>
      </c>
      <c r="AM1327" t="s">
        <v>129</v>
      </c>
      <c r="AN1327" t="s">
        <v>130</v>
      </c>
      <c r="AP1327" t="s">
        <v>41</v>
      </c>
      <c r="AT1327" t="s">
        <v>45</v>
      </c>
      <c r="AZ1327" t="s">
        <v>51</v>
      </c>
      <c r="BA1327" t="s">
        <v>52</v>
      </c>
      <c r="BL1327" t="s">
        <v>63</v>
      </c>
    </row>
    <row r="1328" spans="1:69" x14ac:dyDescent="0.2">
      <c r="A1328" t="s">
        <v>4981</v>
      </c>
      <c r="B1328" t="s">
        <v>4182</v>
      </c>
      <c r="C1328" t="s">
        <v>5073</v>
      </c>
      <c r="D1328" t="s">
        <v>5053</v>
      </c>
      <c r="E1328" t="s">
        <v>5071</v>
      </c>
      <c r="F1328" t="s">
        <v>118</v>
      </c>
      <c r="G1328" t="str">
        <f>HYPERLINK("https://vk.com/wall-77143523_221492?reply=221598&amp;thread=221494")</f>
        <v>https://vk.com/wall-77143523_221492?reply=221598&amp;thread=221494</v>
      </c>
      <c r="H1328" t="s">
        <v>119</v>
      </c>
      <c r="I1328" t="s">
        <v>5072</v>
      </c>
      <c r="J1328" t="str">
        <f>HYPERLINK("http://vk.com/id464563758")</f>
        <v>http://vk.com/id464563758</v>
      </c>
      <c r="K1328">
        <v>176</v>
      </c>
      <c r="L1328" t="s">
        <v>151</v>
      </c>
      <c r="M1328">
        <v>54</v>
      </c>
      <c r="N1328" t="s">
        <v>122</v>
      </c>
      <c r="O1328" t="s">
        <v>5056</v>
      </c>
      <c r="P1328" t="str">
        <f>HYPERLINK("http://vk.com/club77143523")</f>
        <v>http://vk.com/club77143523</v>
      </c>
      <c r="Q1328">
        <v>14448</v>
      </c>
      <c r="R1328" t="s">
        <v>124</v>
      </c>
      <c r="S1328" t="s">
        <v>125</v>
      </c>
      <c r="T1328" t="s">
        <v>137</v>
      </c>
      <c r="U1328" t="s">
        <v>137</v>
      </c>
      <c r="AM1328" t="s">
        <v>129</v>
      </c>
      <c r="AN1328" t="s">
        <v>130</v>
      </c>
      <c r="AP1328" t="s">
        <v>41</v>
      </c>
      <c r="AT1328" t="s">
        <v>45</v>
      </c>
      <c r="AW1328" t="s">
        <v>48</v>
      </c>
      <c r="AZ1328" t="s">
        <v>51</v>
      </c>
      <c r="BA1328" t="s">
        <v>52</v>
      </c>
      <c r="BL1328" t="s">
        <v>63</v>
      </c>
    </row>
    <row r="1329" spans="1:65" x14ac:dyDescent="0.2">
      <c r="A1329" t="s">
        <v>4981</v>
      </c>
      <c r="B1329" t="s">
        <v>1381</v>
      </c>
      <c r="C1329" t="s">
        <v>5074</v>
      </c>
      <c r="D1329" t="s">
        <v>5053</v>
      </c>
      <c r="E1329" t="s">
        <v>5075</v>
      </c>
      <c r="F1329" t="s">
        <v>118</v>
      </c>
      <c r="G1329" t="str">
        <f>HYPERLINK("https://vk.com/wall-77143523_221492?reply=221590&amp;thread=221537")</f>
        <v>https://vk.com/wall-77143523_221492?reply=221590&amp;thread=221537</v>
      </c>
      <c r="H1329" t="s">
        <v>119</v>
      </c>
      <c r="I1329" t="s">
        <v>5055</v>
      </c>
      <c r="J1329" t="str">
        <f>HYPERLINK("http://vk.com/id652055")</f>
        <v>http://vk.com/id652055</v>
      </c>
      <c r="K1329">
        <v>256</v>
      </c>
      <c r="L1329" t="s">
        <v>151</v>
      </c>
      <c r="N1329" t="s">
        <v>122</v>
      </c>
      <c r="O1329" t="s">
        <v>5056</v>
      </c>
      <c r="P1329" t="str">
        <f>HYPERLINK("http://vk.com/club77143523")</f>
        <v>http://vk.com/club77143523</v>
      </c>
      <c r="Q1329">
        <v>14448</v>
      </c>
      <c r="R1329" t="s">
        <v>124</v>
      </c>
      <c r="S1329" t="s">
        <v>125</v>
      </c>
      <c r="T1329" t="s">
        <v>137</v>
      </c>
      <c r="U1329" t="s">
        <v>137</v>
      </c>
      <c r="AM1329" t="s">
        <v>129</v>
      </c>
      <c r="AN1329" t="s">
        <v>130</v>
      </c>
      <c r="AP1329" t="s">
        <v>41</v>
      </c>
      <c r="AZ1329" t="s">
        <v>51</v>
      </c>
      <c r="BA1329" t="s">
        <v>52</v>
      </c>
      <c r="BL1329" t="s">
        <v>63</v>
      </c>
    </row>
    <row r="1330" spans="1:65" x14ac:dyDescent="0.2">
      <c r="A1330" t="s">
        <v>4981</v>
      </c>
      <c r="B1330" t="s">
        <v>836</v>
      </c>
      <c r="C1330" t="s">
        <v>5076</v>
      </c>
      <c r="D1330" t="s">
        <v>5053</v>
      </c>
      <c r="E1330" t="s">
        <v>5077</v>
      </c>
      <c r="F1330" t="s">
        <v>118</v>
      </c>
      <c r="G1330" t="str">
        <f>HYPERLINK("https://vk.com/wall-77143523_221492?reply=221589&amp;thread=221537")</f>
        <v>https://vk.com/wall-77143523_221492?reply=221589&amp;thread=221537</v>
      </c>
      <c r="H1330" t="s">
        <v>119</v>
      </c>
      <c r="I1330" t="s">
        <v>5055</v>
      </c>
      <c r="J1330" t="str">
        <f>HYPERLINK("http://vk.com/id652055")</f>
        <v>http://vk.com/id652055</v>
      </c>
      <c r="K1330">
        <v>256</v>
      </c>
      <c r="L1330" t="s">
        <v>151</v>
      </c>
      <c r="N1330" t="s">
        <v>122</v>
      </c>
      <c r="O1330" t="s">
        <v>5056</v>
      </c>
      <c r="P1330" t="str">
        <f>HYPERLINK("http://vk.com/club77143523")</f>
        <v>http://vk.com/club77143523</v>
      </c>
      <c r="Q1330">
        <v>14448</v>
      </c>
      <c r="R1330" t="s">
        <v>124</v>
      </c>
      <c r="S1330" t="s">
        <v>125</v>
      </c>
      <c r="T1330" t="s">
        <v>137</v>
      </c>
      <c r="U1330" t="s">
        <v>137</v>
      </c>
      <c r="AM1330" t="s">
        <v>129</v>
      </c>
      <c r="AN1330" t="s">
        <v>130</v>
      </c>
      <c r="AP1330" t="s">
        <v>41</v>
      </c>
      <c r="AT1330" t="s">
        <v>45</v>
      </c>
      <c r="AZ1330" t="s">
        <v>51</v>
      </c>
      <c r="BA1330" t="s">
        <v>52</v>
      </c>
      <c r="BL1330" t="s">
        <v>63</v>
      </c>
    </row>
    <row r="1331" spans="1:65" x14ac:dyDescent="0.2">
      <c r="A1331" t="s">
        <v>4981</v>
      </c>
      <c r="B1331" t="s">
        <v>5078</v>
      </c>
      <c r="C1331" t="s">
        <v>5079</v>
      </c>
      <c r="D1331" t="s">
        <v>4697</v>
      </c>
      <c r="E1331" t="s">
        <v>5080</v>
      </c>
      <c r="F1331" t="s">
        <v>118</v>
      </c>
      <c r="G1331" t="str">
        <f>HYPERLINK("https://vk.com/wall-22935147_368574?reply=368581&amp;thread=368576")</f>
        <v>https://vk.com/wall-22935147_368574?reply=368581&amp;thread=368576</v>
      </c>
      <c r="H1331" t="s">
        <v>119</v>
      </c>
      <c r="I1331" t="s">
        <v>254</v>
      </c>
      <c r="J1331" t="str">
        <f>HYPERLINK("http://vk.com/id286061518")</f>
        <v>http://vk.com/id286061518</v>
      </c>
      <c r="K1331">
        <v>5170</v>
      </c>
      <c r="L1331" t="s">
        <v>121</v>
      </c>
      <c r="M1331">
        <v>34</v>
      </c>
      <c r="N1331" t="s">
        <v>122</v>
      </c>
      <c r="O1331" t="s">
        <v>1093</v>
      </c>
      <c r="P1331" t="str">
        <f>HYPERLINK("http://vk.com/club22935147")</f>
        <v>http://vk.com/club22935147</v>
      </c>
      <c r="Q1331">
        <v>8943</v>
      </c>
      <c r="R1331" t="s">
        <v>124</v>
      </c>
      <c r="S1331" t="s">
        <v>125</v>
      </c>
      <c r="T1331" t="s">
        <v>256</v>
      </c>
      <c r="U1331" t="s">
        <v>257</v>
      </c>
      <c r="AM1331" t="s">
        <v>129</v>
      </c>
      <c r="AN1331" t="s">
        <v>130</v>
      </c>
      <c r="AP1331" t="s">
        <v>41</v>
      </c>
      <c r="AU1331" t="s">
        <v>46</v>
      </c>
      <c r="AY1331" t="s">
        <v>50</v>
      </c>
      <c r="AZ1331" t="s">
        <v>51</v>
      </c>
      <c r="BA1331" t="s">
        <v>52</v>
      </c>
    </row>
    <row r="1332" spans="1:65" x14ac:dyDescent="0.2">
      <c r="A1332" t="s">
        <v>4981</v>
      </c>
      <c r="B1332" t="s">
        <v>5078</v>
      </c>
      <c r="C1332" t="s">
        <v>5081</v>
      </c>
      <c r="D1332" t="s">
        <v>4697</v>
      </c>
      <c r="E1332" t="s">
        <v>5082</v>
      </c>
      <c r="F1332" t="s">
        <v>118</v>
      </c>
      <c r="G1332" t="str">
        <f>HYPERLINK("https://vk.com/wall-22935147_368574?reply=368580&amp;thread=368576")</f>
        <v>https://vk.com/wall-22935147_368574?reply=368580&amp;thread=368576</v>
      </c>
      <c r="H1332" t="s">
        <v>119</v>
      </c>
      <c r="I1332" t="s">
        <v>254</v>
      </c>
      <c r="J1332" t="str">
        <f>HYPERLINK("http://vk.com/id286061518")</f>
        <v>http://vk.com/id286061518</v>
      </c>
      <c r="K1332">
        <v>5170</v>
      </c>
      <c r="L1332" t="s">
        <v>121</v>
      </c>
      <c r="M1332">
        <v>34</v>
      </c>
      <c r="N1332" t="s">
        <v>122</v>
      </c>
      <c r="O1332" t="s">
        <v>1093</v>
      </c>
      <c r="P1332" t="str">
        <f>HYPERLINK("http://vk.com/club22935147")</f>
        <v>http://vk.com/club22935147</v>
      </c>
      <c r="Q1332">
        <v>8943</v>
      </c>
      <c r="R1332" t="s">
        <v>124</v>
      </c>
      <c r="S1332" t="s">
        <v>125</v>
      </c>
      <c r="T1332" t="s">
        <v>256</v>
      </c>
      <c r="U1332" t="s">
        <v>257</v>
      </c>
      <c r="AM1332" t="s">
        <v>129</v>
      </c>
      <c r="AN1332" t="s">
        <v>130</v>
      </c>
      <c r="AP1332" t="s">
        <v>41</v>
      </c>
      <c r="AU1332" t="s">
        <v>46</v>
      </c>
      <c r="AZ1332" t="s">
        <v>51</v>
      </c>
      <c r="BA1332" t="s">
        <v>52</v>
      </c>
    </row>
    <row r="1333" spans="1:65" x14ac:dyDescent="0.2">
      <c r="A1333" t="s">
        <v>4981</v>
      </c>
      <c r="B1333" t="s">
        <v>1937</v>
      </c>
      <c r="C1333" t="s">
        <v>5083</v>
      </c>
      <c r="D1333" t="s">
        <v>5053</v>
      </c>
      <c r="E1333" t="s">
        <v>5084</v>
      </c>
      <c r="F1333" t="s">
        <v>118</v>
      </c>
      <c r="G1333" t="str">
        <f>HYPERLINK("https://vk.com/wall-77143523_221492?reply=221583&amp;thread=221494")</f>
        <v>https://vk.com/wall-77143523_221492?reply=221583&amp;thread=221494</v>
      </c>
      <c r="H1333" t="s">
        <v>119</v>
      </c>
      <c r="I1333" t="s">
        <v>5055</v>
      </c>
      <c r="J1333" t="str">
        <f>HYPERLINK("http://vk.com/id652055")</f>
        <v>http://vk.com/id652055</v>
      </c>
      <c r="K1333">
        <v>256</v>
      </c>
      <c r="L1333" t="s">
        <v>151</v>
      </c>
      <c r="N1333" t="s">
        <v>122</v>
      </c>
      <c r="O1333" t="s">
        <v>5056</v>
      </c>
      <c r="P1333" t="str">
        <f>HYPERLINK("http://vk.com/club77143523")</f>
        <v>http://vk.com/club77143523</v>
      </c>
      <c r="Q1333">
        <v>14448</v>
      </c>
      <c r="R1333" t="s">
        <v>124</v>
      </c>
      <c r="S1333" t="s">
        <v>125</v>
      </c>
      <c r="T1333" t="s">
        <v>137</v>
      </c>
      <c r="U1333" t="s">
        <v>137</v>
      </c>
      <c r="AM1333" t="s">
        <v>129</v>
      </c>
      <c r="AN1333" t="s">
        <v>130</v>
      </c>
      <c r="AP1333" t="s">
        <v>41</v>
      </c>
      <c r="AT1333" t="s">
        <v>45</v>
      </c>
      <c r="AZ1333" t="s">
        <v>51</v>
      </c>
      <c r="BA1333" t="s">
        <v>52</v>
      </c>
    </row>
    <row r="1334" spans="1:65" x14ac:dyDescent="0.2">
      <c r="A1334" t="s">
        <v>4981</v>
      </c>
      <c r="B1334" t="s">
        <v>4203</v>
      </c>
      <c r="C1334" t="s">
        <v>5085</v>
      </c>
      <c r="D1334" t="s">
        <v>5053</v>
      </c>
      <c r="E1334" t="s">
        <v>5086</v>
      </c>
      <c r="F1334" t="s">
        <v>118</v>
      </c>
      <c r="G1334" t="str">
        <f>HYPERLINK("https://vk.com/wall-77143523_221492?reply=221576&amp;thread=221494")</f>
        <v>https://vk.com/wall-77143523_221492?reply=221576&amp;thread=221494</v>
      </c>
      <c r="H1334" t="s">
        <v>119</v>
      </c>
      <c r="I1334" t="s">
        <v>5055</v>
      </c>
      <c r="J1334" t="str">
        <f>HYPERLINK("http://vk.com/id652055")</f>
        <v>http://vk.com/id652055</v>
      </c>
      <c r="K1334">
        <v>256</v>
      </c>
      <c r="L1334" t="s">
        <v>151</v>
      </c>
      <c r="N1334" t="s">
        <v>122</v>
      </c>
      <c r="O1334" t="s">
        <v>5056</v>
      </c>
      <c r="P1334" t="str">
        <f>HYPERLINK("http://vk.com/club77143523")</f>
        <v>http://vk.com/club77143523</v>
      </c>
      <c r="Q1334">
        <v>14448</v>
      </c>
      <c r="R1334" t="s">
        <v>124</v>
      </c>
      <c r="S1334" t="s">
        <v>125</v>
      </c>
      <c r="T1334" t="s">
        <v>137</v>
      </c>
      <c r="U1334" t="s">
        <v>137</v>
      </c>
      <c r="AM1334" t="s">
        <v>129</v>
      </c>
      <c r="AN1334" t="s">
        <v>130</v>
      </c>
      <c r="AP1334" t="s">
        <v>41</v>
      </c>
      <c r="AT1334" t="s">
        <v>45</v>
      </c>
      <c r="AZ1334" t="s">
        <v>51</v>
      </c>
      <c r="BA1334" t="s">
        <v>52</v>
      </c>
      <c r="BL1334" t="s">
        <v>63</v>
      </c>
      <c r="BM1334" t="s">
        <v>64</v>
      </c>
    </row>
    <row r="1335" spans="1:65" x14ac:dyDescent="0.2">
      <c r="A1335" t="s">
        <v>4981</v>
      </c>
      <c r="B1335" t="s">
        <v>5087</v>
      </c>
      <c r="C1335" t="s">
        <v>5088</v>
      </c>
      <c r="D1335" t="s">
        <v>4697</v>
      </c>
      <c r="E1335" t="s">
        <v>5089</v>
      </c>
      <c r="F1335" t="s">
        <v>118</v>
      </c>
      <c r="G1335" t="str">
        <f>HYPERLINK("https://vk.com/wall-22935147_368574?w=wall-22935147_368574_r368579")</f>
        <v>https://vk.com/wall-22935147_368574?w=wall-22935147_368574_r368579</v>
      </c>
      <c r="H1335" t="s">
        <v>228</v>
      </c>
      <c r="I1335" t="s">
        <v>5090</v>
      </c>
      <c r="J1335" t="str">
        <f>HYPERLINK("http://vk.com/id312564300")</f>
        <v>http://vk.com/id312564300</v>
      </c>
      <c r="K1335">
        <v>79</v>
      </c>
      <c r="L1335" t="s">
        <v>121</v>
      </c>
      <c r="N1335" t="s">
        <v>122</v>
      </c>
      <c r="O1335" t="s">
        <v>1093</v>
      </c>
      <c r="P1335" t="str">
        <f>HYPERLINK("http://vk.com/club22935147")</f>
        <v>http://vk.com/club22935147</v>
      </c>
      <c r="Q1335">
        <v>8943</v>
      </c>
      <c r="R1335" t="s">
        <v>124</v>
      </c>
      <c r="S1335" t="s">
        <v>1856</v>
      </c>
      <c r="T1335" t="s">
        <v>5091</v>
      </c>
      <c r="U1335" t="s">
        <v>5091</v>
      </c>
      <c r="W1335">
        <v>0</v>
      </c>
      <c r="X1335">
        <v>0</v>
      </c>
      <c r="AM1335" t="s">
        <v>129</v>
      </c>
      <c r="AN1335" t="s">
        <v>130</v>
      </c>
      <c r="AP1335" t="s">
        <v>41</v>
      </c>
      <c r="AZ1335" t="s">
        <v>51</v>
      </c>
      <c r="BA1335" t="s">
        <v>52</v>
      </c>
      <c r="BL1335" t="s">
        <v>63</v>
      </c>
    </row>
    <row r="1336" spans="1:65" x14ac:dyDescent="0.2">
      <c r="A1336" t="s">
        <v>4981</v>
      </c>
      <c r="B1336" t="s">
        <v>1403</v>
      </c>
      <c r="C1336" t="s">
        <v>5088</v>
      </c>
      <c r="D1336" t="s">
        <v>4505</v>
      </c>
      <c r="E1336" t="s">
        <v>5092</v>
      </c>
      <c r="F1336" t="s">
        <v>118</v>
      </c>
      <c r="G1336" t="str">
        <f>HYPERLINK("https://vk.com/wall-22935147_368528?w=wall-22935147_368528_r368578")</f>
        <v>https://vk.com/wall-22935147_368528?w=wall-22935147_368528_r368578</v>
      </c>
      <c r="H1336" t="s">
        <v>119</v>
      </c>
      <c r="I1336" t="s">
        <v>5090</v>
      </c>
      <c r="J1336" t="str">
        <f>HYPERLINK("http://vk.com/id312564300")</f>
        <v>http://vk.com/id312564300</v>
      </c>
      <c r="K1336">
        <v>79</v>
      </c>
      <c r="L1336" t="s">
        <v>121</v>
      </c>
      <c r="N1336" t="s">
        <v>122</v>
      </c>
      <c r="O1336" t="s">
        <v>1093</v>
      </c>
      <c r="P1336" t="str">
        <f>HYPERLINK("http://vk.com/club22935147")</f>
        <v>http://vk.com/club22935147</v>
      </c>
      <c r="Q1336">
        <v>8943</v>
      </c>
      <c r="R1336" t="s">
        <v>124</v>
      </c>
      <c r="S1336" t="s">
        <v>1856</v>
      </c>
      <c r="T1336" t="s">
        <v>5091</v>
      </c>
      <c r="U1336" t="s">
        <v>5091</v>
      </c>
      <c r="W1336">
        <v>0</v>
      </c>
      <c r="X1336">
        <v>0</v>
      </c>
      <c r="AM1336" t="s">
        <v>129</v>
      </c>
      <c r="AN1336" t="s">
        <v>130</v>
      </c>
      <c r="AP1336" t="s">
        <v>41</v>
      </c>
      <c r="AU1336" t="s">
        <v>46</v>
      </c>
      <c r="AZ1336" t="s">
        <v>51</v>
      </c>
      <c r="BA1336" t="s">
        <v>52</v>
      </c>
    </row>
    <row r="1337" spans="1:65" x14ac:dyDescent="0.2">
      <c r="A1337" t="s">
        <v>4981</v>
      </c>
      <c r="B1337" t="s">
        <v>2431</v>
      </c>
      <c r="C1337" t="s">
        <v>5093</v>
      </c>
      <c r="D1337" t="s">
        <v>5053</v>
      </c>
      <c r="E1337" t="s">
        <v>5094</v>
      </c>
      <c r="F1337" t="s">
        <v>118</v>
      </c>
      <c r="G1337" t="str">
        <f>HYPERLINK("https://vk.com/wall-77143523_221492?reply=221575&amp;thread=221494")</f>
        <v>https://vk.com/wall-77143523_221492?reply=221575&amp;thread=221494</v>
      </c>
      <c r="H1337" t="s">
        <v>119</v>
      </c>
      <c r="I1337" t="s">
        <v>5055</v>
      </c>
      <c r="J1337" t="str">
        <f>HYPERLINK("http://vk.com/id652055")</f>
        <v>http://vk.com/id652055</v>
      </c>
      <c r="K1337">
        <v>256</v>
      </c>
      <c r="L1337" t="s">
        <v>151</v>
      </c>
      <c r="N1337" t="s">
        <v>122</v>
      </c>
      <c r="O1337" t="s">
        <v>5056</v>
      </c>
      <c r="P1337" t="str">
        <f>HYPERLINK("http://vk.com/club77143523")</f>
        <v>http://vk.com/club77143523</v>
      </c>
      <c r="Q1337">
        <v>14448</v>
      </c>
      <c r="R1337" t="s">
        <v>124</v>
      </c>
      <c r="S1337" t="s">
        <v>125</v>
      </c>
      <c r="T1337" t="s">
        <v>137</v>
      </c>
      <c r="U1337" t="s">
        <v>137</v>
      </c>
      <c r="AM1337" t="s">
        <v>129</v>
      </c>
      <c r="AN1337" t="s">
        <v>130</v>
      </c>
      <c r="AP1337" t="s">
        <v>41</v>
      </c>
      <c r="AT1337" t="s">
        <v>45</v>
      </c>
      <c r="AZ1337" t="s">
        <v>51</v>
      </c>
      <c r="BA1337" t="s">
        <v>52</v>
      </c>
    </row>
    <row r="1338" spans="1:65" x14ac:dyDescent="0.2">
      <c r="A1338" t="s">
        <v>4981</v>
      </c>
      <c r="B1338" t="s">
        <v>5095</v>
      </c>
      <c r="C1338" t="s">
        <v>5096</v>
      </c>
      <c r="D1338" t="s">
        <v>5053</v>
      </c>
      <c r="E1338" t="s">
        <v>5097</v>
      </c>
      <c r="F1338" t="s">
        <v>118</v>
      </c>
      <c r="G1338" t="str">
        <f>HYPERLINK("https://vk.com/wall-77143523_221492?reply=221570&amp;thread=221494")</f>
        <v>https://vk.com/wall-77143523_221492?reply=221570&amp;thread=221494</v>
      </c>
      <c r="H1338" t="s">
        <v>119</v>
      </c>
      <c r="I1338" t="s">
        <v>5055</v>
      </c>
      <c r="J1338" t="str">
        <f>HYPERLINK("http://vk.com/id652055")</f>
        <v>http://vk.com/id652055</v>
      </c>
      <c r="K1338">
        <v>256</v>
      </c>
      <c r="L1338" t="s">
        <v>151</v>
      </c>
      <c r="N1338" t="s">
        <v>122</v>
      </c>
      <c r="O1338" t="s">
        <v>5056</v>
      </c>
      <c r="P1338" t="str">
        <f>HYPERLINK("http://vk.com/club77143523")</f>
        <v>http://vk.com/club77143523</v>
      </c>
      <c r="Q1338">
        <v>14448</v>
      </c>
      <c r="R1338" t="s">
        <v>124</v>
      </c>
      <c r="S1338" t="s">
        <v>125</v>
      </c>
      <c r="T1338" t="s">
        <v>137</v>
      </c>
      <c r="U1338" t="s">
        <v>137</v>
      </c>
      <c r="AM1338" t="s">
        <v>129</v>
      </c>
      <c r="AN1338" t="s">
        <v>130</v>
      </c>
      <c r="AP1338" t="s">
        <v>41</v>
      </c>
      <c r="AZ1338" t="s">
        <v>51</v>
      </c>
      <c r="BA1338" t="s">
        <v>52</v>
      </c>
      <c r="BL1338" t="s">
        <v>63</v>
      </c>
      <c r="BM1338" t="s">
        <v>64</v>
      </c>
    </row>
    <row r="1339" spans="1:65" x14ac:dyDescent="0.2">
      <c r="A1339" t="s">
        <v>4981</v>
      </c>
      <c r="B1339" t="s">
        <v>3684</v>
      </c>
      <c r="C1339" t="s">
        <v>5098</v>
      </c>
      <c r="D1339" t="s">
        <v>5099</v>
      </c>
      <c r="E1339" t="s">
        <v>5100</v>
      </c>
      <c r="F1339" t="s">
        <v>118</v>
      </c>
      <c r="G1339" t="str">
        <f>HYPERLINK("https://telegram.me/alibekovforum/73862")</f>
        <v>https://telegram.me/alibekovforum/73862</v>
      </c>
      <c r="H1339" t="s">
        <v>181</v>
      </c>
      <c r="I1339" t="s">
        <v>5101</v>
      </c>
      <c r="J1339" t="str">
        <f>HYPERLINK("https://telegram.me/shakh858")</f>
        <v>https://telegram.me/shakh858</v>
      </c>
      <c r="N1339" t="s">
        <v>143</v>
      </c>
      <c r="O1339" t="s">
        <v>5102</v>
      </c>
      <c r="P1339" t="str">
        <f>HYPERLINK("https://telegram.me/alibekovforum")</f>
        <v>https://telegram.me/alibekovforum</v>
      </c>
      <c r="Q1339">
        <v>682</v>
      </c>
      <c r="R1339" t="s">
        <v>145</v>
      </c>
      <c r="AM1339" t="s">
        <v>129</v>
      </c>
      <c r="AN1339" t="s">
        <v>130</v>
      </c>
      <c r="AP1339" t="s">
        <v>41</v>
      </c>
      <c r="AW1339" t="s">
        <v>48</v>
      </c>
      <c r="AZ1339" t="s">
        <v>51</v>
      </c>
      <c r="BA1339" t="s">
        <v>52</v>
      </c>
    </row>
    <row r="1340" spans="1:65" x14ac:dyDescent="0.2">
      <c r="A1340" t="s">
        <v>4981</v>
      </c>
      <c r="B1340" t="s">
        <v>1425</v>
      </c>
      <c r="C1340" t="s">
        <v>5103</v>
      </c>
      <c r="D1340" t="s">
        <v>3603</v>
      </c>
      <c r="E1340" t="s">
        <v>5104</v>
      </c>
      <c r="F1340" t="s">
        <v>180</v>
      </c>
      <c r="G1340" t="str">
        <f>HYPERLINK("https://www.ozon.ru/context/detail/id/240959108/#61061495")</f>
        <v>https://www.ozon.ru/context/detail/id/240959108/#61061495</v>
      </c>
      <c r="H1340" t="s">
        <v>181</v>
      </c>
      <c r="I1340" t="s">
        <v>512</v>
      </c>
      <c r="J1340" t="str">
        <f>HYPERLINK("https://www.ozon.ru/context/client_opinion/ClientGuid//")</f>
        <v>https://www.ozon.ru/context/client_opinion/ClientGuid//</v>
      </c>
      <c r="N1340" t="s">
        <v>183</v>
      </c>
      <c r="O1340" t="s">
        <v>3603</v>
      </c>
      <c r="P1340" t="str">
        <f>HYPERLINK("https://www.ozon.ru/context/detail/id/240959108/")</f>
        <v>https://www.ozon.ru/context/detail/id/240959108/</v>
      </c>
      <c r="R1340" t="s">
        <v>184</v>
      </c>
      <c r="S1340" t="s">
        <v>125</v>
      </c>
      <c r="W1340">
        <v>0</v>
      </c>
      <c r="X1340">
        <v>0</v>
      </c>
      <c r="AH1340">
        <v>5</v>
      </c>
      <c r="AM1340" t="s">
        <v>129</v>
      </c>
      <c r="AN1340" t="s">
        <v>130</v>
      </c>
      <c r="AP1340" t="s">
        <v>41</v>
      </c>
      <c r="AZ1340" t="s">
        <v>51</v>
      </c>
      <c r="BA1340" t="s">
        <v>52</v>
      </c>
      <c r="BK1340" t="s">
        <v>62</v>
      </c>
      <c r="BL1340" t="s">
        <v>63</v>
      </c>
    </row>
    <row r="1341" spans="1:65" x14ac:dyDescent="0.2">
      <c r="A1341" t="s">
        <v>4981</v>
      </c>
      <c r="B1341" t="s">
        <v>3700</v>
      </c>
      <c r="C1341" t="s">
        <v>5105</v>
      </c>
      <c r="D1341" t="s">
        <v>5053</v>
      </c>
      <c r="E1341" t="s">
        <v>5106</v>
      </c>
      <c r="F1341" t="s">
        <v>118</v>
      </c>
      <c r="G1341" t="str">
        <f>HYPERLINK("https://vk.com/wall-77143523_221492?reply=221557&amp;thread=221537")</f>
        <v>https://vk.com/wall-77143523_221492?reply=221557&amp;thread=221537</v>
      </c>
      <c r="H1341" t="s">
        <v>119</v>
      </c>
      <c r="I1341" t="s">
        <v>5072</v>
      </c>
      <c r="J1341" t="str">
        <f>HYPERLINK("http://vk.com/id464563758")</f>
        <v>http://vk.com/id464563758</v>
      </c>
      <c r="K1341">
        <v>176</v>
      </c>
      <c r="L1341" t="s">
        <v>151</v>
      </c>
      <c r="M1341">
        <v>54</v>
      </c>
      <c r="N1341" t="s">
        <v>122</v>
      </c>
      <c r="O1341" t="s">
        <v>5056</v>
      </c>
      <c r="P1341" t="str">
        <f>HYPERLINK("http://vk.com/club77143523")</f>
        <v>http://vk.com/club77143523</v>
      </c>
      <c r="Q1341">
        <v>14448</v>
      </c>
      <c r="R1341" t="s">
        <v>124</v>
      </c>
      <c r="S1341" t="s">
        <v>125</v>
      </c>
      <c r="T1341" t="s">
        <v>137</v>
      </c>
      <c r="U1341" t="s">
        <v>137</v>
      </c>
      <c r="AM1341" t="s">
        <v>129</v>
      </c>
      <c r="AN1341" t="s">
        <v>130</v>
      </c>
      <c r="AP1341" t="s">
        <v>41</v>
      </c>
      <c r="AT1341" t="s">
        <v>45</v>
      </c>
      <c r="AW1341" t="s">
        <v>48</v>
      </c>
      <c r="AZ1341" t="s">
        <v>51</v>
      </c>
      <c r="BA1341" t="s">
        <v>52</v>
      </c>
    </row>
    <row r="1342" spans="1:65" x14ac:dyDescent="0.2">
      <c r="A1342" t="s">
        <v>4981</v>
      </c>
      <c r="B1342" t="s">
        <v>3700</v>
      </c>
      <c r="C1342" t="s">
        <v>5107</v>
      </c>
      <c r="D1342" t="s">
        <v>5053</v>
      </c>
      <c r="E1342" t="s">
        <v>5108</v>
      </c>
      <c r="F1342" t="s">
        <v>118</v>
      </c>
      <c r="G1342" t="str">
        <f>HYPERLINK("https://vk.com/wall-77143523_221492?reply=221556&amp;thread=221494")</f>
        <v>https://vk.com/wall-77143523_221492?reply=221556&amp;thread=221494</v>
      </c>
      <c r="H1342" t="s">
        <v>119</v>
      </c>
      <c r="I1342" t="s">
        <v>5072</v>
      </c>
      <c r="J1342" t="str">
        <f>HYPERLINK("http://vk.com/id464563758")</f>
        <v>http://vk.com/id464563758</v>
      </c>
      <c r="K1342">
        <v>176</v>
      </c>
      <c r="L1342" t="s">
        <v>151</v>
      </c>
      <c r="M1342">
        <v>54</v>
      </c>
      <c r="N1342" t="s">
        <v>122</v>
      </c>
      <c r="O1342" t="s">
        <v>5056</v>
      </c>
      <c r="P1342" t="str">
        <f>HYPERLINK("http://vk.com/club77143523")</f>
        <v>http://vk.com/club77143523</v>
      </c>
      <c r="Q1342">
        <v>14448</v>
      </c>
      <c r="R1342" t="s">
        <v>124</v>
      </c>
      <c r="S1342" t="s">
        <v>125</v>
      </c>
      <c r="T1342" t="s">
        <v>137</v>
      </c>
      <c r="U1342" t="s">
        <v>137</v>
      </c>
      <c r="AM1342" t="s">
        <v>129</v>
      </c>
      <c r="AN1342" t="s">
        <v>130</v>
      </c>
      <c r="AP1342" t="s">
        <v>41</v>
      </c>
      <c r="AW1342" t="s">
        <v>48</v>
      </c>
      <c r="AZ1342" t="s">
        <v>51</v>
      </c>
      <c r="BA1342" t="s">
        <v>52</v>
      </c>
    </row>
    <row r="1343" spans="1:65" x14ac:dyDescent="0.2">
      <c r="A1343" t="s">
        <v>4981</v>
      </c>
      <c r="B1343" t="s">
        <v>877</v>
      </c>
      <c r="C1343" t="s">
        <v>5107</v>
      </c>
      <c r="D1343" t="s">
        <v>4505</v>
      </c>
      <c r="E1343" t="s">
        <v>5109</v>
      </c>
      <c r="F1343" t="s">
        <v>118</v>
      </c>
      <c r="G1343" t="str">
        <f>HYPERLINK("https://vk.com/wall-22935147_368528?reply=368577")</f>
        <v>https://vk.com/wall-22935147_368528?reply=368577</v>
      </c>
      <c r="H1343" t="s">
        <v>119</v>
      </c>
      <c r="I1343" t="s">
        <v>5110</v>
      </c>
      <c r="J1343" t="str">
        <f>HYPERLINK("http://vk.com/id521162897")</f>
        <v>http://vk.com/id521162897</v>
      </c>
      <c r="L1343" t="s">
        <v>121</v>
      </c>
      <c r="N1343" t="s">
        <v>122</v>
      </c>
      <c r="O1343" t="s">
        <v>1093</v>
      </c>
      <c r="P1343" t="str">
        <f>HYPERLINK("http://vk.com/club22935147")</f>
        <v>http://vk.com/club22935147</v>
      </c>
      <c r="Q1343">
        <v>8943</v>
      </c>
      <c r="R1343" t="s">
        <v>124</v>
      </c>
      <c r="S1343" t="s">
        <v>125</v>
      </c>
      <c r="T1343" t="s">
        <v>169</v>
      </c>
      <c r="U1343" t="s">
        <v>169</v>
      </c>
      <c r="AM1343" t="s">
        <v>129</v>
      </c>
      <c r="AN1343" t="s">
        <v>130</v>
      </c>
      <c r="AP1343" t="s">
        <v>41</v>
      </c>
      <c r="AU1343" t="s">
        <v>46</v>
      </c>
      <c r="AY1343" t="s">
        <v>50</v>
      </c>
      <c r="AZ1343" t="s">
        <v>51</v>
      </c>
      <c r="BA1343" t="s">
        <v>52</v>
      </c>
    </row>
    <row r="1344" spans="1:65" x14ac:dyDescent="0.2">
      <c r="A1344" t="s">
        <v>4981</v>
      </c>
      <c r="B1344" t="s">
        <v>883</v>
      </c>
      <c r="C1344" t="s">
        <v>5111</v>
      </c>
      <c r="D1344" t="s">
        <v>5112</v>
      </c>
      <c r="E1344" t="s">
        <v>5113</v>
      </c>
      <c r="F1344" t="s">
        <v>118</v>
      </c>
      <c r="G1344" t="str">
        <f>HYPERLINK("https://vk.com/wall-186674927_12327?reply=12333")</f>
        <v>https://vk.com/wall-186674927_12327?reply=12333</v>
      </c>
      <c r="H1344" t="s">
        <v>119</v>
      </c>
      <c r="I1344" t="s">
        <v>5114</v>
      </c>
      <c r="J1344" t="str">
        <f>HYPERLINK("http://vk.com/id365357670")</f>
        <v>http://vk.com/id365357670</v>
      </c>
      <c r="K1344">
        <v>8</v>
      </c>
      <c r="L1344" t="s">
        <v>121</v>
      </c>
      <c r="M1344">
        <v>30</v>
      </c>
      <c r="N1344" t="s">
        <v>122</v>
      </c>
      <c r="O1344" t="s">
        <v>358</v>
      </c>
      <c r="P1344" t="str">
        <f>HYPERLINK("http://vk.com/club186674927")</f>
        <v>http://vk.com/club186674927</v>
      </c>
      <c r="Q1344">
        <v>706</v>
      </c>
      <c r="R1344" t="s">
        <v>124</v>
      </c>
      <c r="S1344" t="s">
        <v>125</v>
      </c>
      <c r="T1344" t="s">
        <v>5115</v>
      </c>
      <c r="U1344" t="s">
        <v>5116</v>
      </c>
      <c r="AM1344" t="s">
        <v>129</v>
      </c>
      <c r="AN1344" t="s">
        <v>130</v>
      </c>
      <c r="AP1344" t="s">
        <v>41</v>
      </c>
      <c r="AU1344" t="s">
        <v>46</v>
      </c>
      <c r="AZ1344" t="s">
        <v>51</v>
      </c>
      <c r="BA1344" t="s">
        <v>52</v>
      </c>
    </row>
    <row r="1345" spans="1:77" x14ac:dyDescent="0.2">
      <c r="A1345" t="s">
        <v>4981</v>
      </c>
      <c r="B1345" t="s">
        <v>3710</v>
      </c>
      <c r="C1345" t="s">
        <v>5117</v>
      </c>
      <c r="D1345" t="s">
        <v>4697</v>
      </c>
      <c r="E1345" t="s">
        <v>5118</v>
      </c>
      <c r="F1345" t="s">
        <v>118</v>
      </c>
      <c r="G1345" t="str">
        <f>HYPERLINK("https://vk.com/wall-22935147_368574?reply=368576")</f>
        <v>https://vk.com/wall-22935147_368574?reply=368576</v>
      </c>
      <c r="H1345" t="s">
        <v>119</v>
      </c>
      <c r="I1345" t="s">
        <v>5110</v>
      </c>
      <c r="J1345" t="str">
        <f>HYPERLINK("http://vk.com/id521162897")</f>
        <v>http://vk.com/id521162897</v>
      </c>
      <c r="L1345" t="s">
        <v>121</v>
      </c>
      <c r="N1345" t="s">
        <v>122</v>
      </c>
      <c r="O1345" t="s">
        <v>1093</v>
      </c>
      <c r="P1345" t="str">
        <f>HYPERLINK("http://vk.com/club22935147")</f>
        <v>http://vk.com/club22935147</v>
      </c>
      <c r="Q1345">
        <v>8943</v>
      </c>
      <c r="R1345" t="s">
        <v>124</v>
      </c>
      <c r="S1345" t="s">
        <v>125</v>
      </c>
      <c r="T1345" t="s">
        <v>169</v>
      </c>
      <c r="U1345" t="s">
        <v>169</v>
      </c>
      <c r="AM1345" t="s">
        <v>129</v>
      </c>
      <c r="AN1345" t="s">
        <v>130</v>
      </c>
      <c r="AP1345" t="s">
        <v>41</v>
      </c>
      <c r="AU1345" t="s">
        <v>46</v>
      </c>
      <c r="AY1345" t="s">
        <v>50</v>
      </c>
      <c r="AZ1345" t="s">
        <v>51</v>
      </c>
      <c r="BA1345" t="s">
        <v>52</v>
      </c>
    </row>
    <row r="1346" spans="1:77" x14ac:dyDescent="0.2">
      <c r="A1346" t="s">
        <v>4981</v>
      </c>
      <c r="B1346" t="s">
        <v>5119</v>
      </c>
      <c r="C1346" t="s">
        <v>5120</v>
      </c>
      <c r="D1346" t="s">
        <v>3261</v>
      </c>
      <c r="E1346" t="s">
        <v>5121</v>
      </c>
      <c r="F1346" t="s">
        <v>180</v>
      </c>
      <c r="G1346" t="str">
        <f>HYPERLINK("https://www.wildberries.ru/catalog/5691258/detail.aspx?targetUrl=ES#Comments")</f>
        <v>https://www.wildberries.ru/catalog/5691258/detail.aspx?targetUrl=ES#Comments</v>
      </c>
      <c r="H1346" t="s">
        <v>181</v>
      </c>
      <c r="I1346" t="s">
        <v>5122</v>
      </c>
      <c r="J1346" t="str">
        <f>HYPERLINK("https://www.wildberries.ru/profile/w7TDssOkw7PCu8KywrLCssKwwrTCs8K0wrI=")</f>
        <v>https://www.wildberries.ru/profile/w7TDssOkw7PCu8KywrLCssKwwrTCs8K0wrI=</v>
      </c>
      <c r="L1346" t="s">
        <v>151</v>
      </c>
      <c r="N1346" t="s">
        <v>534</v>
      </c>
      <c r="O1346" t="s">
        <v>3261</v>
      </c>
      <c r="P1346" t="str">
        <f>HYPERLINK("https://www.wildberries.ru/catalog/4570035/detail.aspx")</f>
        <v>https://www.wildberries.ru/catalog/4570035/detail.aspx</v>
      </c>
      <c r="R1346" t="s">
        <v>184</v>
      </c>
      <c r="S1346" t="s">
        <v>125</v>
      </c>
      <c r="W1346">
        <v>0</v>
      </c>
      <c r="X1346">
        <v>0</v>
      </c>
      <c r="AH1346">
        <v>5</v>
      </c>
      <c r="AM1346" t="s">
        <v>129</v>
      </c>
      <c r="AN1346" t="s">
        <v>130</v>
      </c>
      <c r="AP1346" t="s">
        <v>41</v>
      </c>
      <c r="AZ1346" t="s">
        <v>51</v>
      </c>
      <c r="BA1346" t="s">
        <v>52</v>
      </c>
      <c r="BK1346" t="s">
        <v>62</v>
      </c>
      <c r="BL1346" t="s">
        <v>63</v>
      </c>
    </row>
    <row r="1347" spans="1:77" x14ac:dyDescent="0.2">
      <c r="A1347" t="s">
        <v>4981</v>
      </c>
      <c r="B1347" t="s">
        <v>2461</v>
      </c>
      <c r="C1347" t="s">
        <v>5123</v>
      </c>
      <c r="D1347" t="s">
        <v>4609</v>
      </c>
      <c r="E1347" t="s">
        <v>5124</v>
      </c>
      <c r="F1347" t="s">
        <v>118</v>
      </c>
      <c r="G1347" t="str">
        <f>HYPERLINK("https://pikabu.ru/story/trikolor_tv_reklamnyiy_baner_kotoryiy_besitmalenkiy_layfkhak_8353681?cid=206784613")</f>
        <v>https://pikabu.ru/story/trikolor_tv_reklamnyiy_baner_kotoryiy_besitmalenkiy_layfkhak_8353681?cid=206784613</v>
      </c>
      <c r="H1347" t="s">
        <v>228</v>
      </c>
      <c r="I1347" t="s">
        <v>5125</v>
      </c>
      <c r="J1347" t="str">
        <f>HYPERLINK("http://pikabu.ru/profile/Nikita50")</f>
        <v>http://pikabu.ru/profile/Nikita50</v>
      </c>
      <c r="N1347" t="s">
        <v>402</v>
      </c>
      <c r="O1347" t="s">
        <v>4612</v>
      </c>
      <c r="P1347" t="str">
        <f>HYPERLINK("http://pikabu.ru/profile/Soonk80")</f>
        <v>http://pikabu.ru/profile/Soonk80</v>
      </c>
      <c r="R1347" t="s">
        <v>404</v>
      </c>
      <c r="AM1347" t="s">
        <v>129</v>
      </c>
      <c r="AN1347" t="s">
        <v>130</v>
      </c>
      <c r="AP1347" t="s">
        <v>41</v>
      </c>
      <c r="AU1347" t="s">
        <v>46</v>
      </c>
      <c r="AZ1347" t="s">
        <v>51</v>
      </c>
      <c r="BA1347" t="s">
        <v>52</v>
      </c>
    </row>
    <row r="1348" spans="1:77" x14ac:dyDescent="0.2">
      <c r="A1348" t="s">
        <v>4981</v>
      </c>
      <c r="B1348" t="s">
        <v>5126</v>
      </c>
      <c r="C1348" t="s">
        <v>5127</v>
      </c>
      <c r="D1348" t="s">
        <v>175</v>
      </c>
      <c r="E1348" t="s">
        <v>5128</v>
      </c>
      <c r="F1348" t="s">
        <v>180</v>
      </c>
      <c r="G1348" t="str">
        <f>HYPERLINK("https://yandex.ru/maps/org/201730119388#wxzPjH3_4TEI6ipVqedAFm7wRoYPCZM-N")</f>
        <v>https://yandex.ru/maps/org/201730119388#wxzPjH3_4TEI6ipVqedAFm7wRoYPCZM-N</v>
      </c>
      <c r="H1348" t="s">
        <v>181</v>
      </c>
      <c r="I1348" t="s">
        <v>2131</v>
      </c>
      <c r="J1348" t="str">
        <f>HYPERLINK("https://yandex.ru/user/y6t6rmurakj6jgetyfw51evfy8")</f>
        <v>https://yandex.ru/user/y6t6rmurakj6jgetyfw51evfy8</v>
      </c>
      <c r="L1348" t="s">
        <v>121</v>
      </c>
      <c r="N1348" t="s">
        <v>236</v>
      </c>
      <c r="O1348" t="s">
        <v>175</v>
      </c>
      <c r="P1348" t="str">
        <f>HYPERLINK("https://yandex.ru/maps/org/201730119388")</f>
        <v>https://yandex.ru/maps/org/201730119388</v>
      </c>
      <c r="R1348" t="s">
        <v>184</v>
      </c>
      <c r="S1348" t="s">
        <v>125</v>
      </c>
      <c r="T1348" t="s">
        <v>1027</v>
      </c>
      <c r="U1348" t="s">
        <v>5129</v>
      </c>
      <c r="W1348">
        <v>0</v>
      </c>
      <c r="X1348">
        <v>0</v>
      </c>
      <c r="AH1348">
        <v>5</v>
      </c>
      <c r="AM1348" t="s">
        <v>129</v>
      </c>
      <c r="AN1348" t="s">
        <v>130</v>
      </c>
      <c r="AP1348" t="s">
        <v>41</v>
      </c>
      <c r="AX1348" t="s">
        <v>49</v>
      </c>
      <c r="AZ1348" t="s">
        <v>51</v>
      </c>
      <c r="BD1348" t="s">
        <v>55</v>
      </c>
    </row>
    <row r="1349" spans="1:77" x14ac:dyDescent="0.2">
      <c r="A1349" t="s">
        <v>4981</v>
      </c>
      <c r="B1349" t="s">
        <v>5130</v>
      </c>
      <c r="C1349" t="s">
        <v>5131</v>
      </c>
      <c r="D1349" t="s">
        <v>5132</v>
      </c>
      <c r="E1349" t="s">
        <v>5133</v>
      </c>
      <c r="F1349" t="s">
        <v>118</v>
      </c>
      <c r="G1349" t="str">
        <f>HYPERLINK("https://vk.com/wall-97250511_113183?reply=113219&amp;thread=113211")</f>
        <v>https://vk.com/wall-97250511_113183?reply=113219&amp;thread=113211</v>
      </c>
      <c r="H1349" t="s">
        <v>119</v>
      </c>
      <c r="I1349" t="s">
        <v>5134</v>
      </c>
      <c r="J1349" t="str">
        <f>HYPERLINK("http://vk.com/id606956773")</f>
        <v>http://vk.com/id606956773</v>
      </c>
      <c r="L1349" t="s">
        <v>121</v>
      </c>
      <c r="M1349">
        <v>33</v>
      </c>
      <c r="N1349" t="s">
        <v>122</v>
      </c>
      <c r="O1349" t="s">
        <v>5135</v>
      </c>
      <c r="P1349" t="str">
        <f>HYPERLINK("http://vk.com/club97250511")</f>
        <v>http://vk.com/club97250511</v>
      </c>
      <c r="Q1349">
        <v>15886</v>
      </c>
      <c r="R1349" t="s">
        <v>124</v>
      </c>
      <c r="S1349" t="s">
        <v>125</v>
      </c>
      <c r="T1349" t="s">
        <v>828</v>
      </c>
      <c r="U1349" t="s">
        <v>5136</v>
      </c>
      <c r="AM1349" t="s">
        <v>129</v>
      </c>
      <c r="AN1349" t="s">
        <v>130</v>
      </c>
      <c r="AP1349" t="s">
        <v>41</v>
      </c>
      <c r="AT1349" t="s">
        <v>45</v>
      </c>
      <c r="AZ1349" t="s">
        <v>51</v>
      </c>
      <c r="BA1349" t="s">
        <v>52</v>
      </c>
    </row>
    <row r="1350" spans="1:77" x14ac:dyDescent="0.2">
      <c r="A1350" t="s">
        <v>4981</v>
      </c>
      <c r="B1350" t="s">
        <v>354</v>
      </c>
      <c r="C1350" t="s">
        <v>5137</v>
      </c>
      <c r="D1350" t="s">
        <v>5053</v>
      </c>
      <c r="E1350" t="s">
        <v>5138</v>
      </c>
      <c r="F1350" t="s">
        <v>118</v>
      </c>
      <c r="G1350" t="str">
        <f>HYPERLINK("https://vk.com/wall-77143523_221492?reply=221537")</f>
        <v>https://vk.com/wall-77143523_221492?reply=221537</v>
      </c>
      <c r="H1350" t="s">
        <v>119</v>
      </c>
      <c r="I1350" t="s">
        <v>5139</v>
      </c>
      <c r="J1350" t="str">
        <f>HYPERLINK("http://vk.com/id67936275")</f>
        <v>http://vk.com/id67936275</v>
      </c>
      <c r="K1350">
        <v>232</v>
      </c>
      <c r="L1350" t="s">
        <v>121</v>
      </c>
      <c r="M1350">
        <v>46</v>
      </c>
      <c r="N1350" t="s">
        <v>122</v>
      </c>
      <c r="O1350" t="s">
        <v>5056</v>
      </c>
      <c r="P1350" t="str">
        <f>HYPERLINK("http://vk.com/club77143523")</f>
        <v>http://vk.com/club77143523</v>
      </c>
      <c r="Q1350">
        <v>14448</v>
      </c>
      <c r="R1350" t="s">
        <v>124</v>
      </c>
      <c r="S1350" t="s">
        <v>125</v>
      </c>
      <c r="T1350" t="s">
        <v>137</v>
      </c>
      <c r="U1350" t="s">
        <v>137</v>
      </c>
      <c r="AM1350" t="s">
        <v>129</v>
      </c>
      <c r="AN1350" t="s">
        <v>130</v>
      </c>
      <c r="AP1350" t="s">
        <v>41</v>
      </c>
      <c r="AT1350" t="s">
        <v>45</v>
      </c>
      <c r="AZ1350" t="s">
        <v>51</v>
      </c>
      <c r="BA1350" t="s">
        <v>52</v>
      </c>
      <c r="BM1350" t="s">
        <v>64</v>
      </c>
    </row>
    <row r="1351" spans="1:77" x14ac:dyDescent="0.2">
      <c r="A1351" t="s">
        <v>4981</v>
      </c>
      <c r="B1351" t="s">
        <v>5140</v>
      </c>
      <c r="C1351" t="s">
        <v>5141</v>
      </c>
      <c r="D1351" t="s">
        <v>5142</v>
      </c>
      <c r="E1351" t="s">
        <v>5143</v>
      </c>
      <c r="F1351" t="s">
        <v>118</v>
      </c>
      <c r="G1351" t="str">
        <f>HYPERLINK("https://vk.com/wall-148006527_35872?reply=35912")</f>
        <v>https://vk.com/wall-148006527_35872?reply=35912</v>
      </c>
      <c r="H1351" t="s">
        <v>181</v>
      </c>
      <c r="I1351" t="s">
        <v>5144</v>
      </c>
      <c r="J1351" t="str">
        <f>HYPERLINK("http://vk.com/id577158887")</f>
        <v>http://vk.com/id577158887</v>
      </c>
      <c r="L1351" t="s">
        <v>151</v>
      </c>
      <c r="M1351">
        <v>40</v>
      </c>
      <c r="N1351" t="s">
        <v>122</v>
      </c>
      <c r="O1351" t="s">
        <v>5145</v>
      </c>
      <c r="P1351" t="str">
        <f>HYPERLINK("http://vk.com/club148006527")</f>
        <v>http://vk.com/club148006527</v>
      </c>
      <c r="Q1351">
        <v>4564</v>
      </c>
      <c r="R1351" t="s">
        <v>124</v>
      </c>
      <c r="S1351" t="s">
        <v>125</v>
      </c>
      <c r="T1351" t="s">
        <v>5146</v>
      </c>
      <c r="U1351" t="s">
        <v>5147</v>
      </c>
      <c r="AM1351" t="s">
        <v>129</v>
      </c>
      <c r="AN1351" t="s">
        <v>130</v>
      </c>
      <c r="AP1351" t="s">
        <v>41</v>
      </c>
      <c r="AZ1351" t="s">
        <v>51</v>
      </c>
      <c r="BA1351" t="s">
        <v>52</v>
      </c>
    </row>
    <row r="1352" spans="1:77" x14ac:dyDescent="0.2">
      <c r="A1352" t="s">
        <v>4981</v>
      </c>
      <c r="B1352" t="s">
        <v>5148</v>
      </c>
      <c r="C1352" t="s">
        <v>5149</v>
      </c>
      <c r="D1352" t="s">
        <v>129</v>
      </c>
      <c r="E1352" t="s">
        <v>2260</v>
      </c>
      <c r="F1352" t="s">
        <v>118</v>
      </c>
      <c r="G1352" t="str">
        <f>HYPERLINK("https://www.facebook.com/story.php?story_fbid=4243191675762577&amp;id=100002153607949&amp;comment_id=4244556808959397&amp;reply_comment_id=4247821331966278")</f>
        <v>https://www.facebook.com/story.php?story_fbid=4243191675762577&amp;id=100002153607949&amp;comment_id=4244556808959397&amp;reply_comment_id=4247821331966278</v>
      </c>
      <c r="H1352" t="s">
        <v>119</v>
      </c>
      <c r="I1352" t="s">
        <v>695</v>
      </c>
      <c r="J1352" t="str">
        <f>HYPERLINK("https://www.facebook.com/100002360413124")</f>
        <v>https://www.facebook.com/100002360413124</v>
      </c>
      <c r="K1352">
        <v>5211</v>
      </c>
      <c r="L1352" t="s">
        <v>121</v>
      </c>
      <c r="N1352" t="s">
        <v>305</v>
      </c>
      <c r="O1352" t="s">
        <v>5150</v>
      </c>
      <c r="P1352" t="str">
        <f>HYPERLINK("https://www.facebook.com/100002153607949")</f>
        <v>https://www.facebook.com/100002153607949</v>
      </c>
      <c r="Q1352">
        <v>6104</v>
      </c>
      <c r="R1352" t="s">
        <v>124</v>
      </c>
      <c r="S1352" t="s">
        <v>125</v>
      </c>
      <c r="T1352" t="s">
        <v>372</v>
      </c>
      <c r="U1352" t="s">
        <v>373</v>
      </c>
      <c r="W1352">
        <v>0</v>
      </c>
      <c r="X1352">
        <v>0</v>
      </c>
      <c r="AE1352">
        <v>0</v>
      </c>
      <c r="AM1352" t="s">
        <v>129</v>
      </c>
      <c r="AN1352" t="s">
        <v>130</v>
      </c>
      <c r="AP1352" t="s">
        <v>41</v>
      </c>
      <c r="AU1352" t="s">
        <v>46</v>
      </c>
      <c r="AZ1352" t="s">
        <v>51</v>
      </c>
      <c r="BA1352" t="s">
        <v>52</v>
      </c>
      <c r="BY1352" t="s">
        <v>76</v>
      </c>
    </row>
    <row r="1353" spans="1:77" x14ac:dyDescent="0.2">
      <c r="A1353" t="s">
        <v>4981</v>
      </c>
      <c r="B1353" t="s">
        <v>2484</v>
      </c>
      <c r="C1353" t="s">
        <v>5151</v>
      </c>
      <c r="D1353" t="s">
        <v>4505</v>
      </c>
      <c r="E1353" t="s">
        <v>5152</v>
      </c>
      <c r="F1353" t="s">
        <v>118</v>
      </c>
      <c r="G1353" t="str">
        <f>HYPERLINK("https://vk.com/wall-22935147_368528?w=wall-22935147_368528_r368571")</f>
        <v>https://vk.com/wall-22935147_368528?w=wall-22935147_368528_r368571</v>
      </c>
      <c r="H1353" t="s">
        <v>119</v>
      </c>
      <c r="I1353" t="s">
        <v>4987</v>
      </c>
      <c r="J1353" t="str">
        <f>HYPERLINK("http://vk.com/id2397772")</f>
        <v>http://vk.com/id2397772</v>
      </c>
      <c r="K1353">
        <v>99</v>
      </c>
      <c r="L1353" t="s">
        <v>121</v>
      </c>
      <c r="N1353" t="s">
        <v>122</v>
      </c>
      <c r="O1353" t="s">
        <v>1093</v>
      </c>
      <c r="P1353" t="str">
        <f>HYPERLINK("http://vk.com/club22935147")</f>
        <v>http://vk.com/club22935147</v>
      </c>
      <c r="Q1353">
        <v>8943</v>
      </c>
      <c r="R1353" t="s">
        <v>124</v>
      </c>
      <c r="S1353" t="s">
        <v>125</v>
      </c>
      <c r="T1353" t="s">
        <v>2225</v>
      </c>
      <c r="U1353" t="s">
        <v>2861</v>
      </c>
      <c r="W1353">
        <v>0</v>
      </c>
      <c r="X1353">
        <v>0</v>
      </c>
      <c r="AM1353" t="s">
        <v>129</v>
      </c>
      <c r="AN1353" t="s">
        <v>130</v>
      </c>
      <c r="AP1353" t="s">
        <v>41</v>
      </c>
      <c r="AU1353" t="s">
        <v>46</v>
      </c>
      <c r="AZ1353" t="s">
        <v>51</v>
      </c>
      <c r="BA1353" t="s">
        <v>52</v>
      </c>
    </row>
    <row r="1354" spans="1:77" x14ac:dyDescent="0.2">
      <c r="A1354" t="s">
        <v>4981</v>
      </c>
      <c r="B1354" t="s">
        <v>5153</v>
      </c>
      <c r="C1354" t="s">
        <v>5154</v>
      </c>
      <c r="D1354" t="s">
        <v>5155</v>
      </c>
      <c r="E1354" t="s">
        <v>5156</v>
      </c>
      <c r="F1354" t="s">
        <v>118</v>
      </c>
      <c r="G1354" t="str">
        <f>HYPERLINK("https://vk.com/wall-204351896_477?reply=479")</f>
        <v>https://vk.com/wall-204351896_477?reply=479</v>
      </c>
      <c r="H1354" t="s">
        <v>119</v>
      </c>
      <c r="I1354" t="s">
        <v>5157</v>
      </c>
      <c r="J1354" t="str">
        <f>HYPERLINK("http://vk.com/id140629506")</f>
        <v>http://vk.com/id140629506</v>
      </c>
      <c r="K1354">
        <v>203</v>
      </c>
      <c r="L1354" t="s">
        <v>121</v>
      </c>
      <c r="M1354">
        <v>26</v>
      </c>
      <c r="N1354" t="s">
        <v>122</v>
      </c>
      <c r="O1354" t="s">
        <v>359</v>
      </c>
      <c r="P1354" t="str">
        <f>HYPERLINK("http://vk.com/club204351896")</f>
        <v>http://vk.com/club204351896</v>
      </c>
      <c r="Q1354">
        <v>272</v>
      </c>
      <c r="R1354" t="s">
        <v>124</v>
      </c>
      <c r="S1354" t="s">
        <v>125</v>
      </c>
      <c r="T1354" t="s">
        <v>2166</v>
      </c>
      <c r="U1354" t="s">
        <v>5158</v>
      </c>
      <c r="AM1354" t="s">
        <v>129</v>
      </c>
      <c r="AN1354" t="s">
        <v>130</v>
      </c>
      <c r="AP1354" t="s">
        <v>41</v>
      </c>
      <c r="AU1354" t="s">
        <v>46</v>
      </c>
      <c r="AZ1354" t="s">
        <v>51</v>
      </c>
      <c r="BA1354" t="s">
        <v>52</v>
      </c>
    </row>
    <row r="1355" spans="1:77" x14ac:dyDescent="0.2">
      <c r="A1355" t="s">
        <v>4981</v>
      </c>
      <c r="B1355" t="s">
        <v>1468</v>
      </c>
      <c r="C1355" t="s">
        <v>5159</v>
      </c>
      <c r="D1355" t="s">
        <v>4505</v>
      </c>
      <c r="E1355" t="s">
        <v>5160</v>
      </c>
      <c r="F1355" t="s">
        <v>118</v>
      </c>
      <c r="G1355" t="str">
        <f>HYPERLINK("https://vk.com/wall-22935147_368528?reply=368570&amp;thread=368531")</f>
        <v>https://vk.com/wall-22935147_368528?reply=368570&amp;thread=368531</v>
      </c>
      <c r="H1355" t="s">
        <v>119</v>
      </c>
      <c r="I1355" t="s">
        <v>1722</v>
      </c>
      <c r="J1355" t="str">
        <f>HYPERLINK("http://vk.com/id240644107")</f>
        <v>http://vk.com/id240644107</v>
      </c>
      <c r="K1355">
        <v>33</v>
      </c>
      <c r="L1355" t="s">
        <v>121</v>
      </c>
      <c r="N1355" t="s">
        <v>122</v>
      </c>
      <c r="O1355" t="s">
        <v>1093</v>
      </c>
      <c r="P1355" t="str">
        <f>HYPERLINK("http://vk.com/club22935147")</f>
        <v>http://vk.com/club22935147</v>
      </c>
      <c r="Q1355">
        <v>8943</v>
      </c>
      <c r="R1355" t="s">
        <v>124</v>
      </c>
      <c r="S1355" t="s">
        <v>125</v>
      </c>
      <c r="T1355" t="s">
        <v>169</v>
      </c>
      <c r="U1355" t="s">
        <v>169</v>
      </c>
      <c r="AM1355" t="s">
        <v>129</v>
      </c>
      <c r="AN1355" t="s">
        <v>130</v>
      </c>
      <c r="AP1355" t="s">
        <v>41</v>
      </c>
      <c r="AU1355" t="s">
        <v>46</v>
      </c>
      <c r="AZ1355" t="s">
        <v>51</v>
      </c>
      <c r="BA1355" t="s">
        <v>52</v>
      </c>
      <c r="BQ1355" t="s">
        <v>68</v>
      </c>
    </row>
    <row r="1356" spans="1:77" x14ac:dyDescent="0.2">
      <c r="A1356" t="s">
        <v>4981</v>
      </c>
      <c r="B1356" t="s">
        <v>925</v>
      </c>
      <c r="C1356" t="s">
        <v>5161</v>
      </c>
      <c r="D1356" t="s">
        <v>4505</v>
      </c>
      <c r="E1356" t="s">
        <v>5162</v>
      </c>
      <c r="F1356" t="s">
        <v>118</v>
      </c>
      <c r="G1356" t="str">
        <f>HYPERLINK("https://vk.com/wall-22935147_368528?reply=368569&amp;thread=368549")</f>
        <v>https://vk.com/wall-22935147_368528?reply=368569&amp;thread=368549</v>
      </c>
      <c r="H1356" t="s">
        <v>119</v>
      </c>
      <c r="I1356" t="s">
        <v>1722</v>
      </c>
      <c r="J1356" t="str">
        <f>HYPERLINK("http://vk.com/id240644107")</f>
        <v>http://vk.com/id240644107</v>
      </c>
      <c r="K1356">
        <v>33</v>
      </c>
      <c r="L1356" t="s">
        <v>121</v>
      </c>
      <c r="N1356" t="s">
        <v>122</v>
      </c>
      <c r="O1356" t="s">
        <v>1093</v>
      </c>
      <c r="P1356" t="str">
        <f>HYPERLINK("http://vk.com/club22935147")</f>
        <v>http://vk.com/club22935147</v>
      </c>
      <c r="Q1356">
        <v>8943</v>
      </c>
      <c r="R1356" t="s">
        <v>124</v>
      </c>
      <c r="S1356" t="s">
        <v>125</v>
      </c>
      <c r="T1356" t="s">
        <v>169</v>
      </c>
      <c r="U1356" t="s">
        <v>169</v>
      </c>
      <c r="AM1356" t="s">
        <v>129</v>
      </c>
      <c r="AN1356" t="s">
        <v>130</v>
      </c>
      <c r="AP1356" t="s">
        <v>41</v>
      </c>
      <c r="AU1356" t="s">
        <v>46</v>
      </c>
      <c r="AZ1356" t="s">
        <v>51</v>
      </c>
      <c r="BA1356" t="s">
        <v>52</v>
      </c>
      <c r="BQ1356" t="s">
        <v>68</v>
      </c>
    </row>
    <row r="1357" spans="1:77" x14ac:dyDescent="0.2">
      <c r="A1357" t="s">
        <v>4981</v>
      </c>
      <c r="B1357" t="s">
        <v>925</v>
      </c>
      <c r="C1357" t="s">
        <v>5163</v>
      </c>
      <c r="D1357" t="s">
        <v>4505</v>
      </c>
      <c r="E1357" t="s">
        <v>5164</v>
      </c>
      <c r="F1357" t="s">
        <v>118</v>
      </c>
      <c r="G1357" t="str">
        <f>HYPERLINK("https://vk.com/wall-22935147_368528?reply=368568")</f>
        <v>https://vk.com/wall-22935147_368528?reply=368568</v>
      </c>
      <c r="H1357" t="s">
        <v>119</v>
      </c>
      <c r="I1357" t="s">
        <v>1722</v>
      </c>
      <c r="J1357" t="str">
        <f>HYPERLINK("http://vk.com/id240644107")</f>
        <v>http://vk.com/id240644107</v>
      </c>
      <c r="K1357">
        <v>33</v>
      </c>
      <c r="L1357" t="s">
        <v>121</v>
      </c>
      <c r="N1357" t="s">
        <v>122</v>
      </c>
      <c r="O1357" t="s">
        <v>1093</v>
      </c>
      <c r="P1357" t="str">
        <f>HYPERLINK("http://vk.com/club22935147")</f>
        <v>http://vk.com/club22935147</v>
      </c>
      <c r="Q1357">
        <v>8943</v>
      </c>
      <c r="R1357" t="s">
        <v>124</v>
      </c>
      <c r="S1357" t="s">
        <v>125</v>
      </c>
      <c r="T1357" t="s">
        <v>169</v>
      </c>
      <c r="U1357" t="s">
        <v>169</v>
      </c>
      <c r="AM1357" t="s">
        <v>129</v>
      </c>
      <c r="AN1357" t="s">
        <v>130</v>
      </c>
      <c r="AP1357" t="s">
        <v>41</v>
      </c>
      <c r="AU1357" t="s">
        <v>46</v>
      </c>
      <c r="AZ1357" t="s">
        <v>51</v>
      </c>
      <c r="BA1357" t="s">
        <v>52</v>
      </c>
      <c r="BQ1357" t="s">
        <v>68</v>
      </c>
    </row>
    <row r="1358" spans="1:77" x14ac:dyDescent="0.2">
      <c r="A1358" t="s">
        <v>4981</v>
      </c>
      <c r="B1358" t="s">
        <v>3783</v>
      </c>
      <c r="C1358" t="s">
        <v>5165</v>
      </c>
      <c r="D1358" t="s">
        <v>5053</v>
      </c>
      <c r="E1358" t="s">
        <v>5166</v>
      </c>
      <c r="F1358" t="s">
        <v>118</v>
      </c>
      <c r="G1358" t="str">
        <f>HYPERLINK("https://vk.com/wall-77143523_221492?reply=221517&amp;thread=221494")</f>
        <v>https://vk.com/wall-77143523_221492?reply=221517&amp;thread=221494</v>
      </c>
      <c r="H1358" t="s">
        <v>119</v>
      </c>
      <c r="I1358" t="s">
        <v>5055</v>
      </c>
      <c r="J1358" t="str">
        <f>HYPERLINK("http://vk.com/id652055")</f>
        <v>http://vk.com/id652055</v>
      </c>
      <c r="K1358">
        <v>256</v>
      </c>
      <c r="L1358" t="s">
        <v>151</v>
      </c>
      <c r="N1358" t="s">
        <v>122</v>
      </c>
      <c r="O1358" t="s">
        <v>5056</v>
      </c>
      <c r="P1358" t="str">
        <f>HYPERLINK("http://vk.com/club77143523")</f>
        <v>http://vk.com/club77143523</v>
      </c>
      <c r="Q1358">
        <v>14448</v>
      </c>
      <c r="R1358" t="s">
        <v>124</v>
      </c>
      <c r="S1358" t="s">
        <v>125</v>
      </c>
      <c r="T1358" t="s">
        <v>137</v>
      </c>
      <c r="U1358" t="s">
        <v>137</v>
      </c>
      <c r="AM1358" t="s">
        <v>129</v>
      </c>
      <c r="AN1358" t="s">
        <v>130</v>
      </c>
      <c r="AP1358" t="s">
        <v>41</v>
      </c>
      <c r="AZ1358" t="s">
        <v>51</v>
      </c>
      <c r="BA1358" t="s">
        <v>52</v>
      </c>
      <c r="BL1358" t="s">
        <v>63</v>
      </c>
    </row>
    <row r="1359" spans="1:77" x14ac:dyDescent="0.2">
      <c r="A1359" t="s">
        <v>4981</v>
      </c>
      <c r="B1359" t="s">
        <v>3038</v>
      </c>
      <c r="C1359" t="s">
        <v>5167</v>
      </c>
      <c r="D1359" t="s">
        <v>5053</v>
      </c>
      <c r="E1359" t="s">
        <v>5168</v>
      </c>
      <c r="F1359" t="s">
        <v>118</v>
      </c>
      <c r="G1359" t="str">
        <f>HYPERLINK("https://vk.com/wall-77143523_221492?reply=221514&amp;thread=221494")</f>
        <v>https://vk.com/wall-77143523_221492?reply=221514&amp;thread=221494</v>
      </c>
      <c r="H1359" t="s">
        <v>119</v>
      </c>
      <c r="I1359" t="s">
        <v>5055</v>
      </c>
      <c r="J1359" t="str">
        <f>HYPERLINK("http://vk.com/id652055")</f>
        <v>http://vk.com/id652055</v>
      </c>
      <c r="K1359">
        <v>256</v>
      </c>
      <c r="L1359" t="s">
        <v>151</v>
      </c>
      <c r="N1359" t="s">
        <v>122</v>
      </c>
      <c r="O1359" t="s">
        <v>5056</v>
      </c>
      <c r="P1359" t="str">
        <f>HYPERLINK("http://vk.com/club77143523")</f>
        <v>http://vk.com/club77143523</v>
      </c>
      <c r="Q1359">
        <v>14448</v>
      </c>
      <c r="R1359" t="s">
        <v>124</v>
      </c>
      <c r="S1359" t="s">
        <v>125</v>
      </c>
      <c r="T1359" t="s">
        <v>137</v>
      </c>
      <c r="U1359" t="s">
        <v>137</v>
      </c>
      <c r="AM1359" t="s">
        <v>129</v>
      </c>
      <c r="AN1359" t="s">
        <v>130</v>
      </c>
      <c r="AP1359" t="s">
        <v>41</v>
      </c>
      <c r="AZ1359" t="s">
        <v>51</v>
      </c>
      <c r="BA1359" t="s">
        <v>52</v>
      </c>
      <c r="BL1359" t="s">
        <v>63</v>
      </c>
    </row>
    <row r="1360" spans="1:77" x14ac:dyDescent="0.2">
      <c r="A1360" t="s">
        <v>4981</v>
      </c>
      <c r="B1360" t="s">
        <v>3794</v>
      </c>
      <c r="C1360" t="s">
        <v>5067</v>
      </c>
      <c r="D1360" t="s">
        <v>2949</v>
      </c>
      <c r="E1360" t="s">
        <v>5169</v>
      </c>
      <c r="F1360" t="s">
        <v>180</v>
      </c>
      <c r="G1360" t="str">
        <f>HYPERLINK("https://www.ozon.ru/context/detail/id/242437615/#61027616")</f>
        <v>https://www.ozon.ru/context/detail/id/242437615/#61027616</v>
      </c>
      <c r="H1360" t="s">
        <v>119</v>
      </c>
      <c r="I1360" t="s">
        <v>512</v>
      </c>
      <c r="J1360" t="str">
        <f>HYPERLINK("https://www.ozon.ru/context/client_opinion/ClientGuid//")</f>
        <v>https://www.ozon.ru/context/client_opinion/ClientGuid//</v>
      </c>
      <c r="N1360" t="s">
        <v>183</v>
      </c>
      <c r="O1360" t="s">
        <v>2949</v>
      </c>
      <c r="P1360" t="str">
        <f>HYPERLINK("https://www.ozon.ru/context/detail/id/242437615/")</f>
        <v>https://www.ozon.ru/context/detail/id/242437615/</v>
      </c>
      <c r="R1360" t="s">
        <v>184</v>
      </c>
      <c r="S1360" t="s">
        <v>125</v>
      </c>
      <c r="W1360">
        <v>0</v>
      </c>
      <c r="X1360">
        <v>0</v>
      </c>
      <c r="AH1360">
        <v>3</v>
      </c>
      <c r="AM1360" t="s">
        <v>129</v>
      </c>
      <c r="AN1360" t="s">
        <v>130</v>
      </c>
      <c r="AP1360" t="s">
        <v>41</v>
      </c>
      <c r="AT1360" t="s">
        <v>45</v>
      </c>
      <c r="AZ1360" t="s">
        <v>51</v>
      </c>
      <c r="BA1360" t="s">
        <v>52</v>
      </c>
      <c r="BL1360" t="s">
        <v>63</v>
      </c>
    </row>
    <row r="1361" spans="1:100" x14ac:dyDescent="0.2">
      <c r="A1361" t="s">
        <v>4981</v>
      </c>
      <c r="B1361" t="s">
        <v>936</v>
      </c>
      <c r="C1361" t="s">
        <v>5170</v>
      </c>
      <c r="D1361" t="s">
        <v>4782</v>
      </c>
      <c r="E1361" t="s">
        <v>5171</v>
      </c>
      <c r="F1361" t="s">
        <v>118</v>
      </c>
      <c r="G1361" t="str">
        <f>HYPERLINK("https://vk.com/wall-61101621_254734?reply=254738")</f>
        <v>https://vk.com/wall-61101621_254734?reply=254738</v>
      </c>
      <c r="H1361" t="s">
        <v>119</v>
      </c>
      <c r="I1361" t="s">
        <v>5172</v>
      </c>
      <c r="J1361" t="str">
        <f>HYPERLINK("http://vk.com/id278543480")</f>
        <v>http://vk.com/id278543480</v>
      </c>
      <c r="L1361" t="s">
        <v>121</v>
      </c>
      <c r="N1361" t="s">
        <v>122</v>
      </c>
      <c r="O1361" t="s">
        <v>160</v>
      </c>
      <c r="P1361" t="str">
        <f>HYPERLINK("http://vk.com/club61101621")</f>
        <v>http://vk.com/club61101621</v>
      </c>
      <c r="Q1361">
        <v>21119</v>
      </c>
      <c r="R1361" t="s">
        <v>124</v>
      </c>
      <c r="S1361" t="s">
        <v>125</v>
      </c>
      <c r="T1361" t="s">
        <v>428</v>
      </c>
      <c r="U1361" t="s">
        <v>5173</v>
      </c>
      <c r="W1361">
        <v>0</v>
      </c>
      <c r="X1361">
        <v>0</v>
      </c>
      <c r="AM1361" t="s">
        <v>129</v>
      </c>
      <c r="AN1361" t="s">
        <v>130</v>
      </c>
      <c r="AP1361" t="s">
        <v>41</v>
      </c>
      <c r="AW1361" t="s">
        <v>48</v>
      </c>
      <c r="AZ1361" t="s">
        <v>51</v>
      </c>
      <c r="BA1361" t="s">
        <v>52</v>
      </c>
    </row>
    <row r="1362" spans="1:100" x14ac:dyDescent="0.2">
      <c r="A1362" t="s">
        <v>4981</v>
      </c>
      <c r="B1362" t="s">
        <v>936</v>
      </c>
      <c r="C1362" t="s">
        <v>4757</v>
      </c>
      <c r="D1362" t="s">
        <v>5174</v>
      </c>
      <c r="E1362" t="s">
        <v>5175</v>
      </c>
      <c r="F1362" t="s">
        <v>180</v>
      </c>
      <c r="G1362" t="str">
        <f>HYPERLINK("https://www.wildberries.ru/catalog/18944219/detail.aspx?targetUrl=ES#Comments")</f>
        <v>https://www.wildberries.ru/catalog/18944219/detail.aspx?targetUrl=ES#Comments</v>
      </c>
      <c r="H1362" t="s">
        <v>181</v>
      </c>
      <c r="I1362" t="s">
        <v>5176</v>
      </c>
      <c r="J1362" t="str">
        <f>HYPERLINK("https://www.wildberries.ru/profile/w7TDssOkw7PCu8KzwrDCucKwwrDCuMKywrA=")</f>
        <v>https://www.wildberries.ru/profile/w7TDssOkw7PCu8KzwrDCucKwwrDCuMKywrA=</v>
      </c>
      <c r="L1362" t="s">
        <v>151</v>
      </c>
      <c r="N1362" t="s">
        <v>534</v>
      </c>
      <c r="O1362" t="s">
        <v>5174</v>
      </c>
      <c r="P1362" t="str">
        <f>HYPERLINK("https://www.wildberries.ru/catalog/14067782/detail.aspx")</f>
        <v>https://www.wildberries.ru/catalog/14067782/detail.aspx</v>
      </c>
      <c r="R1362" t="s">
        <v>184</v>
      </c>
      <c r="S1362" t="s">
        <v>125</v>
      </c>
      <c r="W1362">
        <v>0</v>
      </c>
      <c r="X1362">
        <v>0</v>
      </c>
      <c r="AH1362">
        <v>5</v>
      </c>
      <c r="AM1362" t="s">
        <v>129</v>
      </c>
      <c r="AN1362" t="s">
        <v>130</v>
      </c>
      <c r="AP1362" t="s">
        <v>41</v>
      </c>
      <c r="AT1362" t="s">
        <v>45</v>
      </c>
      <c r="AZ1362" t="s">
        <v>51</v>
      </c>
      <c r="BA1362" t="s">
        <v>52</v>
      </c>
      <c r="BL1362" t="s">
        <v>63</v>
      </c>
    </row>
    <row r="1363" spans="1:100" x14ac:dyDescent="0.2">
      <c r="A1363" t="s">
        <v>4981</v>
      </c>
      <c r="B1363" t="s">
        <v>936</v>
      </c>
      <c r="C1363" t="s">
        <v>4757</v>
      </c>
      <c r="D1363" t="s">
        <v>5174</v>
      </c>
      <c r="E1363" t="s">
        <v>2680</v>
      </c>
      <c r="F1363" t="s">
        <v>118</v>
      </c>
      <c r="G1363" t="str">
        <f>HYPERLINK("https://www.wildberries.ru/catalog/18944219/detail.aspx?targetUrl=ES#Comments")</f>
        <v>https://www.wildberries.ru/catalog/18944219/detail.aspx?targetUrl=ES#Comments</v>
      </c>
      <c r="H1363" t="s">
        <v>119</v>
      </c>
      <c r="I1363" t="s">
        <v>3023</v>
      </c>
      <c r="J1363" t="str">
        <f>HYPERLINK("https://www.wildberries.ru/brands/trikolor")</f>
        <v>https://www.wildberries.ru/brands/trikolor</v>
      </c>
      <c r="L1363" t="s">
        <v>340</v>
      </c>
      <c r="N1363" t="s">
        <v>534</v>
      </c>
      <c r="O1363" t="s">
        <v>5174</v>
      </c>
      <c r="P1363" t="str">
        <f>HYPERLINK("https://www.wildberries.ru/catalog/14067782/detail.aspx")</f>
        <v>https://www.wildberries.ru/catalog/14067782/detail.aspx</v>
      </c>
      <c r="R1363" t="s">
        <v>184</v>
      </c>
      <c r="S1363" t="s">
        <v>125</v>
      </c>
      <c r="AM1363" t="s">
        <v>129</v>
      </c>
      <c r="AN1363" t="s">
        <v>130</v>
      </c>
      <c r="BI1363" t="s">
        <v>60</v>
      </c>
    </row>
    <row r="1364" spans="1:100" x14ac:dyDescent="0.2">
      <c r="A1364" t="s">
        <v>4981</v>
      </c>
      <c r="B1364" t="s">
        <v>3072</v>
      </c>
      <c r="C1364" t="s">
        <v>5177</v>
      </c>
      <c r="D1364" t="s">
        <v>4609</v>
      </c>
      <c r="E1364" t="s">
        <v>5178</v>
      </c>
      <c r="F1364" t="s">
        <v>118</v>
      </c>
      <c r="G1364" t="str">
        <f>HYPERLINK("https://pikabu.ru/story/trikolor_tv_reklamnyiy_baner_kotoryiy_besitmalenkiy_layfkhak_8353681?cid=206773224")</f>
        <v>https://pikabu.ru/story/trikolor_tv_reklamnyiy_baner_kotoryiy_besitmalenkiy_layfkhak_8353681?cid=206773224</v>
      </c>
      <c r="H1364" t="s">
        <v>228</v>
      </c>
      <c r="I1364" t="s">
        <v>5179</v>
      </c>
      <c r="J1364" t="str">
        <f>HYPERLINK("http://pikabu.ru/profile/next001")</f>
        <v>http://pikabu.ru/profile/next001</v>
      </c>
      <c r="N1364" t="s">
        <v>402</v>
      </c>
      <c r="O1364" t="s">
        <v>4612</v>
      </c>
      <c r="P1364" t="str">
        <f>HYPERLINK("http://pikabu.ru/profile/Soonk80")</f>
        <v>http://pikabu.ru/profile/Soonk80</v>
      </c>
      <c r="R1364" t="s">
        <v>404</v>
      </c>
      <c r="AM1364" t="s">
        <v>129</v>
      </c>
      <c r="AN1364" t="s">
        <v>130</v>
      </c>
      <c r="AP1364" t="s">
        <v>41</v>
      </c>
      <c r="AY1364" t="s">
        <v>50</v>
      </c>
      <c r="AZ1364" t="s">
        <v>51</v>
      </c>
      <c r="BA1364" t="s">
        <v>52</v>
      </c>
      <c r="CV1364" t="s">
        <v>99</v>
      </c>
    </row>
    <row r="1365" spans="1:100" x14ac:dyDescent="0.2">
      <c r="A1365" t="s">
        <v>4981</v>
      </c>
      <c r="B1365" t="s">
        <v>2544</v>
      </c>
      <c r="C1365" t="s">
        <v>5180</v>
      </c>
      <c r="D1365" t="s">
        <v>129</v>
      </c>
      <c r="E1365" t="s">
        <v>5053</v>
      </c>
      <c r="F1365" t="s">
        <v>180</v>
      </c>
      <c r="G1365" t="str">
        <f>HYPERLINK("https://vk.com/wall-77143523_221492")</f>
        <v>https://vk.com/wall-77143523_221492</v>
      </c>
      <c r="H1365" t="s">
        <v>119</v>
      </c>
      <c r="I1365" t="s">
        <v>5072</v>
      </c>
      <c r="J1365" t="str">
        <f>HYPERLINK("http://vk.com/id464563758")</f>
        <v>http://vk.com/id464563758</v>
      </c>
      <c r="K1365">
        <v>176</v>
      </c>
      <c r="L1365" t="s">
        <v>151</v>
      </c>
      <c r="M1365">
        <v>54</v>
      </c>
      <c r="N1365" t="s">
        <v>122</v>
      </c>
      <c r="O1365" t="s">
        <v>5056</v>
      </c>
      <c r="P1365" t="str">
        <f>HYPERLINK("http://vk.com/club77143523")</f>
        <v>http://vk.com/club77143523</v>
      </c>
      <c r="Q1365">
        <v>14448</v>
      </c>
      <c r="R1365" t="s">
        <v>124</v>
      </c>
      <c r="S1365" t="s">
        <v>125</v>
      </c>
      <c r="T1365" t="s">
        <v>137</v>
      </c>
      <c r="U1365" t="s">
        <v>137</v>
      </c>
      <c r="W1365">
        <v>1</v>
      </c>
      <c r="X1365">
        <v>1</v>
      </c>
      <c r="AE1365">
        <v>24</v>
      </c>
      <c r="AF1365">
        <v>0</v>
      </c>
      <c r="AG1365">
        <v>3571</v>
      </c>
      <c r="AM1365" t="s">
        <v>129</v>
      </c>
      <c r="AN1365" t="s">
        <v>130</v>
      </c>
      <c r="AP1365" t="s">
        <v>41</v>
      </c>
      <c r="AW1365" t="s">
        <v>48</v>
      </c>
      <c r="AZ1365" t="s">
        <v>51</v>
      </c>
      <c r="BA1365" t="s">
        <v>52</v>
      </c>
      <c r="BL1365" t="s">
        <v>63</v>
      </c>
    </row>
    <row r="1366" spans="1:100" x14ac:dyDescent="0.2">
      <c r="A1366" t="s">
        <v>4981</v>
      </c>
      <c r="B1366" t="s">
        <v>2023</v>
      </c>
      <c r="C1366" t="s">
        <v>5181</v>
      </c>
      <c r="D1366" t="s">
        <v>5182</v>
      </c>
      <c r="E1366" t="s">
        <v>5183</v>
      </c>
      <c r="F1366" t="s">
        <v>118</v>
      </c>
      <c r="G1366" t="str">
        <f>HYPERLINK("https://telegram.me/TECHNOZON_TELEGRAM/342800")</f>
        <v>https://telegram.me/TECHNOZON_TELEGRAM/342800</v>
      </c>
      <c r="H1366" t="s">
        <v>119</v>
      </c>
      <c r="I1366" t="s">
        <v>5184</v>
      </c>
      <c r="J1366" t="str">
        <f>HYPERLINK("https://telegram.me/sermishi")</f>
        <v>https://telegram.me/sermishi</v>
      </c>
      <c r="L1366" t="s">
        <v>121</v>
      </c>
      <c r="N1366" t="s">
        <v>143</v>
      </c>
      <c r="O1366" t="s">
        <v>5185</v>
      </c>
      <c r="P1366" t="str">
        <f>HYPERLINK("https://telegram.me/technozon_telegram")</f>
        <v>https://telegram.me/technozon_telegram</v>
      </c>
      <c r="Q1366">
        <v>8577</v>
      </c>
      <c r="R1366" t="s">
        <v>145</v>
      </c>
      <c r="AM1366" t="s">
        <v>129</v>
      </c>
      <c r="AN1366" t="s">
        <v>130</v>
      </c>
      <c r="AP1366" t="s">
        <v>41</v>
      </c>
      <c r="AW1366" t="s">
        <v>48</v>
      </c>
      <c r="AZ1366" t="s">
        <v>51</v>
      </c>
      <c r="BA1366" t="s">
        <v>52</v>
      </c>
      <c r="BL1366" t="s">
        <v>63</v>
      </c>
    </row>
    <row r="1367" spans="1:100" x14ac:dyDescent="0.2">
      <c r="A1367" t="s">
        <v>4981</v>
      </c>
      <c r="B1367" t="s">
        <v>442</v>
      </c>
      <c r="C1367" t="s">
        <v>5120</v>
      </c>
      <c r="D1367" t="s">
        <v>3261</v>
      </c>
      <c r="E1367" t="s">
        <v>5186</v>
      </c>
      <c r="F1367" t="s">
        <v>180</v>
      </c>
      <c r="G1367" t="str">
        <f>HYPERLINK("https://www.wildberries.ru/catalog/5691258/detail.aspx?targetUrl=ES#Comments")</f>
        <v>https://www.wildberries.ru/catalog/5691258/detail.aspx?targetUrl=ES#Comments</v>
      </c>
      <c r="H1367" t="s">
        <v>181</v>
      </c>
      <c r="I1367" t="s">
        <v>5187</v>
      </c>
      <c r="J1367" t="str">
        <f>HYPERLINK("https://www.wildberries.ru/profile/w7TDssOkw7PCu8KwwrnCtsKzwrbCtMKzwrY=")</f>
        <v>https://www.wildberries.ru/profile/w7TDssOkw7PCu8KwwrnCtsKzwrbCtMKzwrY=</v>
      </c>
      <c r="L1367" t="s">
        <v>151</v>
      </c>
      <c r="N1367" t="s">
        <v>534</v>
      </c>
      <c r="O1367" t="s">
        <v>3261</v>
      </c>
      <c r="P1367" t="str">
        <f>HYPERLINK("https://www.wildberries.ru/catalog/4570035/detail.aspx")</f>
        <v>https://www.wildberries.ru/catalog/4570035/detail.aspx</v>
      </c>
      <c r="R1367" t="s">
        <v>184</v>
      </c>
      <c r="S1367" t="s">
        <v>125</v>
      </c>
      <c r="W1367">
        <v>0</v>
      </c>
      <c r="X1367">
        <v>0</v>
      </c>
      <c r="AH1367">
        <v>5</v>
      </c>
      <c r="AM1367" t="s">
        <v>129</v>
      </c>
      <c r="AN1367" t="s">
        <v>130</v>
      </c>
      <c r="AP1367" t="s">
        <v>41</v>
      </c>
      <c r="AZ1367" t="s">
        <v>51</v>
      </c>
      <c r="BA1367" t="s">
        <v>52</v>
      </c>
      <c r="BK1367" t="s">
        <v>62</v>
      </c>
      <c r="BL1367" t="s">
        <v>63</v>
      </c>
    </row>
    <row r="1368" spans="1:100" x14ac:dyDescent="0.2">
      <c r="A1368" t="s">
        <v>4981</v>
      </c>
      <c r="B1368" t="s">
        <v>2562</v>
      </c>
      <c r="C1368" t="s">
        <v>5188</v>
      </c>
      <c r="D1368" t="s">
        <v>129</v>
      </c>
      <c r="E1368" t="s">
        <v>5189</v>
      </c>
      <c r="F1368" t="s">
        <v>180</v>
      </c>
      <c r="G1368" t="str">
        <f>HYPERLINK("https://telegram.me/TECHNOZON_TELEGRAM/342779")</f>
        <v>https://telegram.me/TECHNOZON_TELEGRAM/342779</v>
      </c>
      <c r="H1368" t="s">
        <v>119</v>
      </c>
      <c r="I1368" t="s">
        <v>5190</v>
      </c>
      <c r="J1368" t="str">
        <f>HYPERLINK("https://telegram.me/nozh72")</f>
        <v>https://telegram.me/nozh72</v>
      </c>
      <c r="N1368" t="s">
        <v>143</v>
      </c>
      <c r="O1368" t="s">
        <v>5185</v>
      </c>
      <c r="P1368" t="str">
        <f>HYPERLINK("https://telegram.me/technozon_telegram")</f>
        <v>https://telegram.me/technozon_telegram</v>
      </c>
      <c r="Q1368">
        <v>8577</v>
      </c>
      <c r="R1368" t="s">
        <v>145</v>
      </c>
      <c r="AM1368" t="s">
        <v>129</v>
      </c>
      <c r="AN1368" t="s">
        <v>130</v>
      </c>
      <c r="AP1368" t="s">
        <v>41</v>
      </c>
      <c r="AU1368" t="s">
        <v>46</v>
      </c>
      <c r="AW1368" t="s">
        <v>48</v>
      </c>
      <c r="AZ1368" t="s">
        <v>51</v>
      </c>
      <c r="BA1368" t="s">
        <v>52</v>
      </c>
    </row>
    <row r="1369" spans="1:100" x14ac:dyDescent="0.2">
      <c r="A1369" t="s">
        <v>4981</v>
      </c>
      <c r="B1369" t="s">
        <v>5191</v>
      </c>
      <c r="C1369" t="s">
        <v>5192</v>
      </c>
      <c r="D1369" t="s">
        <v>4609</v>
      </c>
      <c r="E1369" t="s">
        <v>5193</v>
      </c>
      <c r="F1369" t="s">
        <v>118</v>
      </c>
      <c r="G1369" t="str">
        <f>HYPERLINK("https://pikabu.ru/story/trikolor_tv_reklamnyiy_baner_kotoryiy_besitmalenkiy_layfkhak_8353681?cid=206769489")</f>
        <v>https://pikabu.ru/story/trikolor_tv_reklamnyiy_baner_kotoryiy_besitmalenkiy_layfkhak_8353681?cid=206769489</v>
      </c>
      <c r="H1369" t="s">
        <v>119</v>
      </c>
      <c r="I1369" t="s">
        <v>5194</v>
      </c>
      <c r="J1369" t="str">
        <f>HYPERLINK("http://pikabu.ru/profile/Paraplon")</f>
        <v>http://pikabu.ru/profile/Paraplon</v>
      </c>
      <c r="N1369" t="s">
        <v>402</v>
      </c>
      <c r="O1369" t="s">
        <v>4612</v>
      </c>
      <c r="P1369" t="str">
        <f>HYPERLINK("http://pikabu.ru/profile/Soonk80")</f>
        <v>http://pikabu.ru/profile/Soonk80</v>
      </c>
      <c r="R1369" t="s">
        <v>404</v>
      </c>
      <c r="AM1369" t="s">
        <v>129</v>
      </c>
      <c r="AN1369" t="s">
        <v>130</v>
      </c>
      <c r="AP1369" t="s">
        <v>41</v>
      </c>
      <c r="AU1369" t="s">
        <v>46</v>
      </c>
      <c r="AZ1369" t="s">
        <v>51</v>
      </c>
      <c r="BA1369" t="s">
        <v>52</v>
      </c>
      <c r="BM1369" t="s">
        <v>64</v>
      </c>
    </row>
    <row r="1370" spans="1:100" x14ac:dyDescent="0.2">
      <c r="A1370" t="s">
        <v>4981</v>
      </c>
      <c r="B1370" t="s">
        <v>3104</v>
      </c>
      <c r="C1370" t="s">
        <v>5195</v>
      </c>
      <c r="D1370" t="s">
        <v>4454</v>
      </c>
      <c r="E1370" t="s">
        <v>5196</v>
      </c>
      <c r="F1370" t="s">
        <v>180</v>
      </c>
      <c r="G1370" t="str">
        <f>HYPERLINK("https://www.wildberries.ru/catalog/19655320/detail.aspx?targetUrl=ES#Comments")</f>
        <v>https://www.wildberries.ru/catalog/19655320/detail.aspx?targetUrl=ES#Comments</v>
      </c>
      <c r="H1370" t="s">
        <v>119</v>
      </c>
      <c r="I1370" t="s">
        <v>2198</v>
      </c>
      <c r="J1370" t="str">
        <f>HYPERLINK("https://www.wildberries.ru/profile/w7TDssOkw7PCu8KwwrPCs8K2wrPCucK5wrg=")</f>
        <v>https://www.wildberries.ru/profile/w7TDssOkw7PCu8KwwrPCs8K2wrPCucK5wrg=</v>
      </c>
      <c r="L1370" t="s">
        <v>151</v>
      </c>
      <c r="N1370" t="s">
        <v>534</v>
      </c>
      <c r="O1370" t="s">
        <v>4454</v>
      </c>
      <c r="P1370" t="str">
        <f>HYPERLINK("https://www.wildberries.ru/catalog/14544176/detail.aspx")</f>
        <v>https://www.wildberries.ru/catalog/14544176/detail.aspx</v>
      </c>
      <c r="R1370" t="s">
        <v>184</v>
      </c>
      <c r="S1370" t="s">
        <v>125</v>
      </c>
      <c r="W1370">
        <v>0</v>
      </c>
      <c r="X1370">
        <v>0</v>
      </c>
      <c r="AH1370">
        <v>1</v>
      </c>
      <c r="AM1370" t="s">
        <v>129</v>
      </c>
      <c r="AN1370" t="s">
        <v>130</v>
      </c>
      <c r="AP1370" t="s">
        <v>41</v>
      </c>
      <c r="AT1370" t="s">
        <v>45</v>
      </c>
      <c r="AZ1370" t="s">
        <v>51</v>
      </c>
      <c r="BA1370" t="s">
        <v>52</v>
      </c>
      <c r="BL1370" t="s">
        <v>63</v>
      </c>
    </row>
    <row r="1371" spans="1:100" x14ac:dyDescent="0.2">
      <c r="A1371" t="s">
        <v>4981</v>
      </c>
      <c r="B1371" t="s">
        <v>5197</v>
      </c>
      <c r="C1371" t="s">
        <v>5198</v>
      </c>
      <c r="D1371" t="s">
        <v>5199</v>
      </c>
      <c r="E1371" t="s">
        <v>5200</v>
      </c>
      <c r="F1371" t="s">
        <v>180</v>
      </c>
      <c r="G1371" t="str">
        <f>HYPERLINK("https://yandex.ru/maps/org/1761094306#UvadlG0qm2779_UzsqOBNOH804INWI_44")</f>
        <v>https://yandex.ru/maps/org/1761094306#UvadlG0qm2779_UzsqOBNOH804INWI_44</v>
      </c>
      <c r="H1371" t="s">
        <v>181</v>
      </c>
      <c r="I1371" t="s">
        <v>5201</v>
      </c>
      <c r="J1371" t="str">
        <f>HYPERLINK("https://yandex.ru/user/vpbq2a5tjq4d8h5khejjxrh3tg")</f>
        <v>https://yandex.ru/user/vpbq2a5tjq4d8h5khejjxrh3tg</v>
      </c>
      <c r="L1371" t="s">
        <v>151</v>
      </c>
      <c r="N1371" t="s">
        <v>236</v>
      </c>
      <c r="O1371" t="s">
        <v>5199</v>
      </c>
      <c r="P1371" t="str">
        <f>HYPERLINK("https://yandex.ru/maps/org/1761094306")</f>
        <v>https://yandex.ru/maps/org/1761094306</v>
      </c>
      <c r="R1371" t="s">
        <v>184</v>
      </c>
      <c r="S1371" t="s">
        <v>125</v>
      </c>
      <c r="T1371" t="s">
        <v>153</v>
      </c>
      <c r="U1371" t="s">
        <v>5202</v>
      </c>
      <c r="W1371">
        <v>0</v>
      </c>
      <c r="X1371">
        <v>0</v>
      </c>
      <c r="AH1371">
        <v>5</v>
      </c>
      <c r="AM1371" t="s">
        <v>129</v>
      </c>
      <c r="AN1371" t="s">
        <v>130</v>
      </c>
      <c r="AP1371" t="s">
        <v>41</v>
      </c>
      <c r="AX1371" t="s">
        <v>49</v>
      </c>
      <c r="AZ1371" t="s">
        <v>51</v>
      </c>
      <c r="BD1371" t="s">
        <v>55</v>
      </c>
    </row>
    <row r="1372" spans="1:100" x14ac:dyDescent="0.2">
      <c r="A1372" t="s">
        <v>4981</v>
      </c>
      <c r="B1372" t="s">
        <v>5203</v>
      </c>
      <c r="C1372" t="s">
        <v>5204</v>
      </c>
      <c r="D1372" t="s">
        <v>4609</v>
      </c>
      <c r="E1372" t="s">
        <v>5205</v>
      </c>
      <c r="F1372" t="s">
        <v>118</v>
      </c>
      <c r="G1372" t="str">
        <f>HYPERLINK("https://pikabu.ru/story/trikolor_tv_reklamnyiy_baner_kotoryiy_besitmalenkiy_layfkhak_8353681?cid=206766260")</f>
        <v>https://pikabu.ru/story/trikolor_tv_reklamnyiy_baner_kotoryiy_besitmalenkiy_layfkhak_8353681?cid=206766260</v>
      </c>
      <c r="H1372" t="s">
        <v>228</v>
      </c>
      <c r="I1372" t="s">
        <v>5206</v>
      </c>
      <c r="J1372" t="str">
        <f>HYPERLINK("http://pikabu.ru/profile/Cripler")</f>
        <v>http://pikabu.ru/profile/Cripler</v>
      </c>
      <c r="N1372" t="s">
        <v>402</v>
      </c>
      <c r="O1372" t="s">
        <v>4612</v>
      </c>
      <c r="P1372" t="str">
        <f>HYPERLINK("http://pikabu.ru/profile/Soonk80")</f>
        <v>http://pikabu.ru/profile/Soonk80</v>
      </c>
      <c r="R1372" t="s">
        <v>404</v>
      </c>
      <c r="AM1372" t="s">
        <v>129</v>
      </c>
      <c r="AN1372" t="s">
        <v>130</v>
      </c>
      <c r="AP1372" t="s">
        <v>41</v>
      </c>
      <c r="AW1372" t="s">
        <v>48</v>
      </c>
      <c r="AZ1372" t="s">
        <v>51</v>
      </c>
      <c r="BA1372" t="s">
        <v>52</v>
      </c>
      <c r="BL1372" t="s">
        <v>63</v>
      </c>
    </row>
    <row r="1373" spans="1:100" x14ac:dyDescent="0.2">
      <c r="A1373" t="s">
        <v>4981</v>
      </c>
      <c r="B1373" t="s">
        <v>5207</v>
      </c>
      <c r="C1373" t="s">
        <v>5208</v>
      </c>
      <c r="D1373" t="s">
        <v>4782</v>
      </c>
      <c r="E1373" t="s">
        <v>5209</v>
      </c>
      <c r="F1373" t="s">
        <v>118</v>
      </c>
      <c r="G1373" t="str">
        <f>HYPERLINK("https://vk.com/wall-61101621_254734?reply=254737")</f>
        <v>https://vk.com/wall-61101621_254734?reply=254737</v>
      </c>
      <c r="H1373" t="s">
        <v>119</v>
      </c>
      <c r="I1373" t="s">
        <v>5210</v>
      </c>
      <c r="J1373" t="str">
        <f>HYPERLINK("http://vk.com/id135062129")</f>
        <v>http://vk.com/id135062129</v>
      </c>
      <c r="K1373">
        <v>380</v>
      </c>
      <c r="L1373" t="s">
        <v>121</v>
      </c>
      <c r="N1373" t="s">
        <v>122</v>
      </c>
      <c r="O1373" t="s">
        <v>160</v>
      </c>
      <c r="P1373" t="str">
        <f>HYPERLINK("http://vk.com/club61101621")</f>
        <v>http://vk.com/club61101621</v>
      </c>
      <c r="Q1373">
        <v>21119</v>
      </c>
      <c r="R1373" t="s">
        <v>124</v>
      </c>
      <c r="S1373" t="s">
        <v>125</v>
      </c>
      <c r="W1373">
        <v>0</v>
      </c>
      <c r="X1373">
        <v>0</v>
      </c>
      <c r="AM1373" t="s">
        <v>129</v>
      </c>
      <c r="AN1373" t="s">
        <v>130</v>
      </c>
      <c r="AP1373" t="s">
        <v>41</v>
      </c>
      <c r="AZ1373" t="s">
        <v>51</v>
      </c>
      <c r="BA1373" t="s">
        <v>52</v>
      </c>
      <c r="BM1373" t="s">
        <v>64</v>
      </c>
    </row>
    <row r="1374" spans="1:100" x14ac:dyDescent="0.2">
      <c r="A1374" t="s">
        <v>4981</v>
      </c>
      <c r="B1374" t="s">
        <v>1581</v>
      </c>
      <c r="C1374" t="s">
        <v>5211</v>
      </c>
      <c r="D1374" t="s">
        <v>204</v>
      </c>
      <c r="E1374" t="s">
        <v>5212</v>
      </c>
      <c r="F1374" t="s">
        <v>180</v>
      </c>
      <c r="G1374" t="str">
        <f>HYPERLINK("https://play.google.com/store/apps/details?id=ru.iflex.android.a3colortv&amp;reviewId=gp:AOqpTOG9FM1nt-p9U9BB0GQEPs81rpI5sJ2J2Ae2DwDxFhUHYXQrPTwRE_K_Qodxt459VolXt1ibDKJclqYOmw")</f>
        <v>https://play.google.com/store/apps/details?id=ru.iflex.android.a3colortv&amp;reviewId=gp:AOqpTOG9FM1nt-p9U9BB0GQEPs81rpI5sJ2J2Ae2DwDxFhUHYXQrPTwRE_K_Qodxt459VolXt1ibDKJclqYOmw</v>
      </c>
      <c r="H1374" t="s">
        <v>228</v>
      </c>
      <c r="I1374" t="s">
        <v>5213</v>
      </c>
      <c r="J1374" t="str">
        <f>HYPERLINK("https://plus.google.com/112176562815522498015")</f>
        <v>https://plus.google.com/112176562815522498015</v>
      </c>
      <c r="L1374" t="s">
        <v>121</v>
      </c>
      <c r="N1374" t="s">
        <v>207</v>
      </c>
      <c r="O1374" t="s">
        <v>204</v>
      </c>
      <c r="P1374" t="str">
        <f>HYPERLINK("https://play.google.com/store/apps/details?id=ru.iflex.android.a3colortv&amp;hl=ru")</f>
        <v>https://play.google.com/store/apps/details?id=ru.iflex.android.a3colortv&amp;hl=ru</v>
      </c>
      <c r="R1374" t="s">
        <v>184</v>
      </c>
      <c r="S1374" t="s">
        <v>125</v>
      </c>
      <c r="W1374">
        <v>0</v>
      </c>
      <c r="X1374">
        <v>0</v>
      </c>
      <c r="AH1374">
        <v>1</v>
      </c>
      <c r="AM1374" t="s">
        <v>129</v>
      </c>
      <c r="AN1374" t="s">
        <v>130</v>
      </c>
      <c r="AP1374" t="s">
        <v>41</v>
      </c>
      <c r="AZ1374" t="s">
        <v>51</v>
      </c>
      <c r="BA1374" t="s">
        <v>52</v>
      </c>
      <c r="BQ1374" t="s">
        <v>68</v>
      </c>
    </row>
    <row r="1375" spans="1:100" x14ac:dyDescent="0.2">
      <c r="A1375" t="s">
        <v>4981</v>
      </c>
      <c r="B1375" t="s">
        <v>5214</v>
      </c>
      <c r="C1375" t="s">
        <v>5215</v>
      </c>
      <c r="D1375" t="s">
        <v>4505</v>
      </c>
      <c r="E1375" t="s">
        <v>5216</v>
      </c>
      <c r="F1375" t="s">
        <v>118</v>
      </c>
      <c r="G1375" t="str">
        <f>HYPERLINK("https://vk.com/wall-22935147_368528?reply=368561")</f>
        <v>https://vk.com/wall-22935147_368528?reply=368561</v>
      </c>
      <c r="H1375" t="s">
        <v>228</v>
      </c>
      <c r="I1375" t="s">
        <v>5217</v>
      </c>
      <c r="J1375" t="str">
        <f>HYPERLINK("http://vk.com/id367193895")</f>
        <v>http://vk.com/id367193895</v>
      </c>
      <c r="K1375">
        <v>26</v>
      </c>
      <c r="L1375" t="s">
        <v>121</v>
      </c>
      <c r="N1375" t="s">
        <v>122</v>
      </c>
      <c r="O1375" t="s">
        <v>1093</v>
      </c>
      <c r="P1375" t="str">
        <f>HYPERLINK("http://vk.com/club22935147")</f>
        <v>http://vk.com/club22935147</v>
      </c>
      <c r="Q1375">
        <v>8943</v>
      </c>
      <c r="R1375" t="s">
        <v>124</v>
      </c>
      <c r="S1375" t="s">
        <v>125</v>
      </c>
      <c r="W1375">
        <v>0</v>
      </c>
      <c r="X1375">
        <v>0</v>
      </c>
      <c r="AM1375" t="s">
        <v>129</v>
      </c>
      <c r="AN1375" t="s">
        <v>130</v>
      </c>
      <c r="AP1375" t="s">
        <v>41</v>
      </c>
      <c r="AX1375" t="s">
        <v>49</v>
      </c>
      <c r="AY1375" t="s">
        <v>50</v>
      </c>
      <c r="AZ1375" t="s">
        <v>51</v>
      </c>
      <c r="BA1375" t="s">
        <v>52</v>
      </c>
      <c r="BL1375" t="s">
        <v>63</v>
      </c>
      <c r="CV1375" t="s">
        <v>99</v>
      </c>
    </row>
    <row r="1376" spans="1:100" x14ac:dyDescent="0.2">
      <c r="A1376" t="s">
        <v>4981</v>
      </c>
      <c r="B1376" t="s">
        <v>5218</v>
      </c>
      <c r="C1376" t="s">
        <v>5219</v>
      </c>
      <c r="D1376" t="s">
        <v>4609</v>
      </c>
      <c r="E1376" t="s">
        <v>5220</v>
      </c>
      <c r="F1376" t="s">
        <v>118</v>
      </c>
      <c r="G1376" t="str">
        <f>HYPERLINK("https://pikabu.ru/story/trikolor_tv_reklamnyiy_baner_kotoryiy_besitmalenkiy_layfkhak_8353681?cid=206764402")</f>
        <v>https://pikabu.ru/story/trikolor_tv_reklamnyiy_baner_kotoryiy_besitmalenkiy_layfkhak_8353681?cid=206764402</v>
      </c>
      <c r="H1376" t="s">
        <v>181</v>
      </c>
      <c r="I1376" t="s">
        <v>4861</v>
      </c>
      <c r="J1376" t="str">
        <f>HYPERLINK("http://pikabu.ru/profile/NickYarushev")</f>
        <v>http://pikabu.ru/profile/NickYarushev</v>
      </c>
      <c r="N1376" t="s">
        <v>402</v>
      </c>
      <c r="O1376" t="s">
        <v>4612</v>
      </c>
      <c r="P1376" t="str">
        <f>HYPERLINK("http://pikabu.ru/profile/Soonk80")</f>
        <v>http://pikabu.ru/profile/Soonk80</v>
      </c>
      <c r="R1376" t="s">
        <v>404</v>
      </c>
      <c r="AM1376" t="s">
        <v>129</v>
      </c>
      <c r="AN1376" t="s">
        <v>130</v>
      </c>
      <c r="AP1376" t="s">
        <v>41</v>
      </c>
      <c r="AY1376" t="s">
        <v>50</v>
      </c>
      <c r="AZ1376" t="s">
        <v>51</v>
      </c>
      <c r="BA1376" t="s">
        <v>52</v>
      </c>
    </row>
    <row r="1377" spans="1:70" x14ac:dyDescent="0.2">
      <c r="A1377" t="s">
        <v>4981</v>
      </c>
      <c r="B1377" t="s">
        <v>3471</v>
      </c>
      <c r="C1377" t="s">
        <v>5219</v>
      </c>
      <c r="D1377" t="s">
        <v>4609</v>
      </c>
      <c r="E1377" t="s">
        <v>5221</v>
      </c>
      <c r="F1377" t="s">
        <v>118</v>
      </c>
      <c r="G1377" t="str">
        <f>HYPERLINK("https://pikabu.ru/story/trikolor_tv_reklamnyiy_baner_kotoryiy_besitmalenkiy_layfkhak_8353681?cid=206764278")</f>
        <v>https://pikabu.ru/story/trikolor_tv_reklamnyiy_baner_kotoryiy_besitmalenkiy_layfkhak_8353681?cid=206764278</v>
      </c>
      <c r="H1377" t="s">
        <v>181</v>
      </c>
      <c r="I1377" t="s">
        <v>4611</v>
      </c>
      <c r="J1377" t="str">
        <f>HYPERLINK("http://pikabu.ru/profile/Prihodk0")</f>
        <v>http://pikabu.ru/profile/Prihodk0</v>
      </c>
      <c r="N1377" t="s">
        <v>402</v>
      </c>
      <c r="O1377" t="s">
        <v>4612</v>
      </c>
      <c r="P1377" t="str">
        <f>HYPERLINK("http://pikabu.ru/profile/Soonk80")</f>
        <v>http://pikabu.ru/profile/Soonk80</v>
      </c>
      <c r="R1377" t="s">
        <v>404</v>
      </c>
      <c r="AM1377" t="s">
        <v>129</v>
      </c>
      <c r="AN1377" t="s">
        <v>130</v>
      </c>
      <c r="AP1377" t="s">
        <v>41</v>
      </c>
      <c r="AZ1377" t="s">
        <v>51</v>
      </c>
      <c r="BA1377" t="s">
        <v>52</v>
      </c>
      <c r="BL1377" t="s">
        <v>63</v>
      </c>
    </row>
    <row r="1378" spans="1:70" x14ac:dyDescent="0.2">
      <c r="A1378" t="s">
        <v>4981</v>
      </c>
      <c r="B1378" t="s">
        <v>2596</v>
      </c>
      <c r="C1378" t="s">
        <v>5222</v>
      </c>
      <c r="D1378" t="s">
        <v>4609</v>
      </c>
      <c r="E1378" t="s">
        <v>5223</v>
      </c>
      <c r="F1378" t="s">
        <v>118</v>
      </c>
      <c r="G1378" t="str">
        <f>HYPERLINK("https://pikabu.ru/story/trikolor_tv_reklamnyiy_baner_kotoryiy_besitmalenkiy_layfkhak_8353681?cid=206764081")</f>
        <v>https://pikabu.ru/story/trikolor_tv_reklamnyiy_baner_kotoryiy_besitmalenkiy_layfkhak_8353681?cid=206764081</v>
      </c>
      <c r="H1378" t="s">
        <v>119</v>
      </c>
      <c r="I1378" t="s">
        <v>4861</v>
      </c>
      <c r="J1378" t="str">
        <f>HYPERLINK("http://pikabu.ru/profile/NickYarushev")</f>
        <v>http://pikabu.ru/profile/NickYarushev</v>
      </c>
      <c r="N1378" t="s">
        <v>402</v>
      </c>
      <c r="O1378" t="s">
        <v>4612</v>
      </c>
      <c r="P1378" t="str">
        <f>HYPERLINK("http://pikabu.ru/profile/Soonk80")</f>
        <v>http://pikabu.ru/profile/Soonk80</v>
      </c>
      <c r="R1378" t="s">
        <v>404</v>
      </c>
      <c r="AM1378" t="s">
        <v>129</v>
      </c>
      <c r="AN1378" t="s">
        <v>130</v>
      </c>
      <c r="AP1378" t="s">
        <v>41</v>
      </c>
      <c r="AX1378" t="s">
        <v>49</v>
      </c>
      <c r="AZ1378" t="s">
        <v>51</v>
      </c>
      <c r="BA1378" t="s">
        <v>52</v>
      </c>
      <c r="BR1378" t="s">
        <v>69</v>
      </c>
    </row>
    <row r="1379" spans="1:70" x14ac:dyDescent="0.2">
      <c r="A1379" t="s">
        <v>4981</v>
      </c>
      <c r="B1379" t="s">
        <v>5224</v>
      </c>
      <c r="C1379" t="s">
        <v>5215</v>
      </c>
      <c r="D1379" t="s">
        <v>4505</v>
      </c>
      <c r="E1379" t="s">
        <v>5225</v>
      </c>
      <c r="F1379" t="s">
        <v>118</v>
      </c>
      <c r="G1379" t="str">
        <f>HYPERLINK("https://vk.com/wall-22935147_368528?w=wall-22935147_368528_r368560")</f>
        <v>https://vk.com/wall-22935147_368528?w=wall-22935147_368528_r368560</v>
      </c>
      <c r="H1379" t="s">
        <v>181</v>
      </c>
      <c r="I1379" t="s">
        <v>4848</v>
      </c>
      <c r="J1379" t="str">
        <f>HYPERLINK("http://vk.com/id594875318")</f>
        <v>http://vk.com/id594875318</v>
      </c>
      <c r="K1379">
        <v>27</v>
      </c>
      <c r="L1379" t="s">
        <v>121</v>
      </c>
      <c r="M1379">
        <v>36</v>
      </c>
      <c r="N1379" t="s">
        <v>122</v>
      </c>
      <c r="O1379" t="s">
        <v>1093</v>
      </c>
      <c r="P1379" t="str">
        <f>HYPERLINK("http://vk.com/club22935147")</f>
        <v>http://vk.com/club22935147</v>
      </c>
      <c r="Q1379">
        <v>8943</v>
      </c>
      <c r="R1379" t="s">
        <v>124</v>
      </c>
      <c r="S1379" t="s">
        <v>125</v>
      </c>
      <c r="W1379">
        <v>0</v>
      </c>
      <c r="X1379">
        <v>0</v>
      </c>
      <c r="AM1379" t="s">
        <v>129</v>
      </c>
      <c r="AN1379" t="s">
        <v>130</v>
      </c>
      <c r="AP1379" t="s">
        <v>41</v>
      </c>
      <c r="AU1379" t="s">
        <v>46</v>
      </c>
      <c r="AY1379" t="s">
        <v>50</v>
      </c>
      <c r="AZ1379" t="s">
        <v>51</v>
      </c>
      <c r="BA1379" t="s">
        <v>52</v>
      </c>
    </row>
    <row r="1380" spans="1:70" x14ac:dyDescent="0.2">
      <c r="A1380" t="s">
        <v>4981</v>
      </c>
      <c r="B1380" t="s">
        <v>1592</v>
      </c>
      <c r="C1380" t="s">
        <v>5226</v>
      </c>
      <c r="D1380" t="s">
        <v>1186</v>
      </c>
      <c r="E1380" t="s">
        <v>5227</v>
      </c>
      <c r="F1380" t="s">
        <v>180</v>
      </c>
      <c r="G1380" t="str">
        <f>HYPERLINK("https://4pda.to/forum/index.php?showtopic=916407&amp;st=3100#entry108123772")</f>
        <v>https://4pda.to/forum/index.php?showtopic=916407&amp;st=3100#entry108123772</v>
      </c>
      <c r="H1380" t="s">
        <v>119</v>
      </c>
      <c r="I1380" t="s">
        <v>5228</v>
      </c>
      <c r="J1380" t="str">
        <f>HYPERLINK("https://4pda.to/forum/index.php?showuser=5330202")</f>
        <v>https://4pda.to/forum/index.php?showuser=5330202</v>
      </c>
      <c r="N1380" t="s">
        <v>293</v>
      </c>
      <c r="O1380" t="s">
        <v>1189</v>
      </c>
      <c r="P1380" t="str">
        <f>HYPERLINK("https://4pda.to/forum/index.php?showforum=319")</f>
        <v>https://4pda.to/forum/index.php?showforum=319</v>
      </c>
      <c r="R1380" t="s">
        <v>295</v>
      </c>
      <c r="S1380" t="s">
        <v>125</v>
      </c>
      <c r="AM1380" t="s">
        <v>129</v>
      </c>
      <c r="AN1380" t="s">
        <v>130</v>
      </c>
      <c r="AP1380" t="s">
        <v>41</v>
      </c>
      <c r="AZ1380" t="s">
        <v>51</v>
      </c>
      <c r="BA1380" t="s">
        <v>52</v>
      </c>
    </row>
    <row r="1381" spans="1:70" x14ac:dyDescent="0.2">
      <c r="A1381" t="s">
        <v>4981</v>
      </c>
      <c r="B1381" t="s">
        <v>466</v>
      </c>
      <c r="C1381" t="s">
        <v>5229</v>
      </c>
      <c r="D1381" t="s">
        <v>2052</v>
      </c>
      <c r="E1381" t="s">
        <v>5230</v>
      </c>
      <c r="F1381" t="s">
        <v>180</v>
      </c>
      <c r="G1381" t="str">
        <f>HYPERLINK("https://www.wildberries.ru/catalog/17288086/detail.aspx?targetUrl=ES#Comments")</f>
        <v>https://www.wildberries.ru/catalog/17288086/detail.aspx?targetUrl=ES#Comments</v>
      </c>
      <c r="H1381" t="s">
        <v>181</v>
      </c>
      <c r="I1381" t="s">
        <v>924</v>
      </c>
      <c r="J1381" t="str">
        <f>HYPERLINK("https://www.wildberries.ru/profile/w7TDssOkw7PCu8K0wrTCtcK2wrTCtMKywrE=")</f>
        <v>https://www.wildberries.ru/profile/w7TDssOkw7PCu8K0wrTCtcK2wrTCtMKywrE=</v>
      </c>
      <c r="L1381" t="s">
        <v>121</v>
      </c>
      <c r="N1381" t="s">
        <v>534</v>
      </c>
      <c r="O1381" t="s">
        <v>2052</v>
      </c>
      <c r="P1381" t="str">
        <f>HYPERLINK("https://www.wildberries.ru/catalog/12874318/detail.aspx")</f>
        <v>https://www.wildberries.ru/catalog/12874318/detail.aspx</v>
      </c>
      <c r="R1381" t="s">
        <v>184</v>
      </c>
      <c r="S1381" t="s">
        <v>125</v>
      </c>
      <c r="W1381">
        <v>0</v>
      </c>
      <c r="X1381">
        <v>0</v>
      </c>
      <c r="AH1381">
        <v>5</v>
      </c>
      <c r="AM1381" t="s">
        <v>129</v>
      </c>
      <c r="AN1381" t="s">
        <v>130</v>
      </c>
      <c r="AP1381" t="s">
        <v>41</v>
      </c>
      <c r="AZ1381" t="s">
        <v>51</v>
      </c>
      <c r="BA1381" t="s">
        <v>52</v>
      </c>
      <c r="BK1381" t="s">
        <v>62</v>
      </c>
      <c r="BL1381" t="s">
        <v>63</v>
      </c>
    </row>
    <row r="1382" spans="1:70" x14ac:dyDescent="0.2">
      <c r="A1382" t="s">
        <v>4981</v>
      </c>
      <c r="B1382" t="s">
        <v>1602</v>
      </c>
      <c r="C1382" t="s">
        <v>5204</v>
      </c>
      <c r="D1382" t="s">
        <v>4609</v>
      </c>
      <c r="E1382" t="s">
        <v>5231</v>
      </c>
      <c r="F1382" t="s">
        <v>118</v>
      </c>
      <c r="G1382" t="str">
        <f>HYPERLINK("https://pikabu.ru/story/trikolor_tv_reklamnyiy_baner_kotoryiy_besitmalenkiy_layfkhak_8353681?cid=206762629")</f>
        <v>https://pikabu.ru/story/trikolor_tv_reklamnyiy_baner_kotoryiy_besitmalenkiy_layfkhak_8353681?cid=206762629</v>
      </c>
      <c r="H1382" t="s">
        <v>119</v>
      </c>
      <c r="I1382" t="s">
        <v>4840</v>
      </c>
      <c r="J1382" t="str">
        <f>HYPERLINK("http://pikabu.ru/profile/5yoda5")</f>
        <v>http://pikabu.ru/profile/5yoda5</v>
      </c>
      <c r="N1382" t="s">
        <v>402</v>
      </c>
      <c r="O1382" t="s">
        <v>4612</v>
      </c>
      <c r="P1382" t="str">
        <f>HYPERLINK("http://pikabu.ru/profile/Soonk80")</f>
        <v>http://pikabu.ru/profile/Soonk80</v>
      </c>
      <c r="R1382" t="s">
        <v>404</v>
      </c>
      <c r="AM1382" t="s">
        <v>129</v>
      </c>
      <c r="AN1382" t="s">
        <v>130</v>
      </c>
      <c r="AP1382" t="s">
        <v>41</v>
      </c>
      <c r="AY1382" t="s">
        <v>50</v>
      </c>
      <c r="AZ1382" t="s">
        <v>51</v>
      </c>
      <c r="BA1382" t="s">
        <v>52</v>
      </c>
    </row>
    <row r="1383" spans="1:70" x14ac:dyDescent="0.2">
      <c r="A1383" t="s">
        <v>4981</v>
      </c>
      <c r="B1383" t="s">
        <v>5232</v>
      </c>
      <c r="C1383" t="s">
        <v>5233</v>
      </c>
      <c r="D1383" t="s">
        <v>4295</v>
      </c>
      <c r="E1383" t="s">
        <v>5234</v>
      </c>
      <c r="F1383" t="s">
        <v>180</v>
      </c>
      <c r="G1383" t="str">
        <f>HYPERLINK("https://otzovik.com/review_12199254.html")</f>
        <v>https://otzovik.com/review_12199254.html</v>
      </c>
      <c r="H1383" t="s">
        <v>119</v>
      </c>
      <c r="I1383" t="s">
        <v>4297</v>
      </c>
      <c r="J1383" t="str">
        <f>HYPERLINK("http://otzovik.com/profile/AndBaks")</f>
        <v>http://otzovik.com/profile/AndBaks</v>
      </c>
      <c r="N1383" t="s">
        <v>390</v>
      </c>
      <c r="O1383" t="s">
        <v>4298</v>
      </c>
      <c r="P1383" t="str">
        <f>HYPERLINK("https://otzovik.com/reviews/sputnikovoe_televidenie_mts_russia/")</f>
        <v>https://otzovik.com/reviews/sputnikovoe_televidenie_mts_russia/</v>
      </c>
      <c r="R1383" t="s">
        <v>184</v>
      </c>
      <c r="S1383" t="s">
        <v>125</v>
      </c>
      <c r="T1383" t="s">
        <v>314</v>
      </c>
      <c r="U1383" t="s">
        <v>315</v>
      </c>
      <c r="W1383">
        <v>0</v>
      </c>
      <c r="X1383">
        <v>0</v>
      </c>
      <c r="AE1383">
        <v>0</v>
      </c>
      <c r="AH1383">
        <v>1</v>
      </c>
      <c r="AM1383" t="s">
        <v>129</v>
      </c>
      <c r="AN1383" t="s">
        <v>130</v>
      </c>
      <c r="AP1383" t="s">
        <v>41</v>
      </c>
      <c r="AY1383" t="s">
        <v>50</v>
      </c>
      <c r="AZ1383" t="s">
        <v>51</v>
      </c>
      <c r="BA1383" t="s">
        <v>52</v>
      </c>
    </row>
    <row r="1384" spans="1:70" x14ac:dyDescent="0.2">
      <c r="A1384" t="s">
        <v>4981</v>
      </c>
      <c r="B1384" t="s">
        <v>4773</v>
      </c>
      <c r="C1384" t="s">
        <v>5235</v>
      </c>
      <c r="D1384" t="s">
        <v>4505</v>
      </c>
      <c r="E1384" t="s">
        <v>5236</v>
      </c>
      <c r="F1384" t="s">
        <v>118</v>
      </c>
      <c r="G1384" t="str">
        <f>HYPERLINK("https://vk.com/wall-22935147_368528?w=wall-22935147_368528_r368558")</f>
        <v>https://vk.com/wall-22935147_368528?w=wall-22935147_368528_r368558</v>
      </c>
      <c r="H1384" t="s">
        <v>228</v>
      </c>
      <c r="I1384" t="s">
        <v>1300</v>
      </c>
      <c r="J1384" t="str">
        <f>HYPERLINK("http://vk.com/id396679922")</f>
        <v>http://vk.com/id396679922</v>
      </c>
      <c r="K1384">
        <v>47</v>
      </c>
      <c r="L1384" t="s">
        <v>121</v>
      </c>
      <c r="M1384">
        <v>18</v>
      </c>
      <c r="N1384" t="s">
        <v>122</v>
      </c>
      <c r="O1384" t="s">
        <v>1093</v>
      </c>
      <c r="P1384" t="str">
        <f>HYPERLINK("http://vk.com/club22935147")</f>
        <v>http://vk.com/club22935147</v>
      </c>
      <c r="Q1384">
        <v>8943</v>
      </c>
      <c r="R1384" t="s">
        <v>124</v>
      </c>
      <c r="S1384" t="s">
        <v>125</v>
      </c>
      <c r="T1384" t="s">
        <v>169</v>
      </c>
      <c r="U1384" t="s">
        <v>169</v>
      </c>
      <c r="W1384">
        <v>0</v>
      </c>
      <c r="X1384">
        <v>0</v>
      </c>
      <c r="AM1384" t="s">
        <v>129</v>
      </c>
      <c r="AN1384" t="s">
        <v>130</v>
      </c>
      <c r="AP1384" t="s">
        <v>41</v>
      </c>
      <c r="AU1384" t="s">
        <v>46</v>
      </c>
      <c r="AZ1384" t="s">
        <v>51</v>
      </c>
      <c r="BA1384" t="s">
        <v>52</v>
      </c>
    </row>
    <row r="1385" spans="1:70" x14ac:dyDescent="0.2">
      <c r="A1385" t="s">
        <v>4981</v>
      </c>
      <c r="B1385" t="s">
        <v>2084</v>
      </c>
      <c r="C1385" t="s">
        <v>5237</v>
      </c>
      <c r="D1385" t="s">
        <v>4274</v>
      </c>
      <c r="E1385" t="s">
        <v>5238</v>
      </c>
      <c r="F1385" t="s">
        <v>180</v>
      </c>
      <c r="G1385" t="str">
        <f>HYPERLINK("https://4pda.to/forum/index.php?showtopic=544619&amp;st=75980#entry108122750")</f>
        <v>https://4pda.to/forum/index.php?showtopic=544619&amp;st=75980#entry108122750</v>
      </c>
      <c r="H1385" t="s">
        <v>119</v>
      </c>
      <c r="I1385" t="s">
        <v>5239</v>
      </c>
      <c r="J1385" t="str">
        <f>HYPERLINK("https://4pda.to/forum/index.php?showuser=3033892")</f>
        <v>https://4pda.to/forum/index.php?showuser=3033892</v>
      </c>
      <c r="N1385" t="s">
        <v>293</v>
      </c>
      <c r="O1385" t="s">
        <v>1526</v>
      </c>
      <c r="P1385" t="str">
        <f>HYPERLINK("https://4pda.to/forum/index.php?showforum=98")</f>
        <v>https://4pda.to/forum/index.php?showforum=98</v>
      </c>
      <c r="R1385" t="s">
        <v>295</v>
      </c>
      <c r="S1385" t="s">
        <v>125</v>
      </c>
      <c r="AM1385" t="s">
        <v>129</v>
      </c>
      <c r="AN1385" t="s">
        <v>130</v>
      </c>
      <c r="AP1385" t="s">
        <v>41</v>
      </c>
      <c r="AT1385" t="s">
        <v>45</v>
      </c>
      <c r="AY1385" t="s">
        <v>50</v>
      </c>
      <c r="AZ1385" t="s">
        <v>51</v>
      </c>
      <c r="BA1385" t="s">
        <v>52</v>
      </c>
    </row>
    <row r="1386" spans="1:70" x14ac:dyDescent="0.2">
      <c r="A1386" t="s">
        <v>4981</v>
      </c>
      <c r="B1386" t="s">
        <v>3844</v>
      </c>
      <c r="C1386" t="s">
        <v>5240</v>
      </c>
      <c r="D1386" t="s">
        <v>4609</v>
      </c>
      <c r="E1386" t="s">
        <v>5241</v>
      </c>
      <c r="F1386" t="s">
        <v>118</v>
      </c>
      <c r="G1386" t="str">
        <f>HYPERLINK("https://pikabu.ru/story/trikolor_tv_reklamnyiy_baner_kotoryiy_besitmalenkiy_layfkhak_8353681?cid=206757932")</f>
        <v>https://pikabu.ru/story/trikolor_tv_reklamnyiy_baner_kotoryiy_besitmalenkiy_layfkhak_8353681?cid=206757932</v>
      </c>
      <c r="H1386" t="s">
        <v>228</v>
      </c>
      <c r="I1386" t="s">
        <v>4840</v>
      </c>
      <c r="J1386" t="str">
        <f>HYPERLINK("http://pikabu.ru/profile/5yoda5")</f>
        <v>http://pikabu.ru/profile/5yoda5</v>
      </c>
      <c r="N1386" t="s">
        <v>402</v>
      </c>
      <c r="O1386" t="s">
        <v>4612</v>
      </c>
      <c r="P1386" t="str">
        <f>HYPERLINK("http://pikabu.ru/profile/Soonk80")</f>
        <v>http://pikabu.ru/profile/Soonk80</v>
      </c>
      <c r="R1386" t="s">
        <v>404</v>
      </c>
      <c r="AM1386" t="s">
        <v>129</v>
      </c>
      <c r="AN1386" t="s">
        <v>130</v>
      </c>
      <c r="AP1386" t="s">
        <v>41</v>
      </c>
      <c r="AT1386" t="s">
        <v>45</v>
      </c>
      <c r="AZ1386" t="s">
        <v>51</v>
      </c>
      <c r="BA1386" t="s">
        <v>52</v>
      </c>
    </row>
    <row r="1387" spans="1:70" x14ac:dyDescent="0.2">
      <c r="A1387" t="s">
        <v>4981</v>
      </c>
      <c r="B1387" t="s">
        <v>2633</v>
      </c>
      <c r="C1387" t="s">
        <v>5242</v>
      </c>
      <c r="D1387" t="s">
        <v>5243</v>
      </c>
      <c r="E1387" t="s">
        <v>5244</v>
      </c>
      <c r="F1387" t="s">
        <v>118</v>
      </c>
      <c r="G1387" t="str">
        <f>HYPERLINK("https://telegram.me/borus_chat/738413")</f>
        <v>https://telegram.me/borus_chat/738413</v>
      </c>
      <c r="H1387" t="s">
        <v>119</v>
      </c>
      <c r="I1387" t="s">
        <v>5245</v>
      </c>
      <c r="J1387" t="str">
        <f>HYPERLINK("https://telegram.me/636306384")</f>
        <v>https://telegram.me/636306384</v>
      </c>
      <c r="L1387" t="s">
        <v>121</v>
      </c>
      <c r="N1387" t="s">
        <v>143</v>
      </c>
      <c r="O1387" t="s">
        <v>5246</v>
      </c>
      <c r="P1387" t="str">
        <f>HYPERLINK("https://telegram.me/borus_chat")</f>
        <v>https://telegram.me/borus_chat</v>
      </c>
      <c r="Q1387">
        <v>764</v>
      </c>
      <c r="R1387" t="s">
        <v>145</v>
      </c>
      <c r="AM1387" t="s">
        <v>129</v>
      </c>
      <c r="AN1387" t="s">
        <v>130</v>
      </c>
      <c r="AP1387" t="s">
        <v>41</v>
      </c>
      <c r="AZ1387" t="s">
        <v>51</v>
      </c>
      <c r="BA1387" t="s">
        <v>52</v>
      </c>
      <c r="BM1387" t="s">
        <v>64</v>
      </c>
    </row>
    <row r="1388" spans="1:70" x14ac:dyDescent="0.2">
      <c r="A1388" t="s">
        <v>4981</v>
      </c>
      <c r="B1388" t="s">
        <v>1624</v>
      </c>
      <c r="C1388" t="s">
        <v>5247</v>
      </c>
      <c r="D1388" t="s">
        <v>4782</v>
      </c>
      <c r="E1388" t="s">
        <v>5248</v>
      </c>
      <c r="F1388" t="s">
        <v>118</v>
      </c>
      <c r="G1388" t="str">
        <f>HYPERLINK("https://vk.com/wall-61101621_254734?reply=254735")</f>
        <v>https://vk.com/wall-61101621_254734?reply=254735</v>
      </c>
      <c r="H1388" t="s">
        <v>119</v>
      </c>
      <c r="I1388" t="s">
        <v>5249</v>
      </c>
      <c r="J1388" t="str">
        <f>HYPERLINK("http://vk.com/id362306579")</f>
        <v>http://vk.com/id362306579</v>
      </c>
      <c r="K1388">
        <v>1</v>
      </c>
      <c r="L1388" t="s">
        <v>151</v>
      </c>
      <c r="M1388">
        <v>30</v>
      </c>
      <c r="N1388" t="s">
        <v>122</v>
      </c>
      <c r="O1388" t="s">
        <v>160</v>
      </c>
      <c r="P1388" t="str">
        <f>HYPERLINK("http://vk.com/club61101621")</f>
        <v>http://vk.com/club61101621</v>
      </c>
      <c r="Q1388">
        <v>21119</v>
      </c>
      <c r="R1388" t="s">
        <v>124</v>
      </c>
      <c r="S1388" t="s">
        <v>125</v>
      </c>
      <c r="T1388" t="s">
        <v>169</v>
      </c>
      <c r="U1388" t="s">
        <v>169</v>
      </c>
      <c r="W1388">
        <v>0</v>
      </c>
      <c r="X1388">
        <v>0</v>
      </c>
      <c r="AM1388" t="s">
        <v>129</v>
      </c>
      <c r="AN1388" t="s">
        <v>130</v>
      </c>
      <c r="AP1388" t="s">
        <v>41</v>
      </c>
      <c r="AZ1388" t="s">
        <v>51</v>
      </c>
      <c r="BA1388" t="s">
        <v>52</v>
      </c>
      <c r="BM1388" t="s">
        <v>64</v>
      </c>
    </row>
    <row r="1389" spans="1:70" x14ac:dyDescent="0.2">
      <c r="A1389" t="s">
        <v>4981</v>
      </c>
      <c r="B1389" t="s">
        <v>513</v>
      </c>
      <c r="C1389" t="s">
        <v>5250</v>
      </c>
      <c r="D1389" t="s">
        <v>129</v>
      </c>
      <c r="E1389" t="s">
        <v>5251</v>
      </c>
      <c r="F1389" t="s">
        <v>180</v>
      </c>
      <c r="G1389" t="str">
        <f>HYPERLINK("https://vk.com/wall-61101621_254734")</f>
        <v>https://vk.com/wall-61101621_254734</v>
      </c>
      <c r="H1389" t="s">
        <v>119</v>
      </c>
      <c r="I1389" t="s">
        <v>4784</v>
      </c>
      <c r="J1389" t="str">
        <f>HYPERLINK("http://vk.com/id152391779")</f>
        <v>http://vk.com/id152391779</v>
      </c>
      <c r="K1389">
        <v>423</v>
      </c>
      <c r="L1389" t="s">
        <v>121</v>
      </c>
      <c r="M1389">
        <v>31</v>
      </c>
      <c r="N1389" t="s">
        <v>122</v>
      </c>
      <c r="O1389" t="s">
        <v>160</v>
      </c>
      <c r="P1389" t="str">
        <f>HYPERLINK("http://vk.com/club61101621")</f>
        <v>http://vk.com/club61101621</v>
      </c>
      <c r="Q1389">
        <v>21119</v>
      </c>
      <c r="R1389" t="s">
        <v>124</v>
      </c>
      <c r="S1389" t="s">
        <v>125</v>
      </c>
      <c r="T1389" t="s">
        <v>667</v>
      </c>
      <c r="U1389" t="s">
        <v>4785</v>
      </c>
      <c r="W1389">
        <v>6</v>
      </c>
      <c r="X1389">
        <v>6</v>
      </c>
      <c r="AE1389">
        <v>7</v>
      </c>
      <c r="AF1389">
        <v>0</v>
      </c>
      <c r="AG1389">
        <v>1871</v>
      </c>
      <c r="AM1389" t="s">
        <v>129</v>
      </c>
      <c r="AN1389" t="s">
        <v>130</v>
      </c>
      <c r="AP1389" t="s">
        <v>41</v>
      </c>
      <c r="AW1389" t="s">
        <v>48</v>
      </c>
      <c r="AZ1389" t="s">
        <v>51</v>
      </c>
      <c r="BA1389" t="s">
        <v>52</v>
      </c>
      <c r="BM1389" t="s">
        <v>64</v>
      </c>
    </row>
    <row r="1390" spans="1:70" x14ac:dyDescent="0.2">
      <c r="A1390" t="s">
        <v>4981</v>
      </c>
      <c r="B1390" t="s">
        <v>5252</v>
      </c>
      <c r="C1390" t="s">
        <v>5250</v>
      </c>
      <c r="D1390" t="s">
        <v>5253</v>
      </c>
      <c r="E1390" t="s">
        <v>5254</v>
      </c>
      <c r="F1390" t="s">
        <v>118</v>
      </c>
      <c r="G1390" t="str">
        <f>HYPERLINK("https://vk.com/wall-22935147_368494?w=wall-22935147_368494_r368555")</f>
        <v>https://vk.com/wall-22935147_368494?w=wall-22935147_368494_r368555</v>
      </c>
      <c r="H1390" t="s">
        <v>119</v>
      </c>
      <c r="I1390" t="s">
        <v>5255</v>
      </c>
      <c r="J1390" t="str">
        <f>HYPERLINK("http://vk.com/id592124530")</f>
        <v>http://vk.com/id592124530</v>
      </c>
      <c r="L1390" t="s">
        <v>121</v>
      </c>
      <c r="N1390" t="s">
        <v>122</v>
      </c>
      <c r="O1390" t="s">
        <v>1093</v>
      </c>
      <c r="P1390" t="str">
        <f>HYPERLINK("http://vk.com/club22935147")</f>
        <v>http://vk.com/club22935147</v>
      </c>
      <c r="Q1390">
        <v>8943</v>
      </c>
      <c r="R1390" t="s">
        <v>124</v>
      </c>
      <c r="S1390" t="s">
        <v>125</v>
      </c>
      <c r="T1390" t="s">
        <v>494</v>
      </c>
      <c r="U1390" t="s">
        <v>2280</v>
      </c>
      <c r="W1390">
        <v>0</v>
      </c>
      <c r="X1390">
        <v>0</v>
      </c>
      <c r="AM1390" t="s">
        <v>129</v>
      </c>
      <c r="AN1390" t="s">
        <v>130</v>
      </c>
      <c r="AP1390" t="s">
        <v>41</v>
      </c>
      <c r="AU1390" t="s">
        <v>46</v>
      </c>
      <c r="AZ1390" t="s">
        <v>51</v>
      </c>
      <c r="BA1390" t="s">
        <v>52</v>
      </c>
    </row>
    <row r="1391" spans="1:70" x14ac:dyDescent="0.2">
      <c r="A1391" t="s">
        <v>4981</v>
      </c>
      <c r="B1391" t="s">
        <v>5256</v>
      </c>
      <c r="C1391" t="s">
        <v>5257</v>
      </c>
      <c r="D1391" t="s">
        <v>4609</v>
      </c>
      <c r="E1391" t="s">
        <v>5258</v>
      </c>
      <c r="F1391" t="s">
        <v>118</v>
      </c>
      <c r="G1391" t="str">
        <f>HYPERLINK("https://pikabu.ru/story/trikolor_tv_reklamnyiy_baner_kotoryiy_besitmalenkiy_layfkhak_8353681?cid=206754251")</f>
        <v>https://pikabu.ru/story/trikolor_tv_reklamnyiy_baner_kotoryiy_besitmalenkiy_layfkhak_8353681?cid=206754251</v>
      </c>
      <c r="H1391" t="s">
        <v>119</v>
      </c>
      <c r="I1391" t="s">
        <v>5259</v>
      </c>
      <c r="J1391" t="str">
        <f>HYPERLINK("http://pikabu.ru/profile/cesiumaurum")</f>
        <v>http://pikabu.ru/profile/cesiumaurum</v>
      </c>
      <c r="N1391" t="s">
        <v>402</v>
      </c>
      <c r="O1391" t="s">
        <v>4612</v>
      </c>
      <c r="P1391" t="str">
        <f>HYPERLINK("http://pikabu.ru/profile/Soonk80")</f>
        <v>http://pikabu.ru/profile/Soonk80</v>
      </c>
      <c r="R1391" t="s">
        <v>404</v>
      </c>
      <c r="AM1391" t="s">
        <v>129</v>
      </c>
      <c r="AN1391" t="s">
        <v>130</v>
      </c>
      <c r="AP1391" t="s">
        <v>41</v>
      </c>
      <c r="AZ1391" t="s">
        <v>51</v>
      </c>
      <c r="BA1391" t="s">
        <v>52</v>
      </c>
      <c r="BR1391" t="s">
        <v>69</v>
      </c>
    </row>
    <row r="1392" spans="1:70" x14ac:dyDescent="0.2">
      <c r="A1392" t="s">
        <v>4981</v>
      </c>
      <c r="B1392" t="s">
        <v>529</v>
      </c>
      <c r="C1392" t="s">
        <v>5260</v>
      </c>
      <c r="D1392" t="s">
        <v>4609</v>
      </c>
      <c r="E1392" t="s">
        <v>5261</v>
      </c>
      <c r="F1392" t="s">
        <v>118</v>
      </c>
      <c r="G1392" t="str">
        <f>HYPERLINK("https://pikabu.ru/story/trikolor_tv_reklamnyiy_baner_kotoryiy_besitmalenkiy_layfkhak_8353681?cid=206753427")</f>
        <v>https://pikabu.ru/story/trikolor_tv_reklamnyiy_baner_kotoryiy_besitmalenkiy_layfkhak_8353681?cid=206753427</v>
      </c>
      <c r="H1392" t="s">
        <v>119</v>
      </c>
      <c r="I1392" t="s">
        <v>4840</v>
      </c>
      <c r="J1392" t="str">
        <f>HYPERLINK("http://pikabu.ru/profile/5yoda5")</f>
        <v>http://pikabu.ru/profile/5yoda5</v>
      </c>
      <c r="N1392" t="s">
        <v>402</v>
      </c>
      <c r="O1392" t="s">
        <v>4612</v>
      </c>
      <c r="P1392" t="str">
        <f>HYPERLINK("http://pikabu.ru/profile/Soonk80")</f>
        <v>http://pikabu.ru/profile/Soonk80</v>
      </c>
      <c r="R1392" t="s">
        <v>404</v>
      </c>
      <c r="AM1392" t="s">
        <v>129</v>
      </c>
      <c r="AN1392" t="s">
        <v>130</v>
      </c>
      <c r="AP1392" t="s">
        <v>41</v>
      </c>
      <c r="AW1392" t="s">
        <v>48</v>
      </c>
      <c r="AZ1392" t="s">
        <v>51</v>
      </c>
      <c r="BA1392" t="s">
        <v>52</v>
      </c>
    </row>
    <row r="1393" spans="1:65" x14ac:dyDescent="0.2">
      <c r="A1393" t="s">
        <v>4981</v>
      </c>
      <c r="B1393" t="s">
        <v>3875</v>
      </c>
      <c r="C1393" t="s">
        <v>5257</v>
      </c>
      <c r="D1393" t="s">
        <v>4609</v>
      </c>
      <c r="E1393" t="s">
        <v>5262</v>
      </c>
      <c r="F1393" t="s">
        <v>118</v>
      </c>
      <c r="G1393" t="str">
        <f>HYPERLINK("https://pikabu.ru/story/trikolor_tv_reklamnyiy_baner_kotoryiy_besitmalenkiy_layfkhak_8353681?cid=206752581")</f>
        <v>https://pikabu.ru/story/trikolor_tv_reklamnyiy_baner_kotoryiy_besitmalenkiy_layfkhak_8353681?cid=206752581</v>
      </c>
      <c r="H1393" t="s">
        <v>228</v>
      </c>
      <c r="I1393" t="s">
        <v>4840</v>
      </c>
      <c r="J1393" t="str">
        <f>HYPERLINK("http://pikabu.ru/profile/5yoda5")</f>
        <v>http://pikabu.ru/profile/5yoda5</v>
      </c>
      <c r="N1393" t="s">
        <v>402</v>
      </c>
      <c r="O1393" t="s">
        <v>4612</v>
      </c>
      <c r="P1393" t="str">
        <f>HYPERLINK("http://pikabu.ru/profile/Soonk80")</f>
        <v>http://pikabu.ru/profile/Soonk80</v>
      </c>
      <c r="R1393" t="s">
        <v>404</v>
      </c>
      <c r="AM1393" t="s">
        <v>129</v>
      </c>
      <c r="AN1393" t="s">
        <v>130</v>
      </c>
      <c r="AP1393" t="s">
        <v>41</v>
      </c>
      <c r="AT1393" t="s">
        <v>45</v>
      </c>
      <c r="AW1393" t="s">
        <v>48</v>
      </c>
      <c r="AZ1393" t="s">
        <v>51</v>
      </c>
      <c r="BA1393" t="s">
        <v>52</v>
      </c>
      <c r="BL1393" t="s">
        <v>63</v>
      </c>
    </row>
    <row r="1394" spans="1:65" x14ac:dyDescent="0.2">
      <c r="A1394" t="s">
        <v>4981</v>
      </c>
      <c r="B1394" t="s">
        <v>1651</v>
      </c>
      <c r="C1394" t="s">
        <v>5257</v>
      </c>
      <c r="D1394" t="s">
        <v>4609</v>
      </c>
      <c r="E1394" t="s">
        <v>5263</v>
      </c>
      <c r="F1394" t="s">
        <v>118</v>
      </c>
      <c r="G1394" t="str">
        <f>HYPERLINK("https://pikabu.ru/story/trikolor_tv_reklamnyiy_baner_kotoryiy_besitmalenkiy_layfkhak_8353681?cid=206751711")</f>
        <v>https://pikabu.ru/story/trikolor_tv_reklamnyiy_baner_kotoryiy_besitmalenkiy_layfkhak_8353681?cid=206751711</v>
      </c>
      <c r="H1394" t="s">
        <v>119</v>
      </c>
      <c r="I1394" t="s">
        <v>5264</v>
      </c>
      <c r="J1394" t="str">
        <f>HYPERLINK("http://pikabu.ru/profile/Partizaika")</f>
        <v>http://pikabu.ru/profile/Partizaika</v>
      </c>
      <c r="N1394" t="s">
        <v>402</v>
      </c>
      <c r="O1394" t="s">
        <v>4612</v>
      </c>
      <c r="P1394" t="str">
        <f>HYPERLINK("http://pikabu.ru/profile/Soonk80")</f>
        <v>http://pikabu.ru/profile/Soonk80</v>
      </c>
      <c r="R1394" t="s">
        <v>404</v>
      </c>
      <c r="AM1394" t="s">
        <v>129</v>
      </c>
      <c r="AN1394" t="s">
        <v>130</v>
      </c>
      <c r="AP1394" t="s">
        <v>41</v>
      </c>
      <c r="AW1394" t="s">
        <v>48</v>
      </c>
      <c r="AZ1394" t="s">
        <v>51</v>
      </c>
      <c r="BA1394" t="s">
        <v>52</v>
      </c>
    </row>
    <row r="1395" spans="1:65" x14ac:dyDescent="0.2">
      <c r="A1395" t="s">
        <v>4981</v>
      </c>
      <c r="B1395" t="s">
        <v>1655</v>
      </c>
      <c r="C1395" t="s">
        <v>5265</v>
      </c>
      <c r="D1395" t="s">
        <v>5266</v>
      </c>
      <c r="E1395" t="s">
        <v>5267</v>
      </c>
      <c r="F1395" t="s">
        <v>118</v>
      </c>
      <c r="G1395" t="str">
        <f>HYPERLINK("https://telegram.me/real_journalism/588474")</f>
        <v>https://telegram.me/real_journalism/588474</v>
      </c>
      <c r="H1395" t="s">
        <v>119</v>
      </c>
      <c r="I1395" t="s">
        <v>5268</v>
      </c>
      <c r="J1395" t="str">
        <f>HYPERLINK("https://telegram.me/1135796717")</f>
        <v>https://telegram.me/1135796717</v>
      </c>
      <c r="N1395" t="s">
        <v>143</v>
      </c>
      <c r="O1395" t="s">
        <v>5269</v>
      </c>
      <c r="P1395" t="str">
        <f>HYPERLINK("https://telegram.me/real_journalism")</f>
        <v>https://telegram.me/real_journalism</v>
      </c>
      <c r="Q1395">
        <v>4039</v>
      </c>
      <c r="R1395" t="s">
        <v>145</v>
      </c>
      <c r="AM1395" t="s">
        <v>129</v>
      </c>
      <c r="AN1395" t="s">
        <v>130</v>
      </c>
      <c r="AP1395" t="s">
        <v>41</v>
      </c>
      <c r="AY1395" t="s">
        <v>50</v>
      </c>
      <c r="AZ1395" t="s">
        <v>51</v>
      </c>
      <c r="BA1395" t="s">
        <v>52</v>
      </c>
      <c r="BL1395" t="s">
        <v>63</v>
      </c>
    </row>
    <row r="1396" spans="1:65" x14ac:dyDescent="0.2">
      <c r="A1396" t="s">
        <v>4981</v>
      </c>
      <c r="B1396" t="s">
        <v>1659</v>
      </c>
      <c r="C1396" t="s">
        <v>5265</v>
      </c>
      <c r="D1396" t="s">
        <v>5270</v>
      </c>
      <c r="E1396" t="s">
        <v>5271</v>
      </c>
      <c r="F1396" t="s">
        <v>118</v>
      </c>
      <c r="G1396" t="str">
        <f>HYPERLINK("https://telegram.me/real_journalism/588471")</f>
        <v>https://telegram.me/real_journalism/588471</v>
      </c>
      <c r="H1396" t="s">
        <v>119</v>
      </c>
      <c r="I1396" t="s">
        <v>5272</v>
      </c>
      <c r="J1396" t="str">
        <f>HYPERLINK("https://telegram.me/558719492")</f>
        <v>https://telegram.me/558719492</v>
      </c>
      <c r="N1396" t="s">
        <v>143</v>
      </c>
      <c r="O1396" t="s">
        <v>5269</v>
      </c>
      <c r="P1396" t="str">
        <f>HYPERLINK("https://telegram.me/real_journalism")</f>
        <v>https://telegram.me/real_journalism</v>
      </c>
      <c r="Q1396">
        <v>4039</v>
      </c>
      <c r="R1396" t="s">
        <v>145</v>
      </c>
      <c r="AM1396" t="s">
        <v>129</v>
      </c>
      <c r="AN1396" t="s">
        <v>130</v>
      </c>
      <c r="AP1396" t="s">
        <v>41</v>
      </c>
      <c r="AY1396" t="s">
        <v>50</v>
      </c>
      <c r="AZ1396" t="s">
        <v>51</v>
      </c>
      <c r="BA1396" t="s">
        <v>52</v>
      </c>
    </row>
    <row r="1397" spans="1:65" x14ac:dyDescent="0.2">
      <c r="A1397" t="s">
        <v>4981</v>
      </c>
      <c r="B1397" t="s">
        <v>1666</v>
      </c>
      <c r="C1397" t="s">
        <v>5265</v>
      </c>
      <c r="D1397" t="s">
        <v>5270</v>
      </c>
      <c r="E1397" t="s">
        <v>5266</v>
      </c>
      <c r="F1397" t="s">
        <v>118</v>
      </c>
      <c r="G1397" t="str">
        <f>HYPERLINK("https://telegram.me/real_journalism/588470")</f>
        <v>https://telegram.me/real_journalism/588470</v>
      </c>
      <c r="H1397" t="s">
        <v>119</v>
      </c>
      <c r="I1397" t="s">
        <v>5272</v>
      </c>
      <c r="J1397" t="str">
        <f>HYPERLINK("https://telegram.me/558719492")</f>
        <v>https://telegram.me/558719492</v>
      </c>
      <c r="N1397" t="s">
        <v>143</v>
      </c>
      <c r="O1397" t="s">
        <v>5269</v>
      </c>
      <c r="P1397" t="str">
        <f>HYPERLINK("https://telegram.me/real_journalism")</f>
        <v>https://telegram.me/real_journalism</v>
      </c>
      <c r="Q1397">
        <v>4039</v>
      </c>
      <c r="R1397" t="s">
        <v>145</v>
      </c>
      <c r="AM1397" t="s">
        <v>129</v>
      </c>
      <c r="AN1397" t="s">
        <v>130</v>
      </c>
      <c r="AP1397" t="s">
        <v>41</v>
      </c>
      <c r="AU1397" t="s">
        <v>46</v>
      </c>
      <c r="AY1397" t="s">
        <v>50</v>
      </c>
      <c r="AZ1397" t="s">
        <v>51</v>
      </c>
      <c r="BA1397" t="s">
        <v>52</v>
      </c>
    </row>
    <row r="1398" spans="1:65" x14ac:dyDescent="0.2">
      <c r="A1398" t="s">
        <v>4981</v>
      </c>
      <c r="B1398" t="s">
        <v>5273</v>
      </c>
      <c r="C1398" t="s">
        <v>5265</v>
      </c>
      <c r="D1398" t="s">
        <v>5274</v>
      </c>
      <c r="E1398" t="s">
        <v>5270</v>
      </c>
      <c r="F1398" t="s">
        <v>118</v>
      </c>
      <c r="G1398" t="str">
        <f>HYPERLINK("https://telegram.me/real_journalism/588467")</f>
        <v>https://telegram.me/real_journalism/588467</v>
      </c>
      <c r="H1398" t="s">
        <v>119</v>
      </c>
      <c r="I1398" t="s">
        <v>5268</v>
      </c>
      <c r="J1398" t="str">
        <f>HYPERLINK("https://telegram.me/1135796717")</f>
        <v>https://telegram.me/1135796717</v>
      </c>
      <c r="N1398" t="s">
        <v>143</v>
      </c>
      <c r="O1398" t="s">
        <v>5269</v>
      </c>
      <c r="P1398" t="str">
        <f>HYPERLINK("https://telegram.me/real_journalism")</f>
        <v>https://telegram.me/real_journalism</v>
      </c>
      <c r="Q1398">
        <v>4039</v>
      </c>
      <c r="R1398" t="s">
        <v>145</v>
      </c>
      <c r="AM1398" t="s">
        <v>129</v>
      </c>
      <c r="AN1398" t="s">
        <v>130</v>
      </c>
      <c r="AP1398" t="s">
        <v>41</v>
      </c>
      <c r="AT1398" t="s">
        <v>45</v>
      </c>
      <c r="AY1398" t="s">
        <v>50</v>
      </c>
      <c r="AZ1398" t="s">
        <v>51</v>
      </c>
      <c r="BA1398" t="s">
        <v>52</v>
      </c>
    </row>
    <row r="1399" spans="1:65" x14ac:dyDescent="0.2">
      <c r="A1399" t="s">
        <v>4981</v>
      </c>
      <c r="B1399" t="s">
        <v>3895</v>
      </c>
      <c r="C1399" t="s">
        <v>5275</v>
      </c>
      <c r="D1399" t="s">
        <v>5276</v>
      </c>
      <c r="E1399" t="s">
        <v>5277</v>
      </c>
      <c r="F1399" t="s">
        <v>180</v>
      </c>
      <c r="G1399" t="str">
        <f>HYPERLINK("https://www.ozon.ru/context/detail/id/267451751/#60952433")</f>
        <v>https://www.ozon.ru/context/detail/id/267451751/#60952433</v>
      </c>
      <c r="H1399" t="s">
        <v>181</v>
      </c>
      <c r="I1399" t="s">
        <v>5278</v>
      </c>
      <c r="J1399" t="str">
        <f>HYPERLINK("https://www.ozon.ru/context/client_opinion/ClientGuid/db4edc89-f659-4f32-99a9-13a2b9efede5/")</f>
        <v>https://www.ozon.ru/context/client_opinion/ClientGuid/db4edc89-f659-4f32-99a9-13a2b9efede5/</v>
      </c>
      <c r="L1399" t="s">
        <v>151</v>
      </c>
      <c r="N1399" t="s">
        <v>183</v>
      </c>
      <c r="O1399" t="s">
        <v>5276</v>
      </c>
      <c r="P1399" t="str">
        <f>HYPERLINK("https://www.ozon.ru/context/detail/id/267451751/")</f>
        <v>https://www.ozon.ru/context/detail/id/267451751/</v>
      </c>
      <c r="R1399" t="s">
        <v>184</v>
      </c>
      <c r="S1399" t="s">
        <v>125</v>
      </c>
      <c r="W1399">
        <v>0</v>
      </c>
      <c r="X1399">
        <v>0</v>
      </c>
      <c r="AH1399">
        <v>5</v>
      </c>
      <c r="AJ1399" t="s">
        <v>5279</v>
      </c>
      <c r="AK1399" t="s">
        <v>129</v>
      </c>
      <c r="AL1399" t="str">
        <f>HYPERLINK("https://cdn1.ozone.ru/s3/rp-photo-1/ea7c781f-1519-4767-bb67-8d3c7d649a23.jpeg")</f>
        <v>https://cdn1.ozone.ru/s3/rp-photo-1/ea7c781f-1519-4767-bb67-8d3c7d649a23.jpeg</v>
      </c>
      <c r="AM1399" t="s">
        <v>129</v>
      </c>
      <c r="AN1399" t="s">
        <v>130</v>
      </c>
      <c r="AP1399" t="s">
        <v>41</v>
      </c>
      <c r="AZ1399" t="s">
        <v>51</v>
      </c>
      <c r="BA1399" t="s">
        <v>52</v>
      </c>
      <c r="BL1399" t="s">
        <v>63</v>
      </c>
    </row>
    <row r="1400" spans="1:65" x14ac:dyDescent="0.2">
      <c r="A1400" t="s">
        <v>4981</v>
      </c>
      <c r="B1400" t="s">
        <v>2673</v>
      </c>
      <c r="C1400" t="s">
        <v>5265</v>
      </c>
      <c r="D1400" t="s">
        <v>5280</v>
      </c>
      <c r="E1400" t="s">
        <v>5281</v>
      </c>
      <c r="F1400" t="s">
        <v>118</v>
      </c>
      <c r="G1400" t="str">
        <f>HYPERLINK("https://telegram.me/real_journalism/588458")</f>
        <v>https://telegram.me/real_journalism/588458</v>
      </c>
      <c r="H1400" t="s">
        <v>228</v>
      </c>
      <c r="I1400" t="s">
        <v>5282</v>
      </c>
      <c r="J1400" t="str">
        <f>HYPERLINK("https://telegram.me/prezident30")</f>
        <v>https://telegram.me/prezident30</v>
      </c>
      <c r="N1400" t="s">
        <v>143</v>
      </c>
      <c r="O1400" t="s">
        <v>5269</v>
      </c>
      <c r="P1400" t="str">
        <f>HYPERLINK("https://telegram.me/real_journalism")</f>
        <v>https://telegram.me/real_journalism</v>
      </c>
      <c r="Q1400">
        <v>4039</v>
      </c>
      <c r="R1400" t="s">
        <v>145</v>
      </c>
      <c r="AM1400" t="s">
        <v>129</v>
      </c>
      <c r="AN1400" t="s">
        <v>130</v>
      </c>
      <c r="AP1400" t="s">
        <v>41</v>
      </c>
      <c r="AU1400" t="s">
        <v>46</v>
      </c>
      <c r="AY1400" t="s">
        <v>50</v>
      </c>
      <c r="AZ1400" t="s">
        <v>51</v>
      </c>
      <c r="BA1400" t="s">
        <v>52</v>
      </c>
      <c r="BM1400" t="s">
        <v>64</v>
      </c>
    </row>
    <row r="1401" spans="1:65" x14ac:dyDescent="0.2">
      <c r="A1401" t="s">
        <v>4981</v>
      </c>
      <c r="B1401" t="s">
        <v>1671</v>
      </c>
      <c r="C1401" t="s">
        <v>5283</v>
      </c>
      <c r="D1401" t="s">
        <v>651</v>
      </c>
      <c r="E1401" t="s">
        <v>5284</v>
      </c>
      <c r="F1401" t="s">
        <v>180</v>
      </c>
      <c r="G1401" t="str">
        <f>HYPERLINK("https://www.ozon.ru/context/detail/id/227979649/#60950543")</f>
        <v>https://www.ozon.ru/context/detail/id/227979649/#60950543</v>
      </c>
      <c r="H1401" t="s">
        <v>181</v>
      </c>
      <c r="I1401" t="s">
        <v>5285</v>
      </c>
      <c r="J1401" t="str">
        <f>HYPERLINK("https://www.ozon.ru/context/client_opinion/ClientGuid/537d6ab2-fbc4-4c14-8bd6-a0ccb28fcb03/")</f>
        <v>https://www.ozon.ru/context/client_opinion/ClientGuid/537d6ab2-fbc4-4c14-8bd6-a0ccb28fcb03/</v>
      </c>
      <c r="L1401" t="s">
        <v>121</v>
      </c>
      <c r="N1401" t="s">
        <v>183</v>
      </c>
      <c r="O1401" t="s">
        <v>654</v>
      </c>
      <c r="P1401" t="str">
        <f>HYPERLINK("https://www.ozon.ru/context/detail/id/227979649/")</f>
        <v>https://www.ozon.ru/context/detail/id/227979649/</v>
      </c>
      <c r="R1401" t="s">
        <v>184</v>
      </c>
      <c r="S1401" t="s">
        <v>125</v>
      </c>
      <c r="W1401">
        <v>0</v>
      </c>
      <c r="X1401">
        <v>0</v>
      </c>
      <c r="AH1401">
        <v>5</v>
      </c>
      <c r="AJ1401" t="s">
        <v>5286</v>
      </c>
      <c r="AK1401" t="s">
        <v>129</v>
      </c>
      <c r="AL1401" t="str">
        <f>HYPERLINK("https://cdn1.ozone.ru/s3/rp-photo-1/a7851e8d-ec6c-45c5-ba1b-aceeccd32e31.jpeg")</f>
        <v>https://cdn1.ozone.ru/s3/rp-photo-1/a7851e8d-ec6c-45c5-ba1b-aceeccd32e31.jpeg</v>
      </c>
      <c r="AM1401" t="s">
        <v>129</v>
      </c>
      <c r="AN1401" t="s">
        <v>130</v>
      </c>
      <c r="AP1401" t="s">
        <v>41</v>
      </c>
      <c r="AT1401" t="s">
        <v>45</v>
      </c>
      <c r="AZ1401" t="s">
        <v>51</v>
      </c>
      <c r="BA1401" t="s">
        <v>52</v>
      </c>
      <c r="BL1401" t="s">
        <v>63</v>
      </c>
    </row>
    <row r="1402" spans="1:65" x14ac:dyDescent="0.2">
      <c r="A1402" t="s">
        <v>4981</v>
      </c>
      <c r="B1402" t="s">
        <v>1686</v>
      </c>
      <c r="C1402" t="s">
        <v>5287</v>
      </c>
      <c r="D1402" t="s">
        <v>5288</v>
      </c>
      <c r="E1402" t="s">
        <v>5289</v>
      </c>
      <c r="F1402" t="s">
        <v>118</v>
      </c>
      <c r="G1402" t="str">
        <f>HYPERLINK("https://the-flow.ru/news/slava-kpss-sgorela-kvartira#comment-5463694519")</f>
        <v>https://the-flow.ru/news/slava-kpss-sgorela-kvartira#comment-5463694519</v>
      </c>
      <c r="H1402" t="s">
        <v>119</v>
      </c>
      <c r="I1402" t="s">
        <v>5290</v>
      </c>
      <c r="J1402" t="str">
        <f>HYPERLINK("https://disqus.com/by/chokudaev/")</f>
        <v>https://disqus.com/by/chokudaev/</v>
      </c>
      <c r="K1402">
        <v>0</v>
      </c>
      <c r="N1402" t="s">
        <v>5291</v>
      </c>
      <c r="O1402" t="s">
        <v>5292</v>
      </c>
      <c r="P1402" t="str">
        <f>HYPERLINK("https://disqus.com/home/forum/the-flow2014/")</f>
        <v>https://disqus.com/home/forum/the-flow2014/</v>
      </c>
      <c r="R1402" t="s">
        <v>404</v>
      </c>
      <c r="S1402" t="s">
        <v>125</v>
      </c>
      <c r="W1402">
        <v>0</v>
      </c>
      <c r="X1402">
        <v>0</v>
      </c>
      <c r="AM1402" t="s">
        <v>129</v>
      </c>
      <c r="AN1402" t="s">
        <v>130</v>
      </c>
      <c r="AP1402" t="s">
        <v>41</v>
      </c>
      <c r="AZ1402" t="s">
        <v>51</v>
      </c>
      <c r="BB1402" t="s">
        <v>53</v>
      </c>
    </row>
    <row r="1403" spans="1:65" x14ac:dyDescent="0.2">
      <c r="A1403" t="s">
        <v>4981</v>
      </c>
      <c r="B1403" t="s">
        <v>572</v>
      </c>
      <c r="C1403" t="s">
        <v>5293</v>
      </c>
      <c r="D1403" t="s">
        <v>5294</v>
      </c>
      <c r="E1403" t="s">
        <v>5295</v>
      </c>
      <c r="F1403" t="s">
        <v>118</v>
      </c>
      <c r="G1403" t="str">
        <f>HYPERLINK("http://forum.ixbt.com/topic.cgi?id=42:23309-129#post24")</f>
        <v>http://forum.ixbt.com/topic.cgi?id=42:23309-129#post24</v>
      </c>
      <c r="H1403" t="s">
        <v>119</v>
      </c>
      <c r="I1403" t="s">
        <v>5296</v>
      </c>
      <c r="J1403" t="str">
        <f>HYPERLINK("http://forum.ixbt.com/topic.cgi?id=42:23309-129#post24")</f>
        <v>http://forum.ixbt.com/topic.cgi?id=42:23309-129#post24</v>
      </c>
      <c r="N1403" t="s">
        <v>1763</v>
      </c>
      <c r="O1403" t="s">
        <v>5297</v>
      </c>
      <c r="P1403" t="str">
        <f>HYPERLINK("https://forum.ixbt.com/?id=42")</f>
        <v>https://forum.ixbt.com/?id=42</v>
      </c>
      <c r="R1403" t="s">
        <v>295</v>
      </c>
      <c r="S1403" t="s">
        <v>125</v>
      </c>
      <c r="AM1403" t="s">
        <v>129</v>
      </c>
      <c r="AN1403" t="s">
        <v>130</v>
      </c>
      <c r="AP1403" t="s">
        <v>41</v>
      </c>
      <c r="AT1403" t="s">
        <v>45</v>
      </c>
      <c r="AU1403" t="s">
        <v>46</v>
      </c>
      <c r="AZ1403" t="s">
        <v>51</v>
      </c>
      <c r="BA1403" t="s">
        <v>52</v>
      </c>
    </row>
    <row r="1404" spans="1:65" x14ac:dyDescent="0.2">
      <c r="A1404" t="s">
        <v>4981</v>
      </c>
      <c r="B1404" t="s">
        <v>577</v>
      </c>
      <c r="C1404" t="s">
        <v>5298</v>
      </c>
      <c r="D1404" t="s">
        <v>5299</v>
      </c>
      <c r="E1404" t="s">
        <v>5300</v>
      </c>
      <c r="F1404" t="s">
        <v>118</v>
      </c>
      <c r="G1404" t="str">
        <f>HYPERLINK("https://vk.com/wall-39623415_2512593?reply=2512651")</f>
        <v>https://vk.com/wall-39623415_2512593?reply=2512651</v>
      </c>
      <c r="H1404" t="s">
        <v>119</v>
      </c>
      <c r="I1404" t="s">
        <v>5301</v>
      </c>
      <c r="J1404" t="str">
        <f>HYPERLINK("http://vk.com/id60817399")</f>
        <v>http://vk.com/id60817399</v>
      </c>
      <c r="K1404">
        <v>222</v>
      </c>
      <c r="L1404" t="s">
        <v>121</v>
      </c>
      <c r="M1404">
        <v>43</v>
      </c>
      <c r="N1404" t="s">
        <v>122</v>
      </c>
      <c r="O1404" t="s">
        <v>5302</v>
      </c>
      <c r="P1404" t="str">
        <f>HYPERLINK("http://vk.com/club39623415")</f>
        <v>http://vk.com/club39623415</v>
      </c>
      <c r="Q1404">
        <v>58479</v>
      </c>
      <c r="R1404" t="s">
        <v>124</v>
      </c>
      <c r="S1404" t="s">
        <v>125</v>
      </c>
      <c r="T1404" t="s">
        <v>487</v>
      </c>
      <c r="U1404" t="s">
        <v>488</v>
      </c>
      <c r="AM1404" t="s">
        <v>129</v>
      </c>
      <c r="AN1404" t="s">
        <v>130</v>
      </c>
      <c r="AP1404" t="s">
        <v>41</v>
      </c>
      <c r="AU1404" t="s">
        <v>46</v>
      </c>
      <c r="AZ1404" t="s">
        <v>51</v>
      </c>
      <c r="BB1404" t="s">
        <v>53</v>
      </c>
      <c r="BL1404" t="s">
        <v>63</v>
      </c>
    </row>
    <row r="1405" spans="1:65" x14ac:dyDescent="0.2">
      <c r="A1405" t="s">
        <v>4981</v>
      </c>
      <c r="B1405" t="s">
        <v>1690</v>
      </c>
      <c r="C1405" t="s">
        <v>5303</v>
      </c>
      <c r="D1405" t="s">
        <v>4609</v>
      </c>
      <c r="E1405" t="s">
        <v>5304</v>
      </c>
      <c r="F1405" t="s">
        <v>118</v>
      </c>
      <c r="G1405" t="str">
        <f>HYPERLINK("https://pikabu.ru/story/trikolor_tv_reklamnyiy_baner_kotoryiy_besitmalenkiy_layfkhak_8353681?cid=206746669")</f>
        <v>https://pikabu.ru/story/trikolor_tv_reklamnyiy_baner_kotoryiy_besitmalenkiy_layfkhak_8353681?cid=206746669</v>
      </c>
      <c r="H1405" t="s">
        <v>119</v>
      </c>
      <c r="I1405" t="s">
        <v>5305</v>
      </c>
      <c r="J1405" t="str">
        <f>HYPERLINK("http://pikabu.ru/profile/PotAlOK")</f>
        <v>http://pikabu.ru/profile/PotAlOK</v>
      </c>
      <c r="N1405" t="s">
        <v>402</v>
      </c>
      <c r="O1405" t="s">
        <v>4612</v>
      </c>
      <c r="P1405" t="str">
        <f>HYPERLINK("http://pikabu.ru/profile/Soonk80")</f>
        <v>http://pikabu.ru/profile/Soonk80</v>
      </c>
      <c r="R1405" t="s">
        <v>404</v>
      </c>
      <c r="AM1405" t="s">
        <v>129</v>
      </c>
      <c r="AN1405" t="s">
        <v>130</v>
      </c>
      <c r="AP1405" t="s">
        <v>41</v>
      </c>
      <c r="AZ1405" t="s">
        <v>51</v>
      </c>
      <c r="BA1405" t="s">
        <v>52</v>
      </c>
      <c r="BL1405" t="s">
        <v>63</v>
      </c>
    </row>
    <row r="1406" spans="1:65" x14ac:dyDescent="0.2">
      <c r="A1406" t="s">
        <v>4981</v>
      </c>
      <c r="B1406" t="s">
        <v>2145</v>
      </c>
      <c r="C1406" t="s">
        <v>5306</v>
      </c>
      <c r="D1406" t="s">
        <v>5307</v>
      </c>
      <c r="E1406" t="s">
        <v>5308</v>
      </c>
      <c r="F1406" t="s">
        <v>118</v>
      </c>
      <c r="G1406" t="str">
        <f>HYPERLINK("https://www.wildberries.ru/catalog/33233294/detail.aspx?targetUrl=ES#Comments")</f>
        <v>https://www.wildberries.ru/catalog/33233294/detail.aspx?targetUrl=ES#Comments</v>
      </c>
      <c r="H1406" t="s">
        <v>119</v>
      </c>
      <c r="I1406" t="s">
        <v>3023</v>
      </c>
      <c r="J1406" t="str">
        <f>HYPERLINK("https://www.wildberries.ru/brands/trikolor")</f>
        <v>https://www.wildberries.ru/brands/trikolor</v>
      </c>
      <c r="L1406" t="s">
        <v>340</v>
      </c>
      <c r="N1406" t="s">
        <v>534</v>
      </c>
      <c r="O1406" t="s">
        <v>5307</v>
      </c>
      <c r="P1406" t="str">
        <f>HYPERLINK("https://www.wildberries.ru/catalog/24975375/detail.aspx")</f>
        <v>https://www.wildberries.ru/catalog/24975375/detail.aspx</v>
      </c>
      <c r="R1406" t="s">
        <v>184</v>
      </c>
      <c r="S1406" t="s">
        <v>125</v>
      </c>
      <c r="AM1406" t="s">
        <v>129</v>
      </c>
      <c r="AN1406" t="s">
        <v>130</v>
      </c>
      <c r="BI1406" t="s">
        <v>60</v>
      </c>
    </row>
    <row r="1407" spans="1:65" x14ac:dyDescent="0.2">
      <c r="A1407" t="s">
        <v>4981</v>
      </c>
      <c r="B1407" t="s">
        <v>1696</v>
      </c>
      <c r="C1407" t="s">
        <v>5309</v>
      </c>
      <c r="D1407" t="s">
        <v>175</v>
      </c>
      <c r="E1407" t="s">
        <v>5310</v>
      </c>
      <c r="F1407" t="s">
        <v>180</v>
      </c>
      <c r="G1407" t="str">
        <f>HYPERLINK("https://yandex.ru/maps/org/90480136278#PGECmiyqqNH5Ji0Qo0ZW3YwxZ3Czy744")</f>
        <v>https://yandex.ru/maps/org/90480136278#PGECmiyqqNH5Ji0Qo0ZW3YwxZ3Czy744</v>
      </c>
      <c r="H1407" t="s">
        <v>181</v>
      </c>
      <c r="I1407" t="s">
        <v>5311</v>
      </c>
      <c r="J1407" t="str">
        <f>HYPERLINK("https://yandex.ru/user/xj176znk6h3zku0k9uge4yqw2w")</f>
        <v>https://yandex.ru/user/xj176znk6h3zku0k9uge4yqw2w</v>
      </c>
      <c r="L1407" t="s">
        <v>121</v>
      </c>
      <c r="N1407" t="s">
        <v>236</v>
      </c>
      <c r="O1407" t="s">
        <v>175</v>
      </c>
      <c r="P1407" t="str">
        <f>HYPERLINK("https://yandex.ru/maps/org/90480136278")</f>
        <v>https://yandex.ru/maps/org/90480136278</v>
      </c>
      <c r="R1407" t="s">
        <v>184</v>
      </c>
      <c r="S1407" t="s">
        <v>125</v>
      </c>
      <c r="T1407" t="s">
        <v>153</v>
      </c>
      <c r="U1407" t="s">
        <v>5312</v>
      </c>
      <c r="W1407">
        <v>0</v>
      </c>
      <c r="X1407">
        <v>0</v>
      </c>
      <c r="AH1407">
        <v>5</v>
      </c>
      <c r="AM1407" t="s">
        <v>129</v>
      </c>
      <c r="AN1407" t="s">
        <v>130</v>
      </c>
      <c r="AP1407" t="s">
        <v>41</v>
      </c>
      <c r="AX1407" t="s">
        <v>49</v>
      </c>
      <c r="AZ1407" t="s">
        <v>51</v>
      </c>
      <c r="BA1407" t="s">
        <v>52</v>
      </c>
    </row>
    <row r="1408" spans="1:65" x14ac:dyDescent="0.2">
      <c r="A1408" t="s">
        <v>4981</v>
      </c>
      <c r="B1408" t="s">
        <v>2154</v>
      </c>
      <c r="C1408" t="s">
        <v>5313</v>
      </c>
      <c r="D1408" t="s">
        <v>4505</v>
      </c>
      <c r="E1408" t="s">
        <v>5314</v>
      </c>
      <c r="F1408" t="s">
        <v>118</v>
      </c>
      <c r="G1408" t="str">
        <f>HYPERLINK("https://vk.com/wall-22935147_368528?reply=368554")</f>
        <v>https://vk.com/wall-22935147_368528?reply=368554</v>
      </c>
      <c r="H1408" t="s">
        <v>119</v>
      </c>
      <c r="I1408" t="s">
        <v>5315</v>
      </c>
      <c r="J1408" t="str">
        <f>HYPERLINK("http://vk.com/id220293527")</f>
        <v>http://vk.com/id220293527</v>
      </c>
      <c r="K1408">
        <v>61</v>
      </c>
      <c r="L1408" t="s">
        <v>121</v>
      </c>
      <c r="M1408">
        <v>40</v>
      </c>
      <c r="N1408" t="s">
        <v>122</v>
      </c>
      <c r="O1408" t="s">
        <v>1093</v>
      </c>
      <c r="P1408" t="str">
        <f>HYPERLINK("http://vk.com/club22935147")</f>
        <v>http://vk.com/club22935147</v>
      </c>
      <c r="Q1408">
        <v>8943</v>
      </c>
      <c r="R1408" t="s">
        <v>124</v>
      </c>
      <c r="S1408" t="s">
        <v>125</v>
      </c>
      <c r="T1408" t="s">
        <v>487</v>
      </c>
      <c r="U1408" t="s">
        <v>488</v>
      </c>
      <c r="AM1408" t="s">
        <v>129</v>
      </c>
      <c r="AN1408" t="s">
        <v>130</v>
      </c>
      <c r="AP1408" t="s">
        <v>41</v>
      </c>
      <c r="AY1408" t="s">
        <v>50</v>
      </c>
      <c r="AZ1408" t="s">
        <v>51</v>
      </c>
      <c r="BA1408" t="s">
        <v>52</v>
      </c>
      <c r="BM1408" t="s">
        <v>64</v>
      </c>
    </row>
    <row r="1409" spans="1:64" x14ac:dyDescent="0.2">
      <c r="A1409" t="s">
        <v>4981</v>
      </c>
      <c r="B1409" t="s">
        <v>3213</v>
      </c>
      <c r="C1409" t="s">
        <v>5103</v>
      </c>
      <c r="D1409" t="s">
        <v>5316</v>
      </c>
      <c r="E1409" t="s">
        <v>5317</v>
      </c>
      <c r="F1409" t="s">
        <v>180</v>
      </c>
      <c r="G1409" t="str">
        <f>HYPERLINK("https://www.ozon.ru/context/detail/id/168022927/#60934981")</f>
        <v>https://www.ozon.ru/context/detail/id/168022927/#60934981</v>
      </c>
      <c r="H1409" t="s">
        <v>181</v>
      </c>
      <c r="I1409" t="s">
        <v>5318</v>
      </c>
      <c r="J1409" t="str">
        <f>HYPERLINK("https://www.ozon.ru/context/client_opinion/ClientGuid/aca6712e-5e8a-47be-931c-52663e886318/")</f>
        <v>https://www.ozon.ru/context/client_opinion/ClientGuid/aca6712e-5e8a-47be-931c-52663e886318/</v>
      </c>
      <c r="L1409" t="s">
        <v>121</v>
      </c>
      <c r="N1409" t="s">
        <v>183</v>
      </c>
      <c r="O1409" t="s">
        <v>5316</v>
      </c>
      <c r="P1409" t="str">
        <f>HYPERLINK("https://www.ozon.ru/context/detail/id/168022927/")</f>
        <v>https://www.ozon.ru/context/detail/id/168022927/</v>
      </c>
      <c r="R1409" t="s">
        <v>184</v>
      </c>
      <c r="S1409" t="s">
        <v>125</v>
      </c>
      <c r="W1409">
        <v>0</v>
      </c>
      <c r="X1409">
        <v>0</v>
      </c>
      <c r="AH1409">
        <v>5</v>
      </c>
      <c r="AM1409" t="s">
        <v>129</v>
      </c>
      <c r="AN1409" t="s">
        <v>130</v>
      </c>
      <c r="AP1409" t="s">
        <v>41</v>
      </c>
      <c r="AT1409" t="s">
        <v>45</v>
      </c>
      <c r="AZ1409" t="s">
        <v>51</v>
      </c>
      <c r="BA1409" t="s">
        <v>52</v>
      </c>
      <c r="BL1409" t="s">
        <v>63</v>
      </c>
    </row>
    <row r="1410" spans="1:64" x14ac:dyDescent="0.2">
      <c r="A1410" t="s">
        <v>4981</v>
      </c>
      <c r="B1410" t="s">
        <v>2162</v>
      </c>
      <c r="C1410" t="s">
        <v>5319</v>
      </c>
      <c r="D1410" t="s">
        <v>531</v>
      </c>
      <c r="E1410" t="s">
        <v>5320</v>
      </c>
      <c r="F1410" t="s">
        <v>180</v>
      </c>
      <c r="G1410" t="str">
        <f>HYPERLINK("https://www.wildberries.ru/catalog/13884511/detail.aspx?targetUrl=ES#Comments")</f>
        <v>https://www.wildberries.ru/catalog/13884511/detail.aspx?targetUrl=ES#Comments</v>
      </c>
      <c r="H1410" t="s">
        <v>181</v>
      </c>
      <c r="I1410" t="s">
        <v>3465</v>
      </c>
      <c r="J1410" t="str">
        <f>HYPERLINK("https://www.wildberries.ru/profile/w7TDssOkw7PCu8KzwrTCuMK1wrHCtcK0wrI=")</f>
        <v>https://www.wildberries.ru/profile/w7TDssOkw7PCu8KzwrTCuMK1wrHCtcK0wrI=</v>
      </c>
      <c r="L1410" t="s">
        <v>121</v>
      </c>
      <c r="N1410" t="s">
        <v>534</v>
      </c>
      <c r="O1410" t="s">
        <v>531</v>
      </c>
      <c r="P1410" t="str">
        <f>HYPERLINK("https://www.wildberries.ru/catalog/10388939/detail.aspx")</f>
        <v>https://www.wildberries.ru/catalog/10388939/detail.aspx</v>
      </c>
      <c r="R1410" t="s">
        <v>184</v>
      </c>
      <c r="S1410" t="s">
        <v>125</v>
      </c>
      <c r="W1410">
        <v>0</v>
      </c>
      <c r="X1410">
        <v>0</v>
      </c>
      <c r="AH1410">
        <v>5</v>
      </c>
      <c r="AJ1410" t="s">
        <v>129</v>
      </c>
      <c r="AK1410" t="s">
        <v>129</v>
      </c>
      <c r="AL1410" t="str">
        <f>HYPERLINK("http://feedbackphotos.wbstatic.net/feedbacks/1038/10388939/669853b1-7d30-4a35-b2d5-5207769c6db6_fs.jpg")</f>
        <v>http://feedbackphotos.wbstatic.net/feedbacks/1038/10388939/669853b1-7d30-4a35-b2d5-5207769c6db6_fs.jpg</v>
      </c>
      <c r="AM1410" t="s">
        <v>129</v>
      </c>
      <c r="AN1410" t="s">
        <v>130</v>
      </c>
      <c r="AP1410" t="s">
        <v>41</v>
      </c>
      <c r="AZ1410" t="s">
        <v>51</v>
      </c>
      <c r="BA1410" t="s">
        <v>52</v>
      </c>
      <c r="BK1410" t="s">
        <v>62</v>
      </c>
    </row>
    <row r="1411" spans="1:64" x14ac:dyDescent="0.2">
      <c r="A1411" t="s">
        <v>4981</v>
      </c>
      <c r="B1411" t="s">
        <v>617</v>
      </c>
      <c r="C1411" t="s">
        <v>5321</v>
      </c>
      <c r="D1411" t="s">
        <v>3675</v>
      </c>
      <c r="E1411" t="s">
        <v>5322</v>
      </c>
      <c r="F1411" t="s">
        <v>180</v>
      </c>
      <c r="G1411" t="str">
        <f>HYPERLINK("https://www.ozon.ru/context/detail/id/228358462/#60932004")</f>
        <v>https://www.ozon.ru/context/detail/id/228358462/#60932004</v>
      </c>
      <c r="H1411" t="s">
        <v>181</v>
      </c>
      <c r="I1411" t="s">
        <v>1783</v>
      </c>
      <c r="J1411" t="str">
        <f>HYPERLINK("https://www.ozon.ru/context/client_opinion/ClientGuid/d12b2fa5-06cc-4c2e-9f7e-0ff71fa8bf0f/")</f>
        <v>https://www.ozon.ru/context/client_opinion/ClientGuid/d12b2fa5-06cc-4c2e-9f7e-0ff71fa8bf0f/</v>
      </c>
      <c r="L1411" t="s">
        <v>121</v>
      </c>
      <c r="N1411" t="s">
        <v>183</v>
      </c>
      <c r="O1411" t="s">
        <v>3675</v>
      </c>
      <c r="P1411" t="str">
        <f>HYPERLINK("https://www.ozon.ru/context/detail/id/228358462/")</f>
        <v>https://www.ozon.ru/context/detail/id/228358462/</v>
      </c>
      <c r="R1411" t="s">
        <v>184</v>
      </c>
      <c r="S1411" t="s">
        <v>125</v>
      </c>
      <c r="W1411">
        <v>0</v>
      </c>
      <c r="X1411">
        <v>0</v>
      </c>
      <c r="AH1411">
        <v>5</v>
      </c>
      <c r="AM1411" t="s">
        <v>129</v>
      </c>
      <c r="AN1411" t="s">
        <v>130</v>
      </c>
      <c r="AP1411" t="s">
        <v>41</v>
      </c>
      <c r="AT1411" t="s">
        <v>45</v>
      </c>
      <c r="AZ1411" t="s">
        <v>51</v>
      </c>
      <c r="BA1411" t="s">
        <v>52</v>
      </c>
      <c r="BL1411" t="s">
        <v>63</v>
      </c>
    </row>
    <row r="1412" spans="1:64" x14ac:dyDescent="0.2">
      <c r="A1412" t="s">
        <v>4981</v>
      </c>
      <c r="B1412" t="s">
        <v>617</v>
      </c>
      <c r="C1412" t="s">
        <v>5323</v>
      </c>
      <c r="D1412" t="s">
        <v>4505</v>
      </c>
      <c r="E1412" t="s">
        <v>5324</v>
      </c>
      <c r="F1412" t="s">
        <v>118</v>
      </c>
      <c r="G1412" t="str">
        <f>HYPERLINK("https://vk.com/wall-22935147_368528?reply=368553&amp;thread=368537")</f>
        <v>https://vk.com/wall-22935147_368528?reply=368553&amp;thread=368537</v>
      </c>
      <c r="H1412" t="s">
        <v>119</v>
      </c>
      <c r="I1412" t="s">
        <v>5325</v>
      </c>
      <c r="J1412" t="str">
        <f>HYPERLINK("http://vk.com/id657910898")</f>
        <v>http://vk.com/id657910898</v>
      </c>
      <c r="L1412" t="s">
        <v>121</v>
      </c>
      <c r="M1412">
        <v>46</v>
      </c>
      <c r="N1412" t="s">
        <v>122</v>
      </c>
      <c r="O1412" t="s">
        <v>1093</v>
      </c>
      <c r="P1412" t="str">
        <f>HYPERLINK("http://vk.com/club22935147")</f>
        <v>http://vk.com/club22935147</v>
      </c>
      <c r="Q1412">
        <v>8943</v>
      </c>
      <c r="R1412" t="s">
        <v>124</v>
      </c>
      <c r="S1412" t="s">
        <v>125</v>
      </c>
      <c r="T1412" t="s">
        <v>169</v>
      </c>
      <c r="U1412" t="s">
        <v>169</v>
      </c>
      <c r="AM1412" t="s">
        <v>129</v>
      </c>
      <c r="AN1412" t="s">
        <v>130</v>
      </c>
      <c r="AP1412" t="s">
        <v>41</v>
      </c>
      <c r="AU1412" t="s">
        <v>46</v>
      </c>
      <c r="AZ1412" t="s">
        <v>51</v>
      </c>
      <c r="BA1412" t="s">
        <v>52</v>
      </c>
    </row>
    <row r="1413" spans="1:64" x14ac:dyDescent="0.2">
      <c r="A1413" t="s">
        <v>4981</v>
      </c>
      <c r="B1413" t="s">
        <v>1733</v>
      </c>
      <c r="C1413" t="s">
        <v>5326</v>
      </c>
      <c r="D1413" t="s">
        <v>4505</v>
      </c>
      <c r="E1413" t="s">
        <v>5327</v>
      </c>
      <c r="F1413" t="s">
        <v>118</v>
      </c>
      <c r="G1413" t="str">
        <f>HYPERLINK("https://vk.com/wall-22935147_368528?w=wall-22935147_368528_r368551")</f>
        <v>https://vk.com/wall-22935147_368528?w=wall-22935147_368528_r368551</v>
      </c>
      <c r="H1413" t="s">
        <v>228</v>
      </c>
      <c r="I1413" t="s">
        <v>5090</v>
      </c>
      <c r="J1413" t="str">
        <f>HYPERLINK("http://vk.com/id312564300")</f>
        <v>http://vk.com/id312564300</v>
      </c>
      <c r="K1413">
        <v>79</v>
      </c>
      <c r="L1413" t="s">
        <v>121</v>
      </c>
      <c r="N1413" t="s">
        <v>122</v>
      </c>
      <c r="O1413" t="s">
        <v>1093</v>
      </c>
      <c r="P1413" t="str">
        <f>HYPERLINK("http://vk.com/club22935147")</f>
        <v>http://vk.com/club22935147</v>
      </c>
      <c r="Q1413">
        <v>8943</v>
      </c>
      <c r="R1413" t="s">
        <v>124</v>
      </c>
      <c r="S1413" t="s">
        <v>1856</v>
      </c>
      <c r="T1413" t="s">
        <v>5091</v>
      </c>
      <c r="U1413" t="s">
        <v>5091</v>
      </c>
      <c r="W1413">
        <v>0</v>
      </c>
      <c r="X1413">
        <v>0</v>
      </c>
      <c r="AM1413" t="s">
        <v>129</v>
      </c>
      <c r="AN1413" t="s">
        <v>130</v>
      </c>
      <c r="AP1413" t="s">
        <v>41</v>
      </c>
      <c r="AU1413" t="s">
        <v>46</v>
      </c>
      <c r="AZ1413" t="s">
        <v>51</v>
      </c>
      <c r="BA1413" t="s">
        <v>52</v>
      </c>
    </row>
    <row r="1414" spans="1:64" x14ac:dyDescent="0.2">
      <c r="A1414" t="s">
        <v>4981</v>
      </c>
      <c r="B1414" t="s">
        <v>1736</v>
      </c>
      <c r="C1414" t="s">
        <v>5328</v>
      </c>
      <c r="D1414" t="s">
        <v>5329</v>
      </c>
      <c r="E1414" t="s">
        <v>5330</v>
      </c>
      <c r="F1414" t="s">
        <v>118</v>
      </c>
      <c r="G1414" t="str">
        <f>HYPERLINK("https://www.youtube.com/watch?v=vJU4qtMvbJY&amp;lc=UgwFIzOZgPOmsaidxgd4AaABAg.9Q2h5HSXxTE9Q2hi3fsjCE")</f>
        <v>https://www.youtube.com/watch?v=vJU4qtMvbJY&amp;lc=UgwFIzOZgPOmsaidxgd4AaABAg.9Q2h5HSXxTE9Q2hi3fsjCE</v>
      </c>
      <c r="H1414" t="s">
        <v>119</v>
      </c>
      <c r="I1414" t="s">
        <v>1838</v>
      </c>
      <c r="J1414" t="str">
        <f>HYPERLINK("https://www.youtube.com/channel/UCEioXjRGFLTTJUnyqliPTjQ")</f>
        <v>https://www.youtube.com/channel/UCEioXjRGFLTTJUnyqliPTjQ</v>
      </c>
      <c r="K1414">
        <v>102</v>
      </c>
      <c r="N1414" t="s">
        <v>248</v>
      </c>
      <c r="O1414" t="s">
        <v>1838</v>
      </c>
      <c r="P1414" t="str">
        <f>HYPERLINK("https://www.youtube.com/channel/UCEioXjRGFLTTJUnyqliPTjQ")</f>
        <v>https://www.youtube.com/channel/UCEioXjRGFLTTJUnyqliPTjQ</v>
      </c>
      <c r="Q1414">
        <v>102</v>
      </c>
      <c r="R1414" t="s">
        <v>124</v>
      </c>
      <c r="S1414" t="s">
        <v>125</v>
      </c>
      <c r="W1414">
        <v>0</v>
      </c>
      <c r="X1414">
        <v>0</v>
      </c>
      <c r="AM1414" t="s">
        <v>129</v>
      </c>
      <c r="AN1414" t="s">
        <v>130</v>
      </c>
      <c r="AP1414" t="s">
        <v>41</v>
      </c>
      <c r="AT1414" t="s">
        <v>45</v>
      </c>
      <c r="AZ1414" t="s">
        <v>51</v>
      </c>
      <c r="BA1414" t="s">
        <v>52</v>
      </c>
    </row>
    <row r="1415" spans="1:64" x14ac:dyDescent="0.2">
      <c r="A1415" t="s">
        <v>4981</v>
      </c>
      <c r="B1415" t="s">
        <v>2746</v>
      </c>
      <c r="C1415" t="s">
        <v>5328</v>
      </c>
      <c r="D1415" t="s">
        <v>5329</v>
      </c>
      <c r="E1415" t="s">
        <v>5331</v>
      </c>
      <c r="F1415" t="s">
        <v>118</v>
      </c>
      <c r="G1415" t="str">
        <f>HYPERLINK("https://www.youtube.com/watch?v=vJU4qtMvbJY&amp;lc=UgwFIzOZgPOmsaidxgd4AaABAg")</f>
        <v>https://www.youtube.com/watch?v=vJU4qtMvbJY&amp;lc=UgwFIzOZgPOmsaidxgd4AaABAg</v>
      </c>
      <c r="H1415" t="s">
        <v>119</v>
      </c>
      <c r="I1415" t="s">
        <v>5332</v>
      </c>
      <c r="J1415" t="str">
        <f>HYPERLINK("https://www.youtube.com/channel/UCqO4DTIvgFZezfeO8fqAKBA")</f>
        <v>https://www.youtube.com/channel/UCqO4DTIvgFZezfeO8fqAKBA</v>
      </c>
      <c r="K1415">
        <v>0</v>
      </c>
      <c r="L1415" t="s">
        <v>121</v>
      </c>
      <c r="N1415" t="s">
        <v>248</v>
      </c>
      <c r="O1415" t="s">
        <v>1838</v>
      </c>
      <c r="P1415" t="str">
        <f>HYPERLINK("https://www.youtube.com/channel/UCEioXjRGFLTTJUnyqliPTjQ")</f>
        <v>https://www.youtube.com/channel/UCEioXjRGFLTTJUnyqliPTjQ</v>
      </c>
      <c r="Q1415">
        <v>102</v>
      </c>
      <c r="R1415" t="s">
        <v>124</v>
      </c>
      <c r="S1415" t="s">
        <v>125</v>
      </c>
      <c r="W1415">
        <v>0</v>
      </c>
      <c r="X1415">
        <v>0</v>
      </c>
      <c r="AE1415">
        <v>1</v>
      </c>
      <c r="AM1415" t="s">
        <v>129</v>
      </c>
      <c r="AN1415" t="s">
        <v>130</v>
      </c>
      <c r="AP1415" t="s">
        <v>41</v>
      </c>
      <c r="AT1415" t="s">
        <v>45</v>
      </c>
      <c r="AZ1415" t="s">
        <v>51</v>
      </c>
      <c r="BA1415" t="s">
        <v>52</v>
      </c>
    </row>
    <row r="1416" spans="1:64" x14ac:dyDescent="0.2">
      <c r="A1416" t="s">
        <v>4981</v>
      </c>
      <c r="B1416" t="s">
        <v>5333</v>
      </c>
      <c r="C1416" t="s">
        <v>5334</v>
      </c>
      <c r="D1416" t="s">
        <v>5335</v>
      </c>
      <c r="E1416" t="s">
        <v>5336</v>
      </c>
      <c r="F1416" t="s">
        <v>180</v>
      </c>
      <c r="G1416" t="str">
        <f>HYPERLINK("https://www.ozon.ru/context/detail/id/273955759/#60921335")</f>
        <v>https://www.ozon.ru/context/detail/id/273955759/#60921335</v>
      </c>
      <c r="H1416" t="s">
        <v>181</v>
      </c>
      <c r="I1416" t="s">
        <v>512</v>
      </c>
      <c r="J1416" t="str">
        <f>HYPERLINK("https://www.ozon.ru/context/client_opinion/ClientGuid//")</f>
        <v>https://www.ozon.ru/context/client_opinion/ClientGuid//</v>
      </c>
      <c r="N1416" t="s">
        <v>183</v>
      </c>
      <c r="O1416" t="s">
        <v>5335</v>
      </c>
      <c r="P1416" t="str">
        <f>HYPERLINK("https://www.ozon.ru/context/detail/id/273955759/")</f>
        <v>https://www.ozon.ru/context/detail/id/273955759/</v>
      </c>
      <c r="R1416" t="s">
        <v>184</v>
      </c>
      <c r="S1416" t="s">
        <v>125</v>
      </c>
      <c r="W1416">
        <v>0</v>
      </c>
      <c r="X1416">
        <v>0</v>
      </c>
      <c r="AH1416">
        <v>5</v>
      </c>
      <c r="AM1416" t="s">
        <v>129</v>
      </c>
      <c r="AN1416" t="s">
        <v>130</v>
      </c>
      <c r="AP1416" t="s">
        <v>41</v>
      </c>
      <c r="AT1416" t="s">
        <v>45</v>
      </c>
      <c r="AZ1416" t="s">
        <v>51</v>
      </c>
      <c r="BA1416" t="s">
        <v>52</v>
      </c>
      <c r="BL1416" t="s">
        <v>63</v>
      </c>
    </row>
    <row r="1417" spans="1:64" x14ac:dyDescent="0.2">
      <c r="A1417" t="s">
        <v>4981</v>
      </c>
      <c r="B1417" t="s">
        <v>2762</v>
      </c>
      <c r="C1417" t="s">
        <v>5337</v>
      </c>
      <c r="D1417" t="s">
        <v>5338</v>
      </c>
      <c r="E1417" t="s">
        <v>5339</v>
      </c>
      <c r="F1417" t="s">
        <v>118</v>
      </c>
      <c r="G1417" t="str">
        <f>HYPERLINK("https://vk.com/wall-61101621_254723?w=wall-61101621_254723_r254733")</f>
        <v>https://vk.com/wall-61101621_254723?w=wall-61101621_254723_r254733</v>
      </c>
      <c r="H1417" t="s">
        <v>119</v>
      </c>
      <c r="I1417" t="s">
        <v>359</v>
      </c>
      <c r="J1417" t="str">
        <f>HYPERLINK("http://vk.com/club204351896")</f>
        <v>http://vk.com/club204351896</v>
      </c>
      <c r="K1417">
        <v>272</v>
      </c>
      <c r="L1417" t="s">
        <v>340</v>
      </c>
      <c r="N1417" t="s">
        <v>122</v>
      </c>
      <c r="O1417" t="s">
        <v>160</v>
      </c>
      <c r="P1417" t="str">
        <f>HYPERLINK("http://vk.com/club61101621")</f>
        <v>http://vk.com/club61101621</v>
      </c>
      <c r="Q1417">
        <v>21119</v>
      </c>
      <c r="R1417" t="s">
        <v>124</v>
      </c>
      <c r="S1417" t="s">
        <v>125</v>
      </c>
      <c r="W1417">
        <v>0</v>
      </c>
      <c r="X1417">
        <v>0</v>
      </c>
      <c r="AM1417" t="s">
        <v>129</v>
      </c>
      <c r="AN1417" t="s">
        <v>130</v>
      </c>
      <c r="AP1417" t="s">
        <v>41</v>
      </c>
      <c r="AU1417" t="s">
        <v>46</v>
      </c>
      <c r="AW1417" t="s">
        <v>48</v>
      </c>
      <c r="AZ1417" t="s">
        <v>51</v>
      </c>
      <c r="BA1417" t="s">
        <v>52</v>
      </c>
    </row>
    <row r="1418" spans="1:64" x14ac:dyDescent="0.2">
      <c r="A1418" t="s">
        <v>4981</v>
      </c>
      <c r="B1418" t="s">
        <v>2762</v>
      </c>
      <c r="C1418" t="s">
        <v>5340</v>
      </c>
      <c r="D1418" t="s">
        <v>531</v>
      </c>
      <c r="E1418" t="s">
        <v>5341</v>
      </c>
      <c r="F1418" t="s">
        <v>180</v>
      </c>
      <c r="G1418" t="str">
        <f>HYPERLINK("https://www.wildberries.ru/catalog/13884511/detail.aspx?targetUrl=ES#Comments")</f>
        <v>https://www.wildberries.ru/catalog/13884511/detail.aspx?targetUrl=ES#Comments</v>
      </c>
      <c r="H1418" t="s">
        <v>181</v>
      </c>
      <c r="I1418" t="s">
        <v>5342</v>
      </c>
      <c r="J1418" t="str">
        <f>HYPERLINK("https://www.wildberries.ru/profile/w7TDssOkw7PCu8KwwrDCsMK0wrfCuMK3wrM=")</f>
        <v>https://www.wildberries.ru/profile/w7TDssOkw7PCu8KwwrDCsMK0wrfCuMK3wrM=</v>
      </c>
      <c r="L1418" t="s">
        <v>151</v>
      </c>
      <c r="N1418" t="s">
        <v>534</v>
      </c>
      <c r="O1418" t="s">
        <v>531</v>
      </c>
      <c r="P1418" t="str">
        <f>HYPERLINK("https://www.wildberries.ru/catalog/10388939/detail.aspx")</f>
        <v>https://www.wildberries.ru/catalog/10388939/detail.aspx</v>
      </c>
      <c r="R1418" t="s">
        <v>184</v>
      </c>
      <c r="S1418" t="s">
        <v>125</v>
      </c>
      <c r="W1418">
        <v>0</v>
      </c>
      <c r="X1418">
        <v>0</v>
      </c>
      <c r="AH1418">
        <v>5</v>
      </c>
      <c r="AM1418" t="s">
        <v>129</v>
      </c>
      <c r="AN1418" t="s">
        <v>130</v>
      </c>
      <c r="AP1418" t="s">
        <v>41</v>
      </c>
      <c r="AZ1418" t="s">
        <v>51</v>
      </c>
      <c r="BA1418" t="s">
        <v>52</v>
      </c>
      <c r="BK1418" t="s">
        <v>62</v>
      </c>
    </row>
    <row r="1419" spans="1:64" x14ac:dyDescent="0.2">
      <c r="A1419" t="s">
        <v>4981</v>
      </c>
      <c r="B1419" t="s">
        <v>2770</v>
      </c>
      <c r="C1419" t="s">
        <v>5337</v>
      </c>
      <c r="D1419" t="s">
        <v>4505</v>
      </c>
      <c r="E1419" t="s">
        <v>5343</v>
      </c>
      <c r="F1419" t="s">
        <v>118</v>
      </c>
      <c r="G1419" t="str">
        <f>HYPERLINK("https://vk.com/wall-22935147_368528?w=wall-22935147_368528_r368550")</f>
        <v>https://vk.com/wall-22935147_368528?w=wall-22935147_368528_r368550</v>
      </c>
      <c r="H1419" t="s">
        <v>119</v>
      </c>
      <c r="I1419" t="s">
        <v>359</v>
      </c>
      <c r="J1419" t="str">
        <f>HYPERLINK("http://vk.com/club204351896")</f>
        <v>http://vk.com/club204351896</v>
      </c>
      <c r="K1419">
        <v>272</v>
      </c>
      <c r="L1419" t="s">
        <v>340</v>
      </c>
      <c r="N1419" t="s">
        <v>122</v>
      </c>
      <c r="O1419" t="s">
        <v>1093</v>
      </c>
      <c r="P1419" t="str">
        <f>HYPERLINK("http://vk.com/club22935147")</f>
        <v>http://vk.com/club22935147</v>
      </c>
      <c r="Q1419">
        <v>8943</v>
      </c>
      <c r="R1419" t="s">
        <v>124</v>
      </c>
      <c r="S1419" t="s">
        <v>125</v>
      </c>
      <c r="W1419">
        <v>0</v>
      </c>
      <c r="X1419">
        <v>0</v>
      </c>
      <c r="AM1419" t="s">
        <v>129</v>
      </c>
      <c r="AN1419" t="s">
        <v>130</v>
      </c>
      <c r="AP1419" t="s">
        <v>41</v>
      </c>
      <c r="AU1419" t="s">
        <v>46</v>
      </c>
      <c r="AY1419" t="s">
        <v>50</v>
      </c>
      <c r="AZ1419" t="s">
        <v>51</v>
      </c>
      <c r="BA1419" t="s">
        <v>52</v>
      </c>
    </row>
    <row r="1420" spans="1:64" x14ac:dyDescent="0.2">
      <c r="A1420" t="s">
        <v>4981</v>
      </c>
      <c r="B1420" t="s">
        <v>5344</v>
      </c>
      <c r="C1420" t="s">
        <v>5345</v>
      </c>
      <c r="D1420" t="s">
        <v>5346</v>
      </c>
      <c r="E1420" t="s">
        <v>5347</v>
      </c>
      <c r="F1420" t="s">
        <v>180</v>
      </c>
      <c r="G1420" t="str">
        <f>HYPERLINK("https://www.ozon.ru/context/detail/id/192057229/#60906262")</f>
        <v>https://www.ozon.ru/context/detail/id/192057229/#60906262</v>
      </c>
      <c r="H1420" t="s">
        <v>181</v>
      </c>
      <c r="I1420" t="s">
        <v>5348</v>
      </c>
      <c r="J1420" t="str">
        <f>HYPERLINK("https://www.ozon.ru/context/client_opinion/ClientGuid/b9c40e6a-015e-422f-883c-cb06f32170ba/")</f>
        <v>https://www.ozon.ru/context/client_opinion/ClientGuid/b9c40e6a-015e-422f-883c-cb06f32170ba/</v>
      </c>
      <c r="N1420" t="s">
        <v>183</v>
      </c>
      <c r="O1420" t="s">
        <v>5346</v>
      </c>
      <c r="P1420" t="str">
        <f>HYPERLINK("https://www.ozon.ru/context/detail/id/192057229/")</f>
        <v>https://www.ozon.ru/context/detail/id/192057229/</v>
      </c>
      <c r="R1420" t="s">
        <v>184</v>
      </c>
      <c r="S1420" t="s">
        <v>125</v>
      </c>
      <c r="W1420">
        <v>0</v>
      </c>
      <c r="X1420">
        <v>0</v>
      </c>
      <c r="AH1420">
        <v>5</v>
      </c>
      <c r="AM1420" t="s">
        <v>129</v>
      </c>
      <c r="AN1420" t="s">
        <v>130</v>
      </c>
      <c r="AP1420" t="s">
        <v>41</v>
      </c>
      <c r="AT1420" t="s">
        <v>45</v>
      </c>
      <c r="AW1420" t="s">
        <v>48</v>
      </c>
      <c r="AZ1420" t="s">
        <v>51</v>
      </c>
      <c r="BA1420" t="s">
        <v>52</v>
      </c>
    </row>
    <row r="1421" spans="1:64" x14ac:dyDescent="0.2">
      <c r="A1421" t="s">
        <v>4981</v>
      </c>
      <c r="B1421" t="s">
        <v>5349</v>
      </c>
      <c r="C1421" t="s">
        <v>5350</v>
      </c>
      <c r="D1421" t="s">
        <v>4505</v>
      </c>
      <c r="E1421" t="s">
        <v>5351</v>
      </c>
      <c r="F1421" t="s">
        <v>118</v>
      </c>
      <c r="G1421" t="str">
        <f>HYPERLINK("https://vk.com/wall-22935147_368528?reply=368549")</f>
        <v>https://vk.com/wall-22935147_368528?reply=368549</v>
      </c>
      <c r="H1421" t="s">
        <v>119</v>
      </c>
      <c r="I1421" t="s">
        <v>4987</v>
      </c>
      <c r="J1421" t="str">
        <f>HYPERLINK("http://vk.com/id2397772")</f>
        <v>http://vk.com/id2397772</v>
      </c>
      <c r="K1421">
        <v>99</v>
      </c>
      <c r="L1421" t="s">
        <v>121</v>
      </c>
      <c r="N1421" t="s">
        <v>122</v>
      </c>
      <c r="O1421" t="s">
        <v>1093</v>
      </c>
      <c r="P1421" t="str">
        <f>HYPERLINK("http://vk.com/club22935147")</f>
        <v>http://vk.com/club22935147</v>
      </c>
      <c r="Q1421">
        <v>8943</v>
      </c>
      <c r="R1421" t="s">
        <v>124</v>
      </c>
      <c r="S1421" t="s">
        <v>125</v>
      </c>
      <c r="T1421" t="s">
        <v>2225</v>
      </c>
      <c r="U1421" t="s">
        <v>2861</v>
      </c>
      <c r="W1421">
        <v>0</v>
      </c>
      <c r="X1421">
        <v>0</v>
      </c>
      <c r="AM1421" t="s">
        <v>129</v>
      </c>
      <c r="AN1421" t="s">
        <v>130</v>
      </c>
      <c r="AP1421" t="s">
        <v>41</v>
      </c>
      <c r="AU1421" t="s">
        <v>46</v>
      </c>
      <c r="AY1421" t="s">
        <v>50</v>
      </c>
      <c r="AZ1421" t="s">
        <v>51</v>
      </c>
      <c r="BA1421" t="s">
        <v>52</v>
      </c>
    </row>
    <row r="1422" spans="1:64" x14ac:dyDescent="0.2">
      <c r="A1422" t="s">
        <v>4981</v>
      </c>
      <c r="B1422" t="s">
        <v>2785</v>
      </c>
      <c r="C1422" t="s">
        <v>5350</v>
      </c>
      <c r="D1422" t="s">
        <v>226</v>
      </c>
      <c r="E1422" t="s">
        <v>5352</v>
      </c>
      <c r="F1422" t="s">
        <v>118</v>
      </c>
      <c r="G1422" t="str">
        <f>HYPERLINK("https://vk.com/wall-27863223_291992?w=wall-27863223_291992_r292014")</f>
        <v>https://vk.com/wall-27863223_291992?w=wall-27863223_291992_r292014</v>
      </c>
      <c r="H1422" t="s">
        <v>228</v>
      </c>
      <c r="I1422" t="s">
        <v>5353</v>
      </c>
      <c r="J1422" t="str">
        <f>HYPERLINK("http://vk.com/id51174353")</f>
        <v>http://vk.com/id51174353</v>
      </c>
      <c r="K1422">
        <v>76</v>
      </c>
      <c r="L1422" t="s">
        <v>121</v>
      </c>
      <c r="N1422" t="s">
        <v>122</v>
      </c>
      <c r="O1422" t="s">
        <v>175</v>
      </c>
      <c r="P1422" t="str">
        <f>HYPERLINK("http://vk.com/club27863223")</f>
        <v>http://vk.com/club27863223</v>
      </c>
      <c r="Q1422">
        <v>134698</v>
      </c>
      <c r="R1422" t="s">
        <v>124</v>
      </c>
      <c r="S1422" t="s">
        <v>125</v>
      </c>
      <c r="T1422" t="s">
        <v>1275</v>
      </c>
      <c r="U1422" t="s">
        <v>1276</v>
      </c>
      <c r="W1422">
        <v>1</v>
      </c>
      <c r="X1422">
        <v>1</v>
      </c>
      <c r="AM1422" t="s">
        <v>129</v>
      </c>
      <c r="AN1422" t="s">
        <v>130</v>
      </c>
      <c r="AP1422" t="s">
        <v>41</v>
      </c>
      <c r="AU1422" t="s">
        <v>46</v>
      </c>
      <c r="AZ1422" t="s">
        <v>51</v>
      </c>
      <c r="BA1422" t="s">
        <v>52</v>
      </c>
    </row>
    <row r="1423" spans="1:64" x14ac:dyDescent="0.2">
      <c r="A1423" t="s">
        <v>4981</v>
      </c>
      <c r="B1423" t="s">
        <v>5354</v>
      </c>
      <c r="C1423" t="s">
        <v>5355</v>
      </c>
      <c r="D1423" t="s">
        <v>5356</v>
      </c>
      <c r="E1423" t="s">
        <v>5357</v>
      </c>
      <c r="F1423" t="s">
        <v>118</v>
      </c>
      <c r="G1423" t="str">
        <f>HYPERLINK("https://users.livejournal.com/chink-/211777.html?thread=2064193#t2064193")</f>
        <v>https://users.livejournal.com/chink-/211777.html?thread=2064193#t2064193</v>
      </c>
      <c r="H1423" t="s">
        <v>119</v>
      </c>
      <c r="I1423" t="s">
        <v>5358</v>
      </c>
      <c r="J1423" t="str">
        <f>HYPERLINK("http://chink_.livejournal.com/")</f>
        <v>http://chink_.livejournal.com/</v>
      </c>
      <c r="K1423">
        <v>331</v>
      </c>
      <c r="L1423" t="s">
        <v>121</v>
      </c>
      <c r="N1423" t="s">
        <v>4340</v>
      </c>
      <c r="O1423" t="s">
        <v>5358</v>
      </c>
      <c r="P1423" t="str">
        <f>HYPERLINK("http://chink_.livejournal.com/")</f>
        <v>http://chink_.livejournal.com/</v>
      </c>
      <c r="Q1423">
        <v>331</v>
      </c>
      <c r="R1423" t="s">
        <v>404</v>
      </c>
      <c r="S1423" t="s">
        <v>125</v>
      </c>
      <c r="T1423" t="s">
        <v>169</v>
      </c>
      <c r="U1423" t="s">
        <v>169</v>
      </c>
      <c r="AM1423" t="s">
        <v>129</v>
      </c>
      <c r="AN1423" t="s">
        <v>130</v>
      </c>
      <c r="AP1423" t="s">
        <v>41</v>
      </c>
      <c r="AZ1423" t="s">
        <v>51</v>
      </c>
      <c r="BA1423" t="s">
        <v>52</v>
      </c>
    </row>
    <row r="1424" spans="1:64" x14ac:dyDescent="0.2">
      <c r="A1424" t="s">
        <v>4981</v>
      </c>
      <c r="B1424" t="s">
        <v>5359</v>
      </c>
      <c r="C1424" t="s">
        <v>5360</v>
      </c>
      <c r="D1424" t="s">
        <v>4505</v>
      </c>
      <c r="E1424" t="s">
        <v>5361</v>
      </c>
      <c r="F1424" t="s">
        <v>118</v>
      </c>
      <c r="G1424" t="str">
        <f>HYPERLINK("https://vk.com/wall-22935147_368528?w=wall-22935147_368528_r368548")</f>
        <v>https://vk.com/wall-22935147_368528?w=wall-22935147_368528_r368548</v>
      </c>
      <c r="H1424" t="s">
        <v>181</v>
      </c>
      <c r="I1424" t="s">
        <v>5325</v>
      </c>
      <c r="J1424" t="str">
        <f>HYPERLINK("http://vk.com/id657910898")</f>
        <v>http://vk.com/id657910898</v>
      </c>
      <c r="L1424" t="s">
        <v>121</v>
      </c>
      <c r="M1424">
        <v>46</v>
      </c>
      <c r="N1424" t="s">
        <v>122</v>
      </c>
      <c r="O1424" t="s">
        <v>1093</v>
      </c>
      <c r="P1424" t="str">
        <f>HYPERLINK("http://vk.com/club22935147")</f>
        <v>http://vk.com/club22935147</v>
      </c>
      <c r="Q1424">
        <v>8943</v>
      </c>
      <c r="R1424" t="s">
        <v>124</v>
      </c>
      <c r="S1424" t="s">
        <v>125</v>
      </c>
      <c r="T1424" t="s">
        <v>169</v>
      </c>
      <c r="U1424" t="s">
        <v>169</v>
      </c>
      <c r="W1424">
        <v>0</v>
      </c>
      <c r="X1424">
        <v>0</v>
      </c>
      <c r="AM1424" t="s">
        <v>129</v>
      </c>
      <c r="AN1424" t="s">
        <v>130</v>
      </c>
      <c r="AP1424" t="s">
        <v>41</v>
      </c>
      <c r="AZ1424" t="s">
        <v>51</v>
      </c>
      <c r="BA1424" t="s">
        <v>52</v>
      </c>
    </row>
    <row r="1425" spans="1:70" x14ac:dyDescent="0.2">
      <c r="A1425" t="s">
        <v>4981</v>
      </c>
      <c r="B1425" t="s">
        <v>5362</v>
      </c>
      <c r="C1425" t="s">
        <v>4985</v>
      </c>
      <c r="D1425" t="s">
        <v>175</v>
      </c>
      <c r="E1425" t="s">
        <v>5363</v>
      </c>
      <c r="F1425" t="s">
        <v>180</v>
      </c>
      <c r="G1425" t="str">
        <f>HYPERLINK("https://yandex.ru/maps/org/112894725969#Pa2bSYL6xAJ_mqusTuMxnQlIbUszsH")</f>
        <v>https://yandex.ru/maps/org/112894725969#Pa2bSYL6xAJ_mqusTuMxnQlIbUszsH</v>
      </c>
      <c r="H1425" t="s">
        <v>181</v>
      </c>
      <c r="I1425" t="s">
        <v>5364</v>
      </c>
      <c r="J1425" t="str">
        <f>HYPERLINK("https://yandex.ru/user/rtczmc2frjddupgwxchujkgdj0")</f>
        <v>https://yandex.ru/user/rtczmc2frjddupgwxchujkgdj0</v>
      </c>
      <c r="L1425" t="s">
        <v>121</v>
      </c>
      <c r="N1425" t="s">
        <v>236</v>
      </c>
      <c r="O1425" t="s">
        <v>175</v>
      </c>
      <c r="P1425" t="str">
        <f>HYPERLINK("https://yandex.ru/maps/org/112894725969")</f>
        <v>https://yandex.ru/maps/org/112894725969</v>
      </c>
      <c r="R1425" t="s">
        <v>184</v>
      </c>
      <c r="S1425" t="s">
        <v>125</v>
      </c>
      <c r="T1425" t="s">
        <v>169</v>
      </c>
      <c r="U1425" t="s">
        <v>169</v>
      </c>
      <c r="W1425">
        <v>0</v>
      </c>
      <c r="X1425">
        <v>0</v>
      </c>
      <c r="AH1425">
        <v>5</v>
      </c>
      <c r="AM1425" t="s">
        <v>129</v>
      </c>
      <c r="AN1425" t="s">
        <v>130</v>
      </c>
      <c r="AP1425" t="s">
        <v>41</v>
      </c>
      <c r="AX1425" t="s">
        <v>49</v>
      </c>
      <c r="AZ1425" t="s">
        <v>51</v>
      </c>
      <c r="BA1425" t="s">
        <v>52</v>
      </c>
    </row>
    <row r="1426" spans="1:70" x14ac:dyDescent="0.2">
      <c r="A1426" t="s">
        <v>4981</v>
      </c>
      <c r="B1426" t="s">
        <v>5365</v>
      </c>
      <c r="C1426" t="s">
        <v>5366</v>
      </c>
      <c r="D1426" t="s">
        <v>5367</v>
      </c>
      <c r="E1426" t="s">
        <v>5368</v>
      </c>
      <c r="F1426" t="s">
        <v>118</v>
      </c>
      <c r="G1426" t="str">
        <f>HYPERLINK("https://vk.com/topic-203895779_47477958?post=32")</f>
        <v>https://vk.com/topic-203895779_47477958?post=32</v>
      </c>
      <c r="H1426" t="s">
        <v>119</v>
      </c>
      <c r="I1426" t="s">
        <v>5369</v>
      </c>
      <c r="J1426" t="str">
        <f>HYPERLINK("http://vk.com/id7992026")</f>
        <v>http://vk.com/id7992026</v>
      </c>
      <c r="K1426">
        <v>340</v>
      </c>
      <c r="L1426" t="s">
        <v>151</v>
      </c>
      <c r="M1426">
        <v>42</v>
      </c>
      <c r="N1426" t="s">
        <v>122</v>
      </c>
      <c r="O1426" t="s">
        <v>5370</v>
      </c>
      <c r="P1426" t="str">
        <f>HYPERLINK("http://vk.com/club203895779")</f>
        <v>http://vk.com/club203895779</v>
      </c>
      <c r="Q1426">
        <v>24</v>
      </c>
      <c r="R1426" t="s">
        <v>124</v>
      </c>
      <c r="S1426" t="s">
        <v>125</v>
      </c>
      <c r="T1426" t="s">
        <v>137</v>
      </c>
      <c r="U1426" t="s">
        <v>137</v>
      </c>
      <c r="AM1426" t="s">
        <v>129</v>
      </c>
      <c r="AN1426" t="s">
        <v>130</v>
      </c>
      <c r="AP1426" t="s">
        <v>41</v>
      </c>
      <c r="AT1426" t="s">
        <v>45</v>
      </c>
      <c r="AW1426" t="s">
        <v>48</v>
      </c>
      <c r="AZ1426" t="s">
        <v>51</v>
      </c>
      <c r="BB1426" t="s">
        <v>53</v>
      </c>
    </row>
    <row r="1427" spans="1:70" x14ac:dyDescent="0.2">
      <c r="A1427" t="s">
        <v>4981</v>
      </c>
      <c r="B1427" t="s">
        <v>5371</v>
      </c>
      <c r="C1427" t="s">
        <v>5372</v>
      </c>
      <c r="D1427" t="s">
        <v>5373</v>
      </c>
      <c r="E1427" t="s">
        <v>5374</v>
      </c>
      <c r="F1427" t="s">
        <v>180</v>
      </c>
      <c r="G1427" t="str">
        <f>HYPERLINK("https://market.yandex.ru/product/839534007/reviews?id=134949249")</f>
        <v>https://market.yandex.ru/product/839534007/reviews?id=134949249</v>
      </c>
      <c r="H1427" t="s">
        <v>181</v>
      </c>
      <c r="I1427" t="s">
        <v>5375</v>
      </c>
      <c r="J1427" t="str">
        <f>HYPERLINK("https://market.yandex.ru/user/txa1jnf1nbjtvbcq84zzbnezhr/reviews")</f>
        <v>https://market.yandex.ru/user/txa1jnf1nbjtvbcq84zzbnezhr/reviews</v>
      </c>
      <c r="L1427" t="s">
        <v>121</v>
      </c>
      <c r="N1427" t="s">
        <v>611</v>
      </c>
      <c r="O1427" t="s">
        <v>5373</v>
      </c>
      <c r="P1427" t="str">
        <f>HYPERLINK("https://market.yandex.ru/product/839534007")</f>
        <v>https://market.yandex.ru/product/839534007</v>
      </c>
      <c r="R1427" t="s">
        <v>184</v>
      </c>
      <c r="S1427" t="s">
        <v>125</v>
      </c>
      <c r="T1427" t="s">
        <v>3158</v>
      </c>
      <c r="U1427" t="s">
        <v>5376</v>
      </c>
      <c r="W1427">
        <v>0</v>
      </c>
      <c r="X1427">
        <v>0</v>
      </c>
      <c r="AH1427">
        <v>5</v>
      </c>
      <c r="AM1427" t="s">
        <v>129</v>
      </c>
      <c r="AN1427" t="s">
        <v>130</v>
      </c>
      <c r="AP1427" t="s">
        <v>41</v>
      </c>
      <c r="AZ1427" t="s">
        <v>51</v>
      </c>
      <c r="BB1427" t="s">
        <v>53</v>
      </c>
    </row>
    <row r="1428" spans="1:70" x14ac:dyDescent="0.2">
      <c r="A1428" t="s">
        <v>4981</v>
      </c>
      <c r="B1428" t="s">
        <v>5377</v>
      </c>
      <c r="C1428" t="s">
        <v>5378</v>
      </c>
      <c r="D1428" t="s">
        <v>5379</v>
      </c>
      <c r="E1428" t="s">
        <v>5380</v>
      </c>
      <c r="F1428" t="s">
        <v>180</v>
      </c>
      <c r="G1428" t="str">
        <f>HYPERLINK("https://telesputnik.ru/forum/viewtopic.php?f=19&amp;t=37540&amp;start=1140#p2481857")</f>
        <v>https://telesputnik.ru/forum/viewtopic.php?f=19&amp;t=37540&amp;start=1140#p2481857</v>
      </c>
      <c r="H1428" t="s">
        <v>119</v>
      </c>
      <c r="I1428" t="s">
        <v>334</v>
      </c>
      <c r="J1428" t="str">
        <f>HYPERLINK("https://telesputnik.ru/forum/memberlist.php?mode=viewprofile&amp;u=330723")</f>
        <v>https://telesputnik.ru/forum/memberlist.php?mode=viewprofile&amp;u=330723</v>
      </c>
      <c r="N1428" t="s">
        <v>335</v>
      </c>
      <c r="O1428" t="s">
        <v>5381</v>
      </c>
      <c r="P1428" t="str">
        <f>HYPERLINK("https://telesputnik.ru/forum/viewforum.php?f=19")</f>
        <v>https://telesputnik.ru/forum/viewforum.php?f=19</v>
      </c>
      <c r="R1428" t="s">
        <v>295</v>
      </c>
      <c r="S1428" t="s">
        <v>125</v>
      </c>
      <c r="AM1428" t="s">
        <v>129</v>
      </c>
      <c r="AN1428" t="s">
        <v>130</v>
      </c>
      <c r="AP1428" t="s">
        <v>41</v>
      </c>
      <c r="AU1428" t="s">
        <v>46</v>
      </c>
      <c r="AZ1428" t="s">
        <v>51</v>
      </c>
      <c r="BA1428" t="s">
        <v>52</v>
      </c>
    </row>
    <row r="1429" spans="1:70" x14ac:dyDescent="0.2">
      <c r="A1429" t="s">
        <v>4981</v>
      </c>
      <c r="B1429" t="s">
        <v>5382</v>
      </c>
      <c r="C1429" t="s">
        <v>5383</v>
      </c>
      <c r="D1429" t="s">
        <v>4609</v>
      </c>
      <c r="E1429" t="s">
        <v>5384</v>
      </c>
      <c r="F1429" t="s">
        <v>118</v>
      </c>
      <c r="G1429" t="str">
        <f>HYPERLINK("https://pikabu.ru/story/trikolor_tv_reklamnyiy_baner_kotoryiy_besitmalenkiy_layfkhak_8353681?cid=206730159")</f>
        <v>https://pikabu.ru/story/trikolor_tv_reklamnyiy_baner_kotoryiy_besitmalenkiy_layfkhak_8353681?cid=206730159</v>
      </c>
      <c r="H1429" t="s">
        <v>119</v>
      </c>
      <c r="I1429" t="s">
        <v>4840</v>
      </c>
      <c r="J1429" t="str">
        <f>HYPERLINK("http://pikabu.ru/profile/5yoda5")</f>
        <v>http://pikabu.ru/profile/5yoda5</v>
      </c>
      <c r="N1429" t="s">
        <v>402</v>
      </c>
      <c r="O1429" t="s">
        <v>4612</v>
      </c>
      <c r="P1429" t="str">
        <f>HYPERLINK("http://pikabu.ru/profile/Soonk80")</f>
        <v>http://pikabu.ru/profile/Soonk80</v>
      </c>
      <c r="R1429" t="s">
        <v>404</v>
      </c>
      <c r="AM1429" t="s">
        <v>129</v>
      </c>
      <c r="AN1429" t="s">
        <v>130</v>
      </c>
      <c r="AP1429" t="s">
        <v>41</v>
      </c>
      <c r="AT1429" t="s">
        <v>45</v>
      </c>
      <c r="AZ1429" t="s">
        <v>51</v>
      </c>
      <c r="BA1429" t="s">
        <v>52</v>
      </c>
      <c r="BL1429" t="s">
        <v>63</v>
      </c>
      <c r="BO1429" t="s">
        <v>66</v>
      </c>
    </row>
    <row r="1430" spans="1:70" x14ac:dyDescent="0.2">
      <c r="A1430" t="s">
        <v>4981</v>
      </c>
      <c r="B1430" t="s">
        <v>3978</v>
      </c>
      <c r="C1430" t="s">
        <v>5383</v>
      </c>
      <c r="D1430" t="s">
        <v>4609</v>
      </c>
      <c r="E1430" t="s">
        <v>5385</v>
      </c>
      <c r="F1430" t="s">
        <v>118</v>
      </c>
      <c r="G1430" t="str">
        <f>HYPERLINK("https://pikabu.ru/story/trikolor_tv_reklamnyiy_baner_kotoryiy_besitmalenkiy_layfkhak_8353681?cid=206729335")</f>
        <v>https://pikabu.ru/story/trikolor_tv_reklamnyiy_baner_kotoryiy_besitmalenkiy_layfkhak_8353681?cid=206729335</v>
      </c>
      <c r="H1430" t="s">
        <v>119</v>
      </c>
      <c r="I1430" t="s">
        <v>5386</v>
      </c>
      <c r="J1430" t="str">
        <f>HYPERLINK("http://pikabu.ru/profile/Texhik84")</f>
        <v>http://pikabu.ru/profile/Texhik84</v>
      </c>
      <c r="N1430" t="s">
        <v>402</v>
      </c>
      <c r="O1430" t="s">
        <v>4612</v>
      </c>
      <c r="P1430" t="str">
        <f>HYPERLINK("http://pikabu.ru/profile/Soonk80")</f>
        <v>http://pikabu.ru/profile/Soonk80</v>
      </c>
      <c r="R1430" t="s">
        <v>404</v>
      </c>
      <c r="AM1430" t="s">
        <v>129</v>
      </c>
      <c r="AN1430" t="s">
        <v>130</v>
      </c>
      <c r="AP1430" t="s">
        <v>41</v>
      </c>
      <c r="AZ1430" t="s">
        <v>51</v>
      </c>
      <c r="BA1430" t="s">
        <v>52</v>
      </c>
      <c r="BR1430" t="s">
        <v>69</v>
      </c>
    </row>
    <row r="1431" spans="1:70" x14ac:dyDescent="0.2">
      <c r="A1431" t="s">
        <v>4981</v>
      </c>
      <c r="B1431" t="s">
        <v>5387</v>
      </c>
      <c r="C1431" t="s">
        <v>5388</v>
      </c>
      <c r="D1431" t="s">
        <v>5389</v>
      </c>
      <c r="E1431" t="s">
        <v>5390</v>
      </c>
      <c r="F1431" t="s">
        <v>180</v>
      </c>
      <c r="G1431" t="str">
        <f>HYPERLINK("https://www.wildberries.ru/catalog/13511063/detail.aspx?targetUrl=ES#Comments")</f>
        <v>https://www.wildberries.ru/catalog/13511063/detail.aspx?targetUrl=ES#Comments</v>
      </c>
      <c r="H1431" t="s">
        <v>181</v>
      </c>
      <c r="I1431" t="s">
        <v>5391</v>
      </c>
      <c r="J1431" t="str">
        <f>HYPERLINK("https://www.wildberries.ru/profile/w7TDssOkw7PCu8KwwrfCtcK5wrTCs8KwwrQ=")</f>
        <v>https://www.wildberries.ru/profile/w7TDssOkw7PCu8KwwrfCtcK5wrTCs8KwwrQ=</v>
      </c>
      <c r="L1431" t="s">
        <v>151</v>
      </c>
      <c r="N1431" t="s">
        <v>534</v>
      </c>
      <c r="O1431" t="s">
        <v>5389</v>
      </c>
      <c r="P1431" t="str">
        <f>HYPERLINK("https://www.wildberries.ru/catalog/10117096/detail.aspx")</f>
        <v>https://www.wildberries.ru/catalog/10117096/detail.aspx</v>
      </c>
      <c r="R1431" t="s">
        <v>184</v>
      </c>
      <c r="S1431" t="s">
        <v>125</v>
      </c>
      <c r="W1431">
        <v>0</v>
      </c>
      <c r="X1431">
        <v>0</v>
      </c>
      <c r="AH1431">
        <v>5</v>
      </c>
      <c r="AM1431" t="s">
        <v>129</v>
      </c>
      <c r="AN1431" t="s">
        <v>130</v>
      </c>
      <c r="AP1431" t="s">
        <v>41</v>
      </c>
      <c r="AZ1431" t="s">
        <v>51</v>
      </c>
      <c r="BA1431" t="s">
        <v>52</v>
      </c>
      <c r="BK1431" t="s">
        <v>62</v>
      </c>
      <c r="BL1431" t="s">
        <v>63</v>
      </c>
    </row>
    <row r="1432" spans="1:70" x14ac:dyDescent="0.2">
      <c r="A1432" t="s">
        <v>4981</v>
      </c>
      <c r="B1432" t="s">
        <v>5392</v>
      </c>
      <c r="C1432" t="s">
        <v>5393</v>
      </c>
      <c r="D1432" t="s">
        <v>4609</v>
      </c>
      <c r="E1432" t="s">
        <v>5394</v>
      </c>
      <c r="F1432" t="s">
        <v>118</v>
      </c>
      <c r="G1432" t="str">
        <f>HYPERLINK("https://pikabu.ru/story/trikolor_tv_reklamnyiy_baner_kotoryiy_besitmalenkiy_layfkhak_8353681?cid=206726964")</f>
        <v>https://pikabu.ru/story/trikolor_tv_reklamnyiy_baner_kotoryiy_besitmalenkiy_layfkhak_8353681?cid=206726964</v>
      </c>
      <c r="H1432" t="s">
        <v>228</v>
      </c>
      <c r="I1432" t="s">
        <v>5179</v>
      </c>
      <c r="J1432" t="str">
        <f>HYPERLINK("http://pikabu.ru/profile/next001")</f>
        <v>http://pikabu.ru/profile/next001</v>
      </c>
      <c r="N1432" t="s">
        <v>402</v>
      </c>
      <c r="O1432" t="s">
        <v>4612</v>
      </c>
      <c r="P1432" t="str">
        <f>HYPERLINK("http://pikabu.ru/profile/Soonk80")</f>
        <v>http://pikabu.ru/profile/Soonk80</v>
      </c>
      <c r="R1432" t="s">
        <v>404</v>
      </c>
      <c r="AM1432" t="s">
        <v>129</v>
      </c>
      <c r="AN1432" t="s">
        <v>130</v>
      </c>
      <c r="AP1432" t="s">
        <v>41</v>
      </c>
      <c r="AX1432" t="s">
        <v>49</v>
      </c>
      <c r="AY1432" t="s">
        <v>50</v>
      </c>
      <c r="AZ1432" t="s">
        <v>51</v>
      </c>
      <c r="BA1432" t="s">
        <v>52</v>
      </c>
      <c r="BO1432" t="s">
        <v>66</v>
      </c>
    </row>
    <row r="1433" spans="1:70" x14ac:dyDescent="0.2">
      <c r="A1433" t="s">
        <v>4981</v>
      </c>
      <c r="B1433" t="s">
        <v>5395</v>
      </c>
      <c r="C1433" t="s">
        <v>5396</v>
      </c>
      <c r="D1433" t="s">
        <v>5397</v>
      </c>
      <c r="E1433" t="s">
        <v>5398</v>
      </c>
      <c r="F1433" t="s">
        <v>118</v>
      </c>
      <c r="G1433" t="str">
        <f>HYPERLINK("https://vk.com/wall-22935147_368479?reply=368546")</f>
        <v>https://vk.com/wall-22935147_368479?reply=368546</v>
      </c>
      <c r="H1433" t="s">
        <v>119</v>
      </c>
      <c r="I1433" t="s">
        <v>5399</v>
      </c>
      <c r="J1433" t="str">
        <f>HYPERLINK("http://vk.com/id186352920")</f>
        <v>http://vk.com/id186352920</v>
      </c>
      <c r="K1433">
        <v>1125</v>
      </c>
      <c r="L1433" t="s">
        <v>151</v>
      </c>
      <c r="M1433">
        <v>33</v>
      </c>
      <c r="N1433" t="s">
        <v>122</v>
      </c>
      <c r="O1433" t="s">
        <v>1093</v>
      </c>
      <c r="P1433" t="str">
        <f>HYPERLINK("http://vk.com/club22935147")</f>
        <v>http://vk.com/club22935147</v>
      </c>
      <c r="Q1433">
        <v>8943</v>
      </c>
      <c r="R1433" t="s">
        <v>124</v>
      </c>
      <c r="S1433" t="s">
        <v>125</v>
      </c>
      <c r="T1433" t="s">
        <v>1275</v>
      </c>
      <c r="U1433" t="s">
        <v>5400</v>
      </c>
      <c r="W1433">
        <v>0</v>
      </c>
      <c r="X1433">
        <v>0</v>
      </c>
      <c r="AM1433" t="s">
        <v>129</v>
      </c>
      <c r="AN1433" t="s">
        <v>130</v>
      </c>
      <c r="AP1433" t="s">
        <v>41</v>
      </c>
      <c r="AT1433" t="s">
        <v>45</v>
      </c>
      <c r="AW1433" t="s">
        <v>48</v>
      </c>
      <c r="AZ1433" t="s">
        <v>51</v>
      </c>
      <c r="BA1433" t="s">
        <v>52</v>
      </c>
    </row>
    <row r="1434" spans="1:70" x14ac:dyDescent="0.2">
      <c r="A1434" t="s">
        <v>4981</v>
      </c>
      <c r="B1434" t="s">
        <v>5401</v>
      </c>
      <c r="C1434" t="s">
        <v>5393</v>
      </c>
      <c r="D1434" t="s">
        <v>4609</v>
      </c>
      <c r="E1434" t="s">
        <v>5402</v>
      </c>
      <c r="F1434" t="s">
        <v>118</v>
      </c>
      <c r="G1434" t="str">
        <f>HYPERLINK("https://pikabu.ru/story/trikolor_tv_reklamnyiy_baner_kotoryiy_besitmalenkiy_layfkhak_8353681?cid=206725086")</f>
        <v>https://pikabu.ru/story/trikolor_tv_reklamnyiy_baner_kotoryiy_besitmalenkiy_layfkhak_8353681?cid=206725086</v>
      </c>
      <c r="H1434" t="s">
        <v>119</v>
      </c>
      <c r="I1434" t="s">
        <v>4840</v>
      </c>
      <c r="J1434" t="str">
        <f>HYPERLINK("http://pikabu.ru/profile/5yoda5")</f>
        <v>http://pikabu.ru/profile/5yoda5</v>
      </c>
      <c r="N1434" t="s">
        <v>402</v>
      </c>
      <c r="O1434" t="s">
        <v>4612</v>
      </c>
      <c r="P1434" t="str">
        <f>HYPERLINK("http://pikabu.ru/profile/Soonk80")</f>
        <v>http://pikabu.ru/profile/Soonk80</v>
      </c>
      <c r="R1434" t="s">
        <v>404</v>
      </c>
      <c r="W1434">
        <v>1</v>
      </c>
      <c r="X1434">
        <v>1</v>
      </c>
      <c r="AM1434" t="s">
        <v>129</v>
      </c>
      <c r="AN1434" t="s">
        <v>130</v>
      </c>
      <c r="AP1434" t="s">
        <v>41</v>
      </c>
      <c r="AX1434" t="s">
        <v>49</v>
      </c>
      <c r="AY1434" t="s">
        <v>50</v>
      </c>
      <c r="AZ1434" t="s">
        <v>51</v>
      </c>
      <c r="BA1434" t="s">
        <v>52</v>
      </c>
    </row>
    <row r="1435" spans="1:70" x14ac:dyDescent="0.2">
      <c r="A1435" t="s">
        <v>4981</v>
      </c>
      <c r="B1435" t="s">
        <v>1172</v>
      </c>
      <c r="C1435" t="s">
        <v>5403</v>
      </c>
      <c r="D1435" t="s">
        <v>4609</v>
      </c>
      <c r="E1435" t="s">
        <v>5404</v>
      </c>
      <c r="F1435" t="s">
        <v>118</v>
      </c>
      <c r="G1435" t="str">
        <f>HYPERLINK("https://pikabu.ru/story/trikolor_tv_reklamnyiy_baner_kotoryiy_besitmalenkiy_layfkhak_8353681?cid=206724531")</f>
        <v>https://pikabu.ru/story/trikolor_tv_reklamnyiy_baner_kotoryiy_besitmalenkiy_layfkhak_8353681?cid=206724531</v>
      </c>
      <c r="H1435" t="s">
        <v>119</v>
      </c>
      <c r="I1435" t="s">
        <v>4840</v>
      </c>
      <c r="J1435" t="str">
        <f>HYPERLINK("http://pikabu.ru/profile/5yoda5")</f>
        <v>http://pikabu.ru/profile/5yoda5</v>
      </c>
      <c r="N1435" t="s">
        <v>402</v>
      </c>
      <c r="O1435" t="s">
        <v>4612</v>
      </c>
      <c r="P1435" t="str">
        <f>HYPERLINK("http://pikabu.ru/profile/Soonk80")</f>
        <v>http://pikabu.ru/profile/Soonk80</v>
      </c>
      <c r="R1435" t="s">
        <v>404</v>
      </c>
      <c r="AM1435" t="s">
        <v>129</v>
      </c>
      <c r="AN1435" t="s">
        <v>130</v>
      </c>
      <c r="AP1435" t="s">
        <v>41</v>
      </c>
      <c r="AT1435" t="s">
        <v>45</v>
      </c>
      <c r="AW1435" t="s">
        <v>48</v>
      </c>
      <c r="AZ1435" t="s">
        <v>51</v>
      </c>
      <c r="BA1435" t="s">
        <v>52</v>
      </c>
      <c r="BL1435" t="s">
        <v>63</v>
      </c>
    </row>
    <row r="1436" spans="1:70" x14ac:dyDescent="0.2">
      <c r="A1436" t="s">
        <v>4981</v>
      </c>
      <c r="B1436" t="s">
        <v>5405</v>
      </c>
      <c r="C1436" t="s">
        <v>5406</v>
      </c>
      <c r="D1436" t="s">
        <v>5407</v>
      </c>
      <c r="E1436" t="s">
        <v>5408</v>
      </c>
      <c r="F1436" t="s">
        <v>180</v>
      </c>
      <c r="G1436" t="str">
        <f>HYPERLINK("https://www.ozon.ru/context/detail/id/234295984/#60876483")</f>
        <v>https://www.ozon.ru/context/detail/id/234295984/#60876483</v>
      </c>
      <c r="H1436" t="s">
        <v>181</v>
      </c>
      <c r="I1436" t="s">
        <v>5409</v>
      </c>
      <c r="J1436" t="str">
        <f>HYPERLINK("https://www.ozon.ru/context/client_opinion/ClientGuid/b647ee6b-5a5c-40af-9ea6-68c0bad02443/")</f>
        <v>https://www.ozon.ru/context/client_opinion/ClientGuid/b647ee6b-5a5c-40af-9ea6-68c0bad02443/</v>
      </c>
      <c r="N1436" t="s">
        <v>183</v>
      </c>
      <c r="O1436" t="s">
        <v>5407</v>
      </c>
      <c r="P1436" t="str">
        <f>HYPERLINK("https://www.ozon.ru/context/detail/id/234295984/")</f>
        <v>https://www.ozon.ru/context/detail/id/234295984/</v>
      </c>
      <c r="R1436" t="s">
        <v>184</v>
      </c>
      <c r="S1436" t="s">
        <v>125</v>
      </c>
      <c r="W1436">
        <v>0</v>
      </c>
      <c r="X1436">
        <v>0</v>
      </c>
      <c r="AH1436">
        <v>5</v>
      </c>
      <c r="AM1436" t="s">
        <v>129</v>
      </c>
      <c r="AN1436" t="s">
        <v>130</v>
      </c>
      <c r="AP1436" t="s">
        <v>41</v>
      </c>
      <c r="AT1436" t="s">
        <v>45</v>
      </c>
      <c r="AZ1436" t="s">
        <v>51</v>
      </c>
      <c r="BA1436" t="s">
        <v>52</v>
      </c>
    </row>
    <row r="1437" spans="1:70" x14ac:dyDescent="0.2">
      <c r="A1437" t="s">
        <v>4981</v>
      </c>
      <c r="B1437" t="s">
        <v>5410</v>
      </c>
      <c r="C1437" t="s">
        <v>5403</v>
      </c>
      <c r="D1437" t="s">
        <v>4609</v>
      </c>
      <c r="E1437" t="s">
        <v>5411</v>
      </c>
      <c r="F1437" t="s">
        <v>118</v>
      </c>
      <c r="G1437" t="str">
        <f>HYPERLINK("https://pikabu.ru/story/trikolor_tv_reklamnyiy_baner_kotoryiy_besitmalenkiy_layfkhak_8353681?cid=206723422")</f>
        <v>https://pikabu.ru/story/trikolor_tv_reklamnyiy_baner_kotoryiy_besitmalenkiy_layfkhak_8353681?cid=206723422</v>
      </c>
      <c r="H1437" t="s">
        <v>119</v>
      </c>
      <c r="I1437" t="s">
        <v>4840</v>
      </c>
      <c r="J1437" t="str">
        <f>HYPERLINK("http://pikabu.ru/profile/5yoda5")</f>
        <v>http://pikabu.ru/profile/5yoda5</v>
      </c>
      <c r="N1437" t="s">
        <v>402</v>
      </c>
      <c r="O1437" t="s">
        <v>4612</v>
      </c>
      <c r="P1437" t="str">
        <f>HYPERLINK("http://pikabu.ru/profile/Soonk80")</f>
        <v>http://pikabu.ru/profile/Soonk80</v>
      </c>
      <c r="R1437" t="s">
        <v>404</v>
      </c>
      <c r="AM1437" t="s">
        <v>129</v>
      </c>
      <c r="AN1437" t="s">
        <v>130</v>
      </c>
      <c r="AP1437" t="s">
        <v>41</v>
      </c>
      <c r="AT1437" t="s">
        <v>45</v>
      </c>
      <c r="AU1437" t="s">
        <v>46</v>
      </c>
      <c r="AZ1437" t="s">
        <v>51</v>
      </c>
      <c r="BA1437" t="s">
        <v>52</v>
      </c>
    </row>
    <row r="1438" spans="1:70" x14ac:dyDescent="0.2">
      <c r="A1438" t="s">
        <v>4981</v>
      </c>
      <c r="B1438" t="s">
        <v>5412</v>
      </c>
      <c r="C1438" t="s">
        <v>5413</v>
      </c>
      <c r="D1438" t="s">
        <v>5414</v>
      </c>
      <c r="E1438" t="s">
        <v>5415</v>
      </c>
      <c r="F1438" t="s">
        <v>118</v>
      </c>
      <c r="G1438" t="str">
        <f>HYPERLINK("https://www.youtube.com/watch?v=Z-O1Ys4wv0c&amp;lc=UgzFncKxRNyJJpDNhpx4AaABAg")</f>
        <v>https://www.youtube.com/watch?v=Z-O1Ys4wv0c&amp;lc=UgzFncKxRNyJJpDNhpx4AaABAg</v>
      </c>
      <c r="H1438" t="s">
        <v>119</v>
      </c>
      <c r="I1438" t="s">
        <v>5416</v>
      </c>
      <c r="J1438" t="str">
        <f>HYPERLINK("https://www.youtube.com/channel/UCmX9MLxlU2htc1gZcEyGBBA")</f>
        <v>https://www.youtube.com/channel/UCmX9MLxlU2htc1gZcEyGBBA</v>
      </c>
      <c r="K1438">
        <v>19</v>
      </c>
      <c r="L1438" t="s">
        <v>121</v>
      </c>
      <c r="N1438" t="s">
        <v>248</v>
      </c>
      <c r="O1438" t="s">
        <v>5417</v>
      </c>
      <c r="P1438" t="str">
        <f>HYPERLINK("https://www.youtube.com/channel/UC2GsNb-1m66qzw3ds3PhRoA")</f>
        <v>https://www.youtube.com/channel/UC2GsNb-1m66qzw3ds3PhRoA</v>
      </c>
      <c r="Q1438">
        <v>34900</v>
      </c>
      <c r="R1438" t="s">
        <v>124</v>
      </c>
      <c r="S1438" t="s">
        <v>125</v>
      </c>
      <c r="W1438">
        <v>0</v>
      </c>
      <c r="X1438">
        <v>0</v>
      </c>
      <c r="AE1438">
        <v>3</v>
      </c>
      <c r="AM1438" t="s">
        <v>129</v>
      </c>
      <c r="AN1438" t="s">
        <v>130</v>
      </c>
      <c r="AP1438" t="s">
        <v>41</v>
      </c>
      <c r="AY1438" t="s">
        <v>50</v>
      </c>
      <c r="AZ1438" t="s">
        <v>51</v>
      </c>
      <c r="BB1438" t="s">
        <v>53</v>
      </c>
    </row>
    <row r="1439" spans="1:70" x14ac:dyDescent="0.2">
      <c r="A1439" t="s">
        <v>4981</v>
      </c>
      <c r="B1439" t="s">
        <v>5418</v>
      </c>
      <c r="C1439" t="s">
        <v>5419</v>
      </c>
      <c r="D1439" t="s">
        <v>4609</v>
      </c>
      <c r="E1439" t="s">
        <v>5420</v>
      </c>
      <c r="F1439" t="s">
        <v>118</v>
      </c>
      <c r="G1439" t="str">
        <f>HYPERLINK("https://pikabu.ru/story/trikolor_tv_reklamnyiy_baner_kotoryiy_besitmalenkiy_layfkhak_8353681?cid=206720583")</f>
        <v>https://pikabu.ru/story/trikolor_tv_reklamnyiy_baner_kotoryiy_besitmalenkiy_layfkhak_8353681?cid=206720583</v>
      </c>
      <c r="H1439" t="s">
        <v>181</v>
      </c>
      <c r="I1439" t="s">
        <v>5421</v>
      </c>
      <c r="J1439" t="str">
        <f>HYPERLINK("http://pikabu.ru/profile/BearInTheHole")</f>
        <v>http://pikabu.ru/profile/BearInTheHole</v>
      </c>
      <c r="N1439" t="s">
        <v>402</v>
      </c>
      <c r="O1439" t="s">
        <v>4612</v>
      </c>
      <c r="P1439" t="str">
        <f>HYPERLINK("http://pikabu.ru/profile/Soonk80")</f>
        <v>http://pikabu.ru/profile/Soonk80</v>
      </c>
      <c r="R1439" t="s">
        <v>404</v>
      </c>
      <c r="AM1439" t="s">
        <v>129</v>
      </c>
      <c r="AN1439" t="s">
        <v>130</v>
      </c>
      <c r="AP1439" t="s">
        <v>41</v>
      </c>
      <c r="AZ1439" t="s">
        <v>51</v>
      </c>
      <c r="BA1439" t="s">
        <v>52</v>
      </c>
      <c r="BL1439" t="s">
        <v>63</v>
      </c>
    </row>
    <row r="1440" spans="1:70" x14ac:dyDescent="0.2">
      <c r="A1440" t="s">
        <v>4981</v>
      </c>
      <c r="B1440" t="s">
        <v>5422</v>
      </c>
      <c r="C1440" t="s">
        <v>5423</v>
      </c>
      <c r="D1440" t="s">
        <v>4609</v>
      </c>
      <c r="E1440" t="s">
        <v>5424</v>
      </c>
      <c r="F1440" t="s">
        <v>118</v>
      </c>
      <c r="G1440" t="str">
        <f>HYPERLINK("https://pikabu.ru/story/trikolor_tv_reklamnyiy_baner_kotoryiy_besitmalenkiy_layfkhak_8353681?cid=206716874")</f>
        <v>https://pikabu.ru/story/trikolor_tv_reklamnyiy_baner_kotoryiy_besitmalenkiy_layfkhak_8353681?cid=206716874</v>
      </c>
      <c r="H1440" t="s">
        <v>119</v>
      </c>
      <c r="I1440" t="s">
        <v>5425</v>
      </c>
      <c r="J1440" t="str">
        <f>HYPERLINK("http://pikabu.ru/profile/gennadygal")</f>
        <v>http://pikabu.ru/profile/gennadygal</v>
      </c>
      <c r="N1440" t="s">
        <v>402</v>
      </c>
      <c r="O1440" t="s">
        <v>4612</v>
      </c>
      <c r="P1440" t="str">
        <f>HYPERLINK("http://pikabu.ru/profile/Soonk80")</f>
        <v>http://pikabu.ru/profile/Soonk80</v>
      </c>
      <c r="R1440" t="s">
        <v>404</v>
      </c>
      <c r="AM1440" t="s">
        <v>129</v>
      </c>
      <c r="AN1440" t="s">
        <v>130</v>
      </c>
      <c r="AP1440" t="s">
        <v>41</v>
      </c>
      <c r="AT1440" t="s">
        <v>45</v>
      </c>
      <c r="AW1440" t="s">
        <v>48</v>
      </c>
      <c r="AZ1440" t="s">
        <v>51</v>
      </c>
      <c r="BA1440" t="s">
        <v>52</v>
      </c>
    </row>
    <row r="1441" spans="1:69" x14ac:dyDescent="0.2">
      <c r="A1441" t="s">
        <v>4981</v>
      </c>
      <c r="B1441" t="s">
        <v>5426</v>
      </c>
      <c r="C1441" t="s">
        <v>4757</v>
      </c>
      <c r="D1441" t="s">
        <v>5174</v>
      </c>
      <c r="E1441" t="s">
        <v>5427</v>
      </c>
      <c r="F1441" t="s">
        <v>180</v>
      </c>
      <c r="G1441" t="str">
        <f>HYPERLINK("https://www.wildberries.ru/catalog/18944219/detail.aspx?targetUrl=ES#Comments")</f>
        <v>https://www.wildberries.ru/catalog/18944219/detail.aspx?targetUrl=ES#Comments</v>
      </c>
      <c r="H1441" t="s">
        <v>181</v>
      </c>
      <c r="I1441" t="s">
        <v>5428</v>
      </c>
      <c r="J1441" t="str">
        <f>HYPERLINK("https://www.wildberries.ru/profile/w7TDssOkw7PCu8K1wrjCssKzwrnCssK3wrg=")</f>
        <v>https://www.wildberries.ru/profile/w7TDssOkw7PCu8K1wrjCssKzwrnCssK3wrg=</v>
      </c>
      <c r="L1441" t="s">
        <v>151</v>
      </c>
      <c r="N1441" t="s">
        <v>534</v>
      </c>
      <c r="O1441" t="s">
        <v>5174</v>
      </c>
      <c r="P1441" t="str">
        <f>HYPERLINK("https://www.wildberries.ru/catalog/14067782/detail.aspx")</f>
        <v>https://www.wildberries.ru/catalog/14067782/detail.aspx</v>
      </c>
      <c r="R1441" t="s">
        <v>184</v>
      </c>
      <c r="S1441" t="s">
        <v>125</v>
      </c>
      <c r="W1441">
        <v>0</v>
      </c>
      <c r="X1441">
        <v>0</v>
      </c>
      <c r="AH1441">
        <v>5</v>
      </c>
      <c r="AM1441" t="s">
        <v>129</v>
      </c>
      <c r="AN1441" t="s">
        <v>130</v>
      </c>
      <c r="AP1441" t="s">
        <v>41</v>
      </c>
      <c r="AT1441" t="s">
        <v>45</v>
      </c>
      <c r="AZ1441" t="s">
        <v>51</v>
      </c>
      <c r="BA1441" t="s">
        <v>52</v>
      </c>
      <c r="BL1441" t="s">
        <v>63</v>
      </c>
    </row>
    <row r="1442" spans="1:69" x14ac:dyDescent="0.2">
      <c r="A1442" t="s">
        <v>4981</v>
      </c>
      <c r="B1442" t="s">
        <v>5426</v>
      </c>
      <c r="C1442" t="s">
        <v>4757</v>
      </c>
      <c r="D1442" t="s">
        <v>5174</v>
      </c>
      <c r="E1442" t="s">
        <v>5429</v>
      </c>
      <c r="F1442" t="s">
        <v>118</v>
      </c>
      <c r="G1442" t="str">
        <f>HYPERLINK("https://www.wildberries.ru/catalog/18944219/detail.aspx?targetUrl=ES#Comments")</f>
        <v>https://www.wildberries.ru/catalog/18944219/detail.aspx?targetUrl=ES#Comments</v>
      </c>
      <c r="H1442" t="s">
        <v>119</v>
      </c>
      <c r="I1442" t="s">
        <v>3023</v>
      </c>
      <c r="J1442" t="str">
        <f>HYPERLINK("https://www.wildberries.ru/brands/trikolor")</f>
        <v>https://www.wildberries.ru/brands/trikolor</v>
      </c>
      <c r="L1442" t="s">
        <v>340</v>
      </c>
      <c r="N1442" t="s">
        <v>534</v>
      </c>
      <c r="O1442" t="s">
        <v>5174</v>
      </c>
      <c r="P1442" t="str">
        <f>HYPERLINK("https://www.wildberries.ru/catalog/14067782/detail.aspx")</f>
        <v>https://www.wildberries.ru/catalog/14067782/detail.aspx</v>
      </c>
      <c r="R1442" t="s">
        <v>184</v>
      </c>
      <c r="S1442" t="s">
        <v>125</v>
      </c>
      <c r="AM1442" t="s">
        <v>129</v>
      </c>
      <c r="AN1442" t="s">
        <v>130</v>
      </c>
      <c r="BI1442" t="s">
        <v>60</v>
      </c>
    </row>
    <row r="1443" spans="1:69" x14ac:dyDescent="0.2">
      <c r="A1443" t="s">
        <v>4981</v>
      </c>
      <c r="B1443" t="s">
        <v>5430</v>
      </c>
      <c r="C1443" t="s">
        <v>5431</v>
      </c>
      <c r="D1443" t="s">
        <v>226</v>
      </c>
      <c r="E1443" t="s">
        <v>5432</v>
      </c>
      <c r="F1443" t="s">
        <v>118</v>
      </c>
      <c r="G1443" t="str">
        <f>HYPERLINK("https://vk.com/wall-27863223_291992?reply=292010")</f>
        <v>https://vk.com/wall-27863223_291992?reply=292010</v>
      </c>
      <c r="H1443" t="s">
        <v>228</v>
      </c>
      <c r="I1443" t="s">
        <v>3712</v>
      </c>
      <c r="J1443" t="str">
        <f>HYPERLINK("http://vk.com/id56014693")</f>
        <v>http://vk.com/id56014693</v>
      </c>
      <c r="K1443">
        <v>3</v>
      </c>
      <c r="L1443" t="s">
        <v>121</v>
      </c>
      <c r="N1443" t="s">
        <v>122</v>
      </c>
      <c r="O1443" t="s">
        <v>175</v>
      </c>
      <c r="P1443" t="str">
        <f>HYPERLINK("http://vk.com/club27863223")</f>
        <v>http://vk.com/club27863223</v>
      </c>
      <c r="Q1443">
        <v>134698</v>
      </c>
      <c r="R1443" t="s">
        <v>124</v>
      </c>
      <c r="S1443" t="s">
        <v>3713</v>
      </c>
      <c r="T1443" t="s">
        <v>3714</v>
      </c>
      <c r="U1443" t="s">
        <v>3714</v>
      </c>
      <c r="W1443">
        <v>0</v>
      </c>
      <c r="X1443">
        <v>0</v>
      </c>
      <c r="AM1443" t="s">
        <v>129</v>
      </c>
      <c r="AN1443" t="s">
        <v>130</v>
      </c>
      <c r="AP1443" t="s">
        <v>41</v>
      </c>
      <c r="AZ1443" t="s">
        <v>51</v>
      </c>
      <c r="BA1443" t="s">
        <v>52</v>
      </c>
    </row>
    <row r="1444" spans="1:69" x14ac:dyDescent="0.2">
      <c r="A1444" t="s">
        <v>4981</v>
      </c>
      <c r="B1444" t="s">
        <v>5433</v>
      </c>
      <c r="C1444" t="s">
        <v>5434</v>
      </c>
      <c r="D1444" t="s">
        <v>2001</v>
      </c>
      <c r="E1444" t="s">
        <v>5435</v>
      </c>
      <c r="F1444" t="s">
        <v>118</v>
      </c>
      <c r="G1444" t="str">
        <f>HYPERLINK("https://vk.com/wall-27863223_291925?w=wall-27863223_291925_r292008")</f>
        <v>https://vk.com/wall-27863223_291925?w=wall-27863223_291925_r292008</v>
      </c>
      <c r="H1444" t="s">
        <v>228</v>
      </c>
      <c r="I1444" t="s">
        <v>3712</v>
      </c>
      <c r="J1444" t="str">
        <f>HYPERLINK("http://vk.com/id56014693")</f>
        <v>http://vk.com/id56014693</v>
      </c>
      <c r="K1444">
        <v>3</v>
      </c>
      <c r="L1444" t="s">
        <v>121</v>
      </c>
      <c r="N1444" t="s">
        <v>122</v>
      </c>
      <c r="O1444" t="s">
        <v>175</v>
      </c>
      <c r="P1444" t="str">
        <f>HYPERLINK("http://vk.com/club27863223")</f>
        <v>http://vk.com/club27863223</v>
      </c>
      <c r="Q1444">
        <v>134698</v>
      </c>
      <c r="R1444" t="s">
        <v>124</v>
      </c>
      <c r="S1444" t="s">
        <v>3713</v>
      </c>
      <c r="T1444" t="s">
        <v>3714</v>
      </c>
      <c r="U1444" t="s">
        <v>3714</v>
      </c>
      <c r="W1444">
        <v>0</v>
      </c>
      <c r="X1444">
        <v>0</v>
      </c>
      <c r="AM1444" t="s">
        <v>129</v>
      </c>
      <c r="AN1444" t="s">
        <v>130</v>
      </c>
      <c r="AP1444" t="s">
        <v>41</v>
      </c>
      <c r="AT1444" t="s">
        <v>45</v>
      </c>
      <c r="AZ1444" t="s">
        <v>51</v>
      </c>
      <c r="BA1444" t="s">
        <v>52</v>
      </c>
    </row>
    <row r="1445" spans="1:69" x14ac:dyDescent="0.2">
      <c r="A1445" t="s">
        <v>4981</v>
      </c>
      <c r="B1445" t="s">
        <v>5436</v>
      </c>
      <c r="C1445" t="s">
        <v>5437</v>
      </c>
      <c r="D1445" t="s">
        <v>4609</v>
      </c>
      <c r="E1445" t="s">
        <v>5438</v>
      </c>
      <c r="F1445" t="s">
        <v>118</v>
      </c>
      <c r="G1445" t="str">
        <f>HYPERLINK("https://pikabu.ru/story/trikolor_tv_reklamnyiy_baner_kotoryiy_besitmalenkiy_layfkhak_8353681?cid=206715358")</f>
        <v>https://pikabu.ru/story/trikolor_tv_reklamnyiy_baner_kotoryiy_besitmalenkiy_layfkhak_8353681?cid=206715358</v>
      </c>
      <c r="H1445" t="s">
        <v>119</v>
      </c>
      <c r="I1445" t="s">
        <v>5439</v>
      </c>
      <c r="J1445" t="str">
        <f>HYPERLINK("http://pikabu.ru/profile/Jahimees1")</f>
        <v>http://pikabu.ru/profile/Jahimees1</v>
      </c>
      <c r="N1445" t="s">
        <v>402</v>
      </c>
      <c r="O1445" t="s">
        <v>4612</v>
      </c>
      <c r="P1445" t="str">
        <f>HYPERLINK("http://pikabu.ru/profile/Soonk80")</f>
        <v>http://pikabu.ru/profile/Soonk80</v>
      </c>
      <c r="R1445" t="s">
        <v>404</v>
      </c>
      <c r="AM1445" t="s">
        <v>129</v>
      </c>
      <c r="AN1445" t="s">
        <v>130</v>
      </c>
      <c r="AP1445" t="s">
        <v>41</v>
      </c>
      <c r="AY1445" t="s">
        <v>50</v>
      </c>
      <c r="AZ1445" t="s">
        <v>51</v>
      </c>
      <c r="BA1445" t="s">
        <v>52</v>
      </c>
    </row>
    <row r="1446" spans="1:69" x14ac:dyDescent="0.2">
      <c r="A1446" t="s">
        <v>4981</v>
      </c>
      <c r="B1446" t="s">
        <v>5440</v>
      </c>
      <c r="C1446" t="s">
        <v>5441</v>
      </c>
      <c r="D1446" t="s">
        <v>5442</v>
      </c>
      <c r="E1446" t="s">
        <v>5443</v>
      </c>
      <c r="F1446" t="s">
        <v>118</v>
      </c>
      <c r="G1446" t="str">
        <f>HYPERLINK("https://telegram.me/tsflood/49034")</f>
        <v>https://telegram.me/tsflood/49034</v>
      </c>
      <c r="H1446" t="s">
        <v>119</v>
      </c>
      <c r="I1446" t="s">
        <v>5444</v>
      </c>
      <c r="J1446" t="str">
        <f>HYPERLINK("https://telegram.me/czochralski")</f>
        <v>https://telegram.me/czochralski</v>
      </c>
      <c r="L1446" t="s">
        <v>121</v>
      </c>
      <c r="N1446" t="s">
        <v>143</v>
      </c>
      <c r="O1446" t="s">
        <v>5445</v>
      </c>
      <c r="P1446" t="str">
        <f>HYPERLINK("https://telegram.me/tsflood")</f>
        <v>https://telegram.me/tsflood</v>
      </c>
      <c r="Q1446">
        <v>119</v>
      </c>
      <c r="R1446" t="s">
        <v>145</v>
      </c>
      <c r="AM1446" t="s">
        <v>129</v>
      </c>
      <c r="AN1446" t="s">
        <v>130</v>
      </c>
      <c r="AP1446" t="s">
        <v>41</v>
      </c>
      <c r="AU1446" t="s">
        <v>46</v>
      </c>
      <c r="AZ1446" t="s">
        <v>51</v>
      </c>
      <c r="BA1446" t="s">
        <v>52</v>
      </c>
    </row>
    <row r="1447" spans="1:69" x14ac:dyDescent="0.2">
      <c r="A1447" t="s">
        <v>5446</v>
      </c>
      <c r="B1447" t="s">
        <v>5447</v>
      </c>
      <c r="C1447" t="s">
        <v>5448</v>
      </c>
      <c r="D1447" t="s">
        <v>204</v>
      </c>
      <c r="E1447" t="s">
        <v>5449</v>
      </c>
      <c r="F1447" t="s">
        <v>180</v>
      </c>
      <c r="G1447" t="str">
        <f>HYPERLINK("https://play.google.com/store/apps/details?id=ru.iflex.android.a3colortv&amp;reviewId=gp:AOqpTOGhFpZj3YtXqX4xqNbhOGIKFP0P_lFTwbOl4dlS3YfT0R_t6QvTmZ4PfKw7tjnzvp-Gic-MJoZ1DCbeQQ")</f>
        <v>https://play.google.com/store/apps/details?id=ru.iflex.android.a3colortv&amp;reviewId=gp:AOqpTOGhFpZj3YtXqX4xqNbhOGIKFP0P_lFTwbOl4dlS3YfT0R_t6QvTmZ4PfKw7tjnzvp-Gic-MJoZ1DCbeQQ</v>
      </c>
      <c r="H1447" t="s">
        <v>228</v>
      </c>
      <c r="I1447" t="s">
        <v>5450</v>
      </c>
      <c r="J1447" t="str">
        <f>HYPERLINK("https://plus.google.com/114225800127895867405")</f>
        <v>https://plus.google.com/114225800127895867405</v>
      </c>
      <c r="N1447" t="s">
        <v>207</v>
      </c>
      <c r="O1447" t="s">
        <v>204</v>
      </c>
      <c r="P1447" t="str">
        <f>HYPERLINK("https://play.google.com/store/apps/details?id=ru.iflex.android.a3colortv&amp;hl=ru")</f>
        <v>https://play.google.com/store/apps/details?id=ru.iflex.android.a3colortv&amp;hl=ru</v>
      </c>
      <c r="R1447" t="s">
        <v>184</v>
      </c>
      <c r="S1447" t="s">
        <v>125</v>
      </c>
      <c r="W1447">
        <v>0</v>
      </c>
      <c r="X1447">
        <v>0</v>
      </c>
      <c r="AH1447">
        <v>1</v>
      </c>
      <c r="AM1447" t="s">
        <v>129</v>
      </c>
      <c r="AN1447" t="s">
        <v>130</v>
      </c>
      <c r="AP1447" t="s">
        <v>41</v>
      </c>
      <c r="AZ1447" t="s">
        <v>51</v>
      </c>
      <c r="BA1447" t="s">
        <v>52</v>
      </c>
      <c r="BQ1447" t="s">
        <v>68</v>
      </c>
    </row>
    <row r="1448" spans="1:69" x14ac:dyDescent="0.2">
      <c r="A1448" t="s">
        <v>5446</v>
      </c>
      <c r="B1448" t="s">
        <v>5451</v>
      </c>
      <c r="C1448" t="s">
        <v>5452</v>
      </c>
      <c r="D1448" t="s">
        <v>204</v>
      </c>
      <c r="E1448" t="s">
        <v>5453</v>
      </c>
      <c r="F1448" t="s">
        <v>180</v>
      </c>
      <c r="G1448" t="str">
        <f>HYPERLINK("https://play.google.com/store/apps/details?id=ru.iflex.android.a3colortv&amp;reviewId=gp:AOqpTOHsqKi6aOd-EZkTPaIHN7NdaHLHztUtIKyUvTOAAQ7c-ixprz7eI6mL-cvo0OE74VYLbRkWgZzR_xjZxA")</f>
        <v>https://play.google.com/store/apps/details?id=ru.iflex.android.a3colortv&amp;reviewId=gp:AOqpTOHsqKi6aOd-EZkTPaIHN7NdaHLHztUtIKyUvTOAAQ7c-ixprz7eI6mL-cvo0OE74VYLbRkWgZzR_xjZxA</v>
      </c>
      <c r="H1448" t="s">
        <v>228</v>
      </c>
      <c r="I1448" t="s">
        <v>5454</v>
      </c>
      <c r="J1448" t="str">
        <f>HYPERLINK("https://plus.google.com/108200256481901490153")</f>
        <v>https://plus.google.com/108200256481901490153</v>
      </c>
      <c r="L1448" t="s">
        <v>121</v>
      </c>
      <c r="N1448" t="s">
        <v>207</v>
      </c>
      <c r="O1448" t="s">
        <v>204</v>
      </c>
      <c r="P1448" t="str">
        <f>HYPERLINK("https://play.google.com/store/apps/details?id=ru.iflex.android.a3colortv&amp;hl=ru")</f>
        <v>https://play.google.com/store/apps/details?id=ru.iflex.android.a3colortv&amp;hl=ru</v>
      </c>
      <c r="R1448" t="s">
        <v>184</v>
      </c>
      <c r="S1448" t="s">
        <v>125</v>
      </c>
      <c r="W1448">
        <v>0</v>
      </c>
      <c r="X1448">
        <v>0</v>
      </c>
      <c r="AH1448">
        <v>1</v>
      </c>
      <c r="AM1448" t="s">
        <v>129</v>
      </c>
      <c r="AN1448" t="s">
        <v>130</v>
      </c>
      <c r="AP1448" t="s">
        <v>41</v>
      </c>
      <c r="AZ1448" t="s">
        <v>51</v>
      </c>
      <c r="BA1448" t="s">
        <v>52</v>
      </c>
      <c r="BM1448" t="s">
        <v>64</v>
      </c>
      <c r="BQ1448" t="s">
        <v>68</v>
      </c>
    </row>
    <row r="1449" spans="1:69" x14ac:dyDescent="0.2">
      <c r="A1449" t="s">
        <v>5446</v>
      </c>
      <c r="B1449" t="s">
        <v>5455</v>
      </c>
      <c r="C1449" t="s">
        <v>5456</v>
      </c>
      <c r="D1449" t="s">
        <v>4609</v>
      </c>
      <c r="E1449" t="s">
        <v>5457</v>
      </c>
      <c r="F1449" t="s">
        <v>118</v>
      </c>
      <c r="G1449" t="str">
        <f>HYPERLINK("https://pikabu.ru/story/trikolor_tv_reklamnyiy_baner_kotoryiy_besitmalenkiy_layfkhak_8353681?cid=206711279")</f>
        <v>https://pikabu.ru/story/trikolor_tv_reklamnyiy_baner_kotoryiy_besitmalenkiy_layfkhak_8353681?cid=206711279</v>
      </c>
      <c r="H1449" t="s">
        <v>181</v>
      </c>
      <c r="I1449" t="s">
        <v>5458</v>
      </c>
      <c r="J1449" t="str">
        <f>HYPERLINK("http://pikabu.ru/profile/baibuga")</f>
        <v>http://pikabu.ru/profile/baibuga</v>
      </c>
      <c r="N1449" t="s">
        <v>402</v>
      </c>
      <c r="O1449" t="s">
        <v>4612</v>
      </c>
      <c r="P1449" t="str">
        <f>HYPERLINK("http://pikabu.ru/profile/Soonk80")</f>
        <v>http://pikabu.ru/profile/Soonk80</v>
      </c>
      <c r="R1449" t="s">
        <v>404</v>
      </c>
      <c r="AM1449" t="s">
        <v>129</v>
      </c>
      <c r="AN1449" t="s">
        <v>130</v>
      </c>
      <c r="AP1449" t="s">
        <v>41</v>
      </c>
      <c r="AU1449" t="s">
        <v>46</v>
      </c>
      <c r="AZ1449" t="s">
        <v>51</v>
      </c>
      <c r="BA1449" t="s">
        <v>52</v>
      </c>
    </row>
    <row r="1450" spans="1:69" x14ac:dyDescent="0.2">
      <c r="A1450" t="s">
        <v>5446</v>
      </c>
      <c r="B1450" t="s">
        <v>5459</v>
      </c>
      <c r="C1450" t="s">
        <v>5460</v>
      </c>
      <c r="D1450" t="s">
        <v>5461</v>
      </c>
      <c r="E1450" t="s">
        <v>5462</v>
      </c>
      <c r="F1450" t="s">
        <v>118</v>
      </c>
      <c r="G1450" t="str">
        <f>HYPERLINK("https://vk.com/wall-22935147_368066?w=wall-22935147_368066_r368542")</f>
        <v>https://vk.com/wall-22935147_368066?w=wall-22935147_368066_r368542</v>
      </c>
      <c r="H1450" t="s">
        <v>119</v>
      </c>
      <c r="I1450" t="s">
        <v>5255</v>
      </c>
      <c r="J1450" t="str">
        <f>HYPERLINK("http://vk.com/id592124530")</f>
        <v>http://vk.com/id592124530</v>
      </c>
      <c r="L1450" t="s">
        <v>121</v>
      </c>
      <c r="N1450" t="s">
        <v>122</v>
      </c>
      <c r="O1450" t="s">
        <v>1093</v>
      </c>
      <c r="P1450" t="str">
        <f>HYPERLINK("http://vk.com/club22935147")</f>
        <v>http://vk.com/club22935147</v>
      </c>
      <c r="Q1450">
        <v>8943</v>
      </c>
      <c r="R1450" t="s">
        <v>124</v>
      </c>
      <c r="S1450" t="s">
        <v>125</v>
      </c>
      <c r="T1450" t="s">
        <v>494</v>
      </c>
      <c r="U1450" t="s">
        <v>2280</v>
      </c>
      <c r="W1450">
        <v>0</v>
      </c>
      <c r="X1450">
        <v>0</v>
      </c>
      <c r="AM1450" t="s">
        <v>129</v>
      </c>
      <c r="AN1450" t="s">
        <v>130</v>
      </c>
      <c r="AP1450" t="s">
        <v>41</v>
      </c>
      <c r="AU1450" t="s">
        <v>46</v>
      </c>
      <c r="AZ1450" t="s">
        <v>51</v>
      </c>
      <c r="BA1450" t="s">
        <v>52</v>
      </c>
    </row>
    <row r="1451" spans="1:69" x14ac:dyDescent="0.2">
      <c r="A1451" t="s">
        <v>5446</v>
      </c>
      <c r="B1451" t="s">
        <v>773</v>
      </c>
      <c r="C1451" t="s">
        <v>5463</v>
      </c>
      <c r="D1451" t="s">
        <v>5464</v>
      </c>
      <c r="E1451" t="s">
        <v>5465</v>
      </c>
      <c r="F1451" t="s">
        <v>118</v>
      </c>
      <c r="G1451" t="str">
        <f>HYPERLINK("https://vk.com/wall-102310918_65908?reply=65926")</f>
        <v>https://vk.com/wall-102310918_65908?reply=65926</v>
      </c>
      <c r="H1451" t="s">
        <v>119</v>
      </c>
      <c r="I1451" t="s">
        <v>5466</v>
      </c>
      <c r="J1451" t="str">
        <f>HYPERLINK("http://vk.com/id31760923")</f>
        <v>http://vk.com/id31760923</v>
      </c>
      <c r="K1451">
        <v>121</v>
      </c>
      <c r="L1451" t="s">
        <v>121</v>
      </c>
      <c r="M1451">
        <v>40</v>
      </c>
      <c r="N1451" t="s">
        <v>122</v>
      </c>
      <c r="O1451" t="s">
        <v>5467</v>
      </c>
      <c r="P1451" t="str">
        <f>HYPERLINK("http://vk.com/club102310918")</f>
        <v>http://vk.com/club102310918</v>
      </c>
      <c r="Q1451">
        <v>30150</v>
      </c>
      <c r="R1451" t="s">
        <v>124</v>
      </c>
      <c r="S1451" t="s">
        <v>125</v>
      </c>
      <c r="T1451" t="s">
        <v>1466</v>
      </c>
      <c r="U1451" t="s">
        <v>1467</v>
      </c>
      <c r="AM1451" t="s">
        <v>129</v>
      </c>
      <c r="AN1451" t="s">
        <v>130</v>
      </c>
      <c r="AP1451" t="s">
        <v>41</v>
      </c>
      <c r="AU1451" t="s">
        <v>46</v>
      </c>
      <c r="AZ1451" t="s">
        <v>51</v>
      </c>
      <c r="BA1451" t="s">
        <v>52</v>
      </c>
      <c r="BM1451" t="s">
        <v>64</v>
      </c>
    </row>
    <row r="1452" spans="1:69" x14ac:dyDescent="0.2">
      <c r="A1452" t="s">
        <v>5446</v>
      </c>
      <c r="B1452" t="s">
        <v>2299</v>
      </c>
      <c r="C1452" t="s">
        <v>5468</v>
      </c>
      <c r="D1452" t="s">
        <v>5469</v>
      </c>
      <c r="E1452" t="s">
        <v>5470</v>
      </c>
      <c r="F1452" t="s">
        <v>118</v>
      </c>
      <c r="G1452" t="str">
        <f>HYPERLINK("https://vk.com/wall-40006490_120473?reply=120515&amp;thread=120489")</f>
        <v>https://vk.com/wall-40006490_120473?reply=120515&amp;thread=120489</v>
      </c>
      <c r="H1452" t="s">
        <v>119</v>
      </c>
      <c r="I1452" t="s">
        <v>5471</v>
      </c>
      <c r="J1452" t="str">
        <f>HYPERLINK("http://vk.com/id381441596")</f>
        <v>http://vk.com/id381441596</v>
      </c>
      <c r="K1452">
        <v>128</v>
      </c>
      <c r="L1452" t="s">
        <v>121</v>
      </c>
      <c r="N1452" t="s">
        <v>122</v>
      </c>
      <c r="O1452" t="s">
        <v>5472</v>
      </c>
      <c r="P1452" t="str">
        <f>HYPERLINK("http://vk.com/club40006490")</f>
        <v>http://vk.com/club40006490</v>
      </c>
      <c r="Q1452">
        <v>19779</v>
      </c>
      <c r="R1452" t="s">
        <v>124</v>
      </c>
      <c r="S1452" t="s">
        <v>125</v>
      </c>
      <c r="T1452" t="s">
        <v>667</v>
      </c>
      <c r="U1452" t="s">
        <v>668</v>
      </c>
      <c r="AM1452" t="s">
        <v>129</v>
      </c>
      <c r="AN1452" t="s">
        <v>130</v>
      </c>
      <c r="AP1452" t="s">
        <v>41</v>
      </c>
      <c r="AU1452" t="s">
        <v>46</v>
      </c>
      <c r="AZ1452" t="s">
        <v>51</v>
      </c>
      <c r="BA1452" t="s">
        <v>52</v>
      </c>
    </row>
    <row r="1453" spans="1:69" x14ac:dyDescent="0.2">
      <c r="A1453" t="s">
        <v>5446</v>
      </c>
      <c r="B1453" t="s">
        <v>2309</v>
      </c>
      <c r="C1453" t="s">
        <v>5473</v>
      </c>
      <c r="D1453" t="s">
        <v>4642</v>
      </c>
      <c r="E1453" t="s">
        <v>5474</v>
      </c>
      <c r="F1453" t="s">
        <v>118</v>
      </c>
      <c r="G1453" t="str">
        <f>HYPERLINK("https://vk.com/wall-22935147_368529?w=wall-22935147_368529_r368540")</f>
        <v>https://vk.com/wall-22935147_368529?w=wall-22935147_368529_r368540</v>
      </c>
      <c r="H1453" t="s">
        <v>119</v>
      </c>
      <c r="I1453" t="s">
        <v>3227</v>
      </c>
      <c r="J1453" t="str">
        <f>HYPERLINK("http://vk.com/id17709109")</f>
        <v>http://vk.com/id17709109</v>
      </c>
      <c r="K1453">
        <v>79</v>
      </c>
      <c r="L1453" t="s">
        <v>121</v>
      </c>
      <c r="M1453">
        <v>119</v>
      </c>
      <c r="N1453" t="s">
        <v>122</v>
      </c>
      <c r="O1453" t="s">
        <v>1093</v>
      </c>
      <c r="P1453" t="str">
        <f>HYPERLINK("http://vk.com/club22935147")</f>
        <v>http://vk.com/club22935147</v>
      </c>
      <c r="Q1453">
        <v>8943</v>
      </c>
      <c r="R1453" t="s">
        <v>124</v>
      </c>
      <c r="S1453" t="s">
        <v>1884</v>
      </c>
      <c r="T1453" t="s">
        <v>3228</v>
      </c>
      <c r="U1453" t="s">
        <v>3229</v>
      </c>
      <c r="W1453">
        <v>0</v>
      </c>
      <c r="X1453">
        <v>0</v>
      </c>
      <c r="AM1453" t="s">
        <v>129</v>
      </c>
      <c r="AN1453" t="s">
        <v>130</v>
      </c>
      <c r="AP1453" t="s">
        <v>41</v>
      </c>
      <c r="AZ1453" t="s">
        <v>51</v>
      </c>
      <c r="BA1453" t="s">
        <v>52</v>
      </c>
      <c r="BL1453" t="s">
        <v>63</v>
      </c>
    </row>
    <row r="1454" spans="1:69" x14ac:dyDescent="0.2">
      <c r="A1454" t="s">
        <v>5446</v>
      </c>
      <c r="B1454" t="s">
        <v>1289</v>
      </c>
      <c r="C1454" t="s">
        <v>5475</v>
      </c>
      <c r="D1454" t="s">
        <v>3409</v>
      </c>
      <c r="E1454" t="s">
        <v>5476</v>
      </c>
      <c r="F1454" t="s">
        <v>118</v>
      </c>
      <c r="G1454" t="str">
        <f>HYPERLINK("https://vk.com/topic-64387052_29821384?post=4901")</f>
        <v>https://vk.com/topic-64387052_29821384?post=4901</v>
      </c>
      <c r="H1454" t="s">
        <v>119</v>
      </c>
      <c r="I1454" t="s">
        <v>5477</v>
      </c>
      <c r="J1454" t="str">
        <f>HYPERLINK("http://vk.com/id599974353")</f>
        <v>http://vk.com/id599974353</v>
      </c>
      <c r="K1454">
        <v>1</v>
      </c>
      <c r="L1454" t="s">
        <v>121</v>
      </c>
      <c r="M1454">
        <v>59</v>
      </c>
      <c r="N1454" t="s">
        <v>122</v>
      </c>
      <c r="O1454" t="s">
        <v>3412</v>
      </c>
      <c r="P1454" t="str">
        <f>HYPERLINK("http://vk.com/club64387052")</f>
        <v>http://vk.com/club64387052</v>
      </c>
      <c r="Q1454">
        <v>120930</v>
      </c>
      <c r="R1454" t="s">
        <v>124</v>
      </c>
      <c r="S1454" t="s">
        <v>125</v>
      </c>
      <c r="T1454" t="s">
        <v>1229</v>
      </c>
      <c r="U1454" t="s">
        <v>1230</v>
      </c>
      <c r="AM1454" t="s">
        <v>129</v>
      </c>
      <c r="AN1454" t="s">
        <v>130</v>
      </c>
      <c r="AP1454" t="s">
        <v>41</v>
      </c>
      <c r="AU1454" t="s">
        <v>46</v>
      </c>
      <c r="AZ1454" t="s">
        <v>51</v>
      </c>
      <c r="BA1454" t="s">
        <v>52</v>
      </c>
      <c r="BL1454" t="s">
        <v>63</v>
      </c>
    </row>
    <row r="1455" spans="1:69" x14ac:dyDescent="0.2">
      <c r="A1455" t="s">
        <v>5446</v>
      </c>
      <c r="B1455" t="s">
        <v>1892</v>
      </c>
      <c r="C1455" t="s">
        <v>5478</v>
      </c>
      <c r="D1455" t="s">
        <v>4505</v>
      </c>
      <c r="E1455" t="s">
        <v>5479</v>
      </c>
      <c r="F1455" t="s">
        <v>118</v>
      </c>
      <c r="G1455" t="str">
        <f>HYPERLINK("https://vk.com/wall-22935147_368528?reply=368537")</f>
        <v>https://vk.com/wall-22935147_368528?reply=368537</v>
      </c>
      <c r="H1455" t="s">
        <v>119</v>
      </c>
      <c r="I1455" t="s">
        <v>5090</v>
      </c>
      <c r="J1455" t="str">
        <f>HYPERLINK("http://vk.com/id312564300")</f>
        <v>http://vk.com/id312564300</v>
      </c>
      <c r="K1455">
        <v>79</v>
      </c>
      <c r="L1455" t="s">
        <v>121</v>
      </c>
      <c r="N1455" t="s">
        <v>122</v>
      </c>
      <c r="O1455" t="s">
        <v>1093</v>
      </c>
      <c r="P1455" t="str">
        <f>HYPERLINK("http://vk.com/club22935147")</f>
        <v>http://vk.com/club22935147</v>
      </c>
      <c r="Q1455">
        <v>8943</v>
      </c>
      <c r="R1455" t="s">
        <v>124</v>
      </c>
      <c r="S1455" t="s">
        <v>1856</v>
      </c>
      <c r="T1455" t="s">
        <v>5091</v>
      </c>
      <c r="U1455" t="s">
        <v>5091</v>
      </c>
      <c r="W1455">
        <v>0</v>
      </c>
      <c r="X1455">
        <v>0</v>
      </c>
      <c r="AM1455" t="s">
        <v>129</v>
      </c>
      <c r="AN1455" t="s">
        <v>130</v>
      </c>
      <c r="AP1455" t="s">
        <v>41</v>
      </c>
      <c r="AU1455" t="s">
        <v>46</v>
      </c>
      <c r="AZ1455" t="s">
        <v>51</v>
      </c>
      <c r="BA1455" t="s">
        <v>52</v>
      </c>
    </row>
    <row r="1456" spans="1:69" x14ac:dyDescent="0.2">
      <c r="A1456" t="s">
        <v>5446</v>
      </c>
      <c r="B1456" t="s">
        <v>5480</v>
      </c>
      <c r="C1456" t="s">
        <v>5481</v>
      </c>
      <c r="D1456" t="s">
        <v>226</v>
      </c>
      <c r="E1456" t="s">
        <v>5482</v>
      </c>
      <c r="F1456" t="s">
        <v>118</v>
      </c>
      <c r="G1456" t="str">
        <f>HYPERLINK("https://vk.com/wall-27863223_291992?reply=292006")</f>
        <v>https://vk.com/wall-27863223_291992?reply=292006</v>
      </c>
      <c r="H1456" t="s">
        <v>228</v>
      </c>
      <c r="I1456" t="s">
        <v>5483</v>
      </c>
      <c r="J1456" t="str">
        <f>HYPERLINK("http://vk.com/id59491810")</f>
        <v>http://vk.com/id59491810</v>
      </c>
      <c r="K1456">
        <v>50</v>
      </c>
      <c r="L1456" t="s">
        <v>121</v>
      </c>
      <c r="N1456" t="s">
        <v>122</v>
      </c>
      <c r="O1456" t="s">
        <v>175</v>
      </c>
      <c r="P1456" t="str">
        <f>HYPERLINK("http://vk.com/club27863223")</f>
        <v>http://vk.com/club27863223</v>
      </c>
      <c r="Q1456">
        <v>134698</v>
      </c>
      <c r="R1456" t="s">
        <v>124</v>
      </c>
      <c r="S1456" t="s">
        <v>125</v>
      </c>
      <c r="T1456" t="s">
        <v>314</v>
      </c>
      <c r="U1456" t="s">
        <v>315</v>
      </c>
      <c r="W1456">
        <v>0</v>
      </c>
      <c r="X1456">
        <v>0</v>
      </c>
      <c r="AM1456" t="s">
        <v>129</v>
      </c>
      <c r="AN1456" t="s">
        <v>130</v>
      </c>
      <c r="AP1456" t="s">
        <v>41</v>
      </c>
      <c r="AT1456" t="s">
        <v>45</v>
      </c>
      <c r="AW1456" t="s">
        <v>48</v>
      </c>
      <c r="AZ1456" t="s">
        <v>51</v>
      </c>
      <c r="BA1456" t="s">
        <v>52</v>
      </c>
    </row>
    <row r="1457" spans="1:100" x14ac:dyDescent="0.2">
      <c r="A1457" t="s">
        <v>5446</v>
      </c>
      <c r="B1457" t="s">
        <v>5029</v>
      </c>
      <c r="C1457" t="s">
        <v>5481</v>
      </c>
      <c r="D1457" t="s">
        <v>4505</v>
      </c>
      <c r="E1457" t="s">
        <v>5484</v>
      </c>
      <c r="F1457" t="s">
        <v>118</v>
      </c>
      <c r="G1457" t="str">
        <f>HYPERLINK("https://vk.com/wall-22935147_368528?reply=368535")</f>
        <v>https://vk.com/wall-22935147_368528?reply=368535</v>
      </c>
      <c r="H1457" t="s">
        <v>228</v>
      </c>
      <c r="I1457" t="s">
        <v>5485</v>
      </c>
      <c r="J1457" t="str">
        <f>HYPERLINK("http://vk.com/id408670501")</f>
        <v>http://vk.com/id408670501</v>
      </c>
      <c r="K1457">
        <v>1439</v>
      </c>
      <c r="L1457" t="s">
        <v>121</v>
      </c>
      <c r="N1457" t="s">
        <v>122</v>
      </c>
      <c r="O1457" t="s">
        <v>1093</v>
      </c>
      <c r="P1457" t="str">
        <f>HYPERLINK("http://vk.com/club22935147")</f>
        <v>http://vk.com/club22935147</v>
      </c>
      <c r="Q1457">
        <v>8943</v>
      </c>
      <c r="R1457" t="s">
        <v>124</v>
      </c>
      <c r="S1457" t="s">
        <v>1884</v>
      </c>
      <c r="T1457" t="s">
        <v>5486</v>
      </c>
      <c r="U1457" t="s">
        <v>5487</v>
      </c>
      <c r="W1457">
        <v>0</v>
      </c>
      <c r="X1457">
        <v>0</v>
      </c>
      <c r="AM1457" t="s">
        <v>129</v>
      </c>
      <c r="AN1457" t="s">
        <v>130</v>
      </c>
      <c r="AP1457" t="s">
        <v>41</v>
      </c>
      <c r="AY1457" t="s">
        <v>50</v>
      </c>
      <c r="AZ1457" t="s">
        <v>51</v>
      </c>
      <c r="BA1457" t="s">
        <v>52</v>
      </c>
    </row>
    <row r="1458" spans="1:100" x14ac:dyDescent="0.2">
      <c r="A1458" t="s">
        <v>5446</v>
      </c>
      <c r="B1458" t="s">
        <v>5488</v>
      </c>
      <c r="C1458" t="s">
        <v>5489</v>
      </c>
      <c r="D1458" t="s">
        <v>5490</v>
      </c>
      <c r="E1458" t="s">
        <v>5491</v>
      </c>
      <c r="F1458" t="s">
        <v>118</v>
      </c>
      <c r="G1458" t="str">
        <f>HYPERLINK("https://www.facebook.com/story.php?story_fbid=4240343172711747&amp;id=274554042624033&amp;comment_id=4243412245738173")</f>
        <v>https://www.facebook.com/story.php?story_fbid=4240343172711747&amp;id=274554042624033&amp;comment_id=4243412245738173</v>
      </c>
      <c r="H1458" t="s">
        <v>119</v>
      </c>
      <c r="I1458" t="s">
        <v>4065</v>
      </c>
      <c r="J1458" t="str">
        <f>HYPERLINK("https://www.facebook.com/100006514778137")</f>
        <v>https://www.facebook.com/100006514778137</v>
      </c>
      <c r="K1458">
        <v>591</v>
      </c>
      <c r="L1458" t="s">
        <v>121</v>
      </c>
      <c r="N1458" t="s">
        <v>305</v>
      </c>
      <c r="O1458" t="s">
        <v>5492</v>
      </c>
      <c r="P1458" t="str">
        <f>HYPERLINK("https://www.facebook.com/274554042624033")</f>
        <v>https://www.facebook.com/274554042624033</v>
      </c>
      <c r="Q1458">
        <v>13218</v>
      </c>
      <c r="R1458" t="s">
        <v>124</v>
      </c>
      <c r="S1458" t="s">
        <v>125</v>
      </c>
      <c r="T1458" t="s">
        <v>264</v>
      </c>
      <c r="U1458" t="s">
        <v>265</v>
      </c>
      <c r="W1458">
        <v>0</v>
      </c>
      <c r="X1458">
        <v>0</v>
      </c>
      <c r="AE1458">
        <v>0</v>
      </c>
      <c r="AM1458" t="s">
        <v>129</v>
      </c>
      <c r="AN1458" t="s">
        <v>130</v>
      </c>
      <c r="AP1458" t="s">
        <v>41</v>
      </c>
      <c r="AZ1458" t="s">
        <v>51</v>
      </c>
      <c r="BA1458" t="s">
        <v>52</v>
      </c>
      <c r="BM1458" t="s">
        <v>64</v>
      </c>
    </row>
    <row r="1459" spans="1:100" x14ac:dyDescent="0.2">
      <c r="A1459" t="s">
        <v>5446</v>
      </c>
      <c r="B1459" t="s">
        <v>185</v>
      </c>
      <c r="C1459" t="s">
        <v>5481</v>
      </c>
      <c r="D1459" t="s">
        <v>4505</v>
      </c>
      <c r="E1459" t="s">
        <v>5493</v>
      </c>
      <c r="F1459" t="s">
        <v>118</v>
      </c>
      <c r="G1459" t="str">
        <f>HYPERLINK("https://vk.com/wall-22935147_368528?reply=368534")</f>
        <v>https://vk.com/wall-22935147_368528?reply=368534</v>
      </c>
      <c r="H1459" t="s">
        <v>228</v>
      </c>
      <c r="I1459" t="s">
        <v>5494</v>
      </c>
      <c r="J1459" t="str">
        <f>HYPERLINK("http://vk.com/id191196273")</f>
        <v>http://vk.com/id191196273</v>
      </c>
      <c r="K1459">
        <v>64</v>
      </c>
      <c r="L1459" t="s">
        <v>121</v>
      </c>
      <c r="M1459">
        <v>45</v>
      </c>
      <c r="N1459" t="s">
        <v>122</v>
      </c>
      <c r="O1459" t="s">
        <v>1093</v>
      </c>
      <c r="P1459" t="str">
        <f>HYPERLINK("http://vk.com/club22935147")</f>
        <v>http://vk.com/club22935147</v>
      </c>
      <c r="Q1459">
        <v>8943</v>
      </c>
      <c r="R1459" t="s">
        <v>124</v>
      </c>
      <c r="S1459" t="s">
        <v>125</v>
      </c>
      <c r="T1459" t="s">
        <v>2225</v>
      </c>
      <c r="U1459" t="s">
        <v>2861</v>
      </c>
      <c r="W1459">
        <v>0</v>
      </c>
      <c r="X1459">
        <v>0</v>
      </c>
      <c r="AM1459" t="s">
        <v>129</v>
      </c>
      <c r="AN1459" t="s">
        <v>130</v>
      </c>
      <c r="AP1459" t="s">
        <v>41</v>
      </c>
      <c r="AU1459" t="s">
        <v>46</v>
      </c>
      <c r="AY1459" t="s">
        <v>50</v>
      </c>
      <c r="AZ1459" t="s">
        <v>51</v>
      </c>
      <c r="BA1459" t="s">
        <v>52</v>
      </c>
    </row>
    <row r="1460" spans="1:100" x14ac:dyDescent="0.2">
      <c r="A1460" t="s">
        <v>5446</v>
      </c>
      <c r="B1460" t="s">
        <v>191</v>
      </c>
      <c r="C1460" t="s">
        <v>5481</v>
      </c>
      <c r="D1460" t="s">
        <v>4505</v>
      </c>
      <c r="E1460" t="s">
        <v>5495</v>
      </c>
      <c r="F1460" t="s">
        <v>118</v>
      </c>
      <c r="G1460" t="str">
        <f>HYPERLINK("https://vk.com/wall-22935147_368528?w=wall-22935147_368528_r368533")</f>
        <v>https://vk.com/wall-22935147_368528?w=wall-22935147_368528_r368533</v>
      </c>
      <c r="H1460" t="s">
        <v>119</v>
      </c>
      <c r="I1460" t="s">
        <v>2906</v>
      </c>
      <c r="J1460" t="str">
        <f>HYPERLINK("http://vk.com/id72308876")</f>
        <v>http://vk.com/id72308876</v>
      </c>
      <c r="K1460">
        <v>466</v>
      </c>
      <c r="L1460" t="s">
        <v>121</v>
      </c>
      <c r="M1460">
        <v>36</v>
      </c>
      <c r="N1460" t="s">
        <v>122</v>
      </c>
      <c r="O1460" t="s">
        <v>1093</v>
      </c>
      <c r="P1460" t="str">
        <f>HYPERLINK("http://vk.com/club22935147")</f>
        <v>http://vk.com/club22935147</v>
      </c>
      <c r="Q1460">
        <v>8943</v>
      </c>
      <c r="R1460" t="s">
        <v>124</v>
      </c>
      <c r="S1460" t="s">
        <v>125</v>
      </c>
      <c r="T1460" t="s">
        <v>1365</v>
      </c>
      <c r="U1460" t="s">
        <v>2907</v>
      </c>
      <c r="W1460">
        <v>0</v>
      </c>
      <c r="X1460">
        <v>0</v>
      </c>
      <c r="AM1460" t="s">
        <v>129</v>
      </c>
      <c r="AN1460" t="s">
        <v>130</v>
      </c>
      <c r="AP1460" t="s">
        <v>41</v>
      </c>
      <c r="AU1460" t="s">
        <v>46</v>
      </c>
      <c r="AZ1460" t="s">
        <v>51</v>
      </c>
      <c r="BA1460" t="s">
        <v>52</v>
      </c>
    </row>
    <row r="1461" spans="1:100" x14ac:dyDescent="0.2">
      <c r="A1461" t="s">
        <v>5446</v>
      </c>
      <c r="B1461" t="s">
        <v>196</v>
      </c>
      <c r="C1461" t="s">
        <v>5496</v>
      </c>
      <c r="D1461" t="s">
        <v>4609</v>
      </c>
      <c r="E1461" t="s">
        <v>5497</v>
      </c>
      <c r="F1461" t="s">
        <v>118</v>
      </c>
      <c r="G1461" t="str">
        <f>HYPERLINK("https://pikabu.ru/story/trikolor_tv_reklamnyiy_baner_kotoryiy_besitmalenkiy_layfkhak_8353681?cid=206702257")</f>
        <v>https://pikabu.ru/story/trikolor_tv_reklamnyiy_baner_kotoryiy_besitmalenkiy_layfkhak_8353681?cid=206702257</v>
      </c>
      <c r="H1461" t="s">
        <v>228</v>
      </c>
      <c r="I1461" t="s">
        <v>4980</v>
      </c>
      <c r="J1461" t="str">
        <f>HYPERLINK("http://pikabu.ru/profile/Ramadanta")</f>
        <v>http://pikabu.ru/profile/Ramadanta</v>
      </c>
      <c r="N1461" t="s">
        <v>402</v>
      </c>
      <c r="O1461" t="s">
        <v>4612</v>
      </c>
      <c r="P1461" t="str">
        <f>HYPERLINK("http://pikabu.ru/profile/Soonk80")</f>
        <v>http://pikabu.ru/profile/Soonk80</v>
      </c>
      <c r="R1461" t="s">
        <v>404</v>
      </c>
      <c r="AM1461" t="s">
        <v>129</v>
      </c>
      <c r="AN1461" t="s">
        <v>130</v>
      </c>
      <c r="AP1461" t="s">
        <v>41</v>
      </c>
      <c r="AX1461" t="s">
        <v>49</v>
      </c>
      <c r="AY1461" t="s">
        <v>50</v>
      </c>
      <c r="AZ1461" t="s">
        <v>51</v>
      </c>
      <c r="BA1461" t="s">
        <v>52</v>
      </c>
      <c r="BL1461" t="s">
        <v>63</v>
      </c>
      <c r="CV1461" t="s">
        <v>99</v>
      </c>
    </row>
    <row r="1462" spans="1:100" x14ac:dyDescent="0.2">
      <c r="A1462" t="s">
        <v>5446</v>
      </c>
      <c r="B1462" t="s">
        <v>5498</v>
      </c>
      <c r="C1462" t="s">
        <v>5499</v>
      </c>
      <c r="D1462" t="s">
        <v>5500</v>
      </c>
      <c r="E1462" t="s">
        <v>5501</v>
      </c>
      <c r="F1462" t="s">
        <v>118</v>
      </c>
      <c r="G1462" t="str">
        <f>HYPERLINK("https://vk.com/wall-108174329_121827?reply=121903")</f>
        <v>https://vk.com/wall-108174329_121827?reply=121903</v>
      </c>
      <c r="H1462" t="s">
        <v>181</v>
      </c>
      <c r="I1462" t="s">
        <v>5502</v>
      </c>
      <c r="J1462" t="str">
        <f>HYPERLINK("http://vk.com/id14405346")</f>
        <v>http://vk.com/id14405346</v>
      </c>
      <c r="K1462">
        <v>612</v>
      </c>
      <c r="L1462" t="s">
        <v>121</v>
      </c>
      <c r="M1462">
        <v>33</v>
      </c>
      <c r="N1462" t="s">
        <v>122</v>
      </c>
      <c r="O1462" t="s">
        <v>5503</v>
      </c>
      <c r="P1462" t="str">
        <f>HYPERLINK("http://vk.com/club108174329")</f>
        <v>http://vk.com/club108174329</v>
      </c>
      <c r="Q1462">
        <v>9082</v>
      </c>
      <c r="R1462" t="s">
        <v>124</v>
      </c>
      <c r="S1462" t="s">
        <v>125</v>
      </c>
      <c r="T1462" t="s">
        <v>2388</v>
      </c>
      <c r="U1462" t="s">
        <v>2389</v>
      </c>
      <c r="AM1462" t="s">
        <v>129</v>
      </c>
      <c r="AN1462" t="s">
        <v>130</v>
      </c>
      <c r="AP1462" t="s">
        <v>41</v>
      </c>
      <c r="AZ1462" t="s">
        <v>51</v>
      </c>
      <c r="BA1462" t="s">
        <v>52</v>
      </c>
    </row>
    <row r="1463" spans="1:100" x14ac:dyDescent="0.2">
      <c r="A1463" t="s">
        <v>5446</v>
      </c>
      <c r="B1463" t="s">
        <v>200</v>
      </c>
      <c r="C1463" t="s">
        <v>5481</v>
      </c>
      <c r="D1463" t="s">
        <v>4505</v>
      </c>
      <c r="E1463" t="s">
        <v>5504</v>
      </c>
      <c r="F1463" t="s">
        <v>118</v>
      </c>
      <c r="G1463" t="str">
        <f>HYPERLINK("https://vk.com/wall-22935147_368528?reply=368532")</f>
        <v>https://vk.com/wall-22935147_368528?reply=368532</v>
      </c>
      <c r="H1463" t="s">
        <v>119</v>
      </c>
      <c r="I1463" t="s">
        <v>5485</v>
      </c>
      <c r="J1463" t="str">
        <f>HYPERLINK("http://vk.com/id408670501")</f>
        <v>http://vk.com/id408670501</v>
      </c>
      <c r="K1463">
        <v>1439</v>
      </c>
      <c r="L1463" t="s">
        <v>121</v>
      </c>
      <c r="N1463" t="s">
        <v>122</v>
      </c>
      <c r="O1463" t="s">
        <v>1093</v>
      </c>
      <c r="P1463" t="str">
        <f>HYPERLINK("http://vk.com/club22935147")</f>
        <v>http://vk.com/club22935147</v>
      </c>
      <c r="Q1463">
        <v>8943</v>
      </c>
      <c r="R1463" t="s">
        <v>124</v>
      </c>
      <c r="S1463" t="s">
        <v>1884</v>
      </c>
      <c r="T1463" t="s">
        <v>5486</v>
      </c>
      <c r="U1463" t="s">
        <v>5487</v>
      </c>
      <c r="W1463">
        <v>0</v>
      </c>
      <c r="X1463">
        <v>0</v>
      </c>
      <c r="AM1463" t="s">
        <v>129</v>
      </c>
      <c r="AN1463" t="s">
        <v>130</v>
      </c>
      <c r="AP1463" t="s">
        <v>41</v>
      </c>
      <c r="AU1463" t="s">
        <v>46</v>
      </c>
      <c r="AY1463" t="s">
        <v>50</v>
      </c>
      <c r="AZ1463" t="s">
        <v>51</v>
      </c>
      <c r="BA1463" t="s">
        <v>52</v>
      </c>
    </row>
    <row r="1464" spans="1:100" x14ac:dyDescent="0.2">
      <c r="A1464" t="s">
        <v>5446</v>
      </c>
      <c r="B1464" t="s">
        <v>800</v>
      </c>
      <c r="C1464" t="s">
        <v>5505</v>
      </c>
      <c r="D1464" t="s">
        <v>129</v>
      </c>
      <c r="E1464" t="s">
        <v>5506</v>
      </c>
      <c r="F1464" t="s">
        <v>180</v>
      </c>
      <c r="G1464" t="str">
        <f>HYPERLINK("https://vk.com/wall-22935147_368527")</f>
        <v>https://vk.com/wall-22935147_368527</v>
      </c>
      <c r="H1464" t="s">
        <v>119</v>
      </c>
      <c r="I1464" t="s">
        <v>5507</v>
      </c>
      <c r="J1464" t="str">
        <f>HYPERLINK("http://vk.com/id219252108")</f>
        <v>http://vk.com/id219252108</v>
      </c>
      <c r="K1464">
        <v>0</v>
      </c>
      <c r="L1464" t="s">
        <v>151</v>
      </c>
      <c r="N1464" t="s">
        <v>122</v>
      </c>
      <c r="O1464" t="s">
        <v>1093</v>
      </c>
      <c r="P1464" t="str">
        <f>HYPERLINK("http://vk.com/club22935147")</f>
        <v>http://vk.com/club22935147</v>
      </c>
      <c r="Q1464">
        <v>8943</v>
      </c>
      <c r="R1464" t="s">
        <v>124</v>
      </c>
      <c r="S1464" t="s">
        <v>125</v>
      </c>
      <c r="T1464" t="s">
        <v>169</v>
      </c>
      <c r="U1464" t="s">
        <v>169</v>
      </c>
      <c r="W1464">
        <v>3</v>
      </c>
      <c r="X1464">
        <v>3</v>
      </c>
      <c r="AE1464">
        <v>2</v>
      </c>
      <c r="AF1464">
        <v>0</v>
      </c>
      <c r="AG1464">
        <v>1264</v>
      </c>
      <c r="AJ1464" t="s">
        <v>5508</v>
      </c>
      <c r="AK1464" t="s">
        <v>876</v>
      </c>
      <c r="AL1464" t="str">
        <f>HYPERLINK("https://sun9-85.userapi.com/impg/fDZI4tU_3H5ogdMpQ-KkIn70liaD4DYO7Vjf4A/NdNGsZN12Ok.jpg?size=793x1122&amp;quality=96&amp;sign=50839214754fe57b6a9ccbd60250ad87&amp;c_uniq_tag=A6gGaHrYVdRjcivB1rVIQSbVVPqRE5cWH7HkHSO4OC0&amp;type=album")</f>
        <v>https://sun9-85.userapi.com/impg/fDZI4tU_3H5ogdMpQ-KkIn70liaD4DYO7Vjf4A/NdNGsZN12Ok.jpg?size=793x1122&amp;quality=96&amp;sign=50839214754fe57b6a9ccbd60250ad87&amp;c_uniq_tag=A6gGaHrYVdRjcivB1rVIQSbVVPqRE5cWH7HkHSO4OC0&amp;type=album</v>
      </c>
      <c r="AM1464" t="s">
        <v>129</v>
      </c>
      <c r="AN1464" t="s">
        <v>130</v>
      </c>
      <c r="AP1464" t="s">
        <v>41</v>
      </c>
      <c r="BA1464" t="s">
        <v>52</v>
      </c>
      <c r="BE1464" t="s">
        <v>56</v>
      </c>
    </row>
    <row r="1465" spans="1:100" x14ac:dyDescent="0.2">
      <c r="A1465" t="s">
        <v>5446</v>
      </c>
      <c r="B1465" t="s">
        <v>1917</v>
      </c>
      <c r="C1465" t="s">
        <v>5509</v>
      </c>
      <c r="D1465" t="s">
        <v>5510</v>
      </c>
      <c r="E1465" t="s">
        <v>5511</v>
      </c>
      <c r="F1465" t="s">
        <v>180</v>
      </c>
      <c r="G1465" t="str">
        <f>HYPERLINK("https://www.wildberries.ru/catalog/12853209/detail.aspx?targetUrl=ES#Comments")</f>
        <v>https://www.wildberries.ru/catalog/12853209/detail.aspx?targetUrl=ES#Comments</v>
      </c>
      <c r="H1465" t="s">
        <v>119</v>
      </c>
      <c r="I1465" t="s">
        <v>3082</v>
      </c>
      <c r="J1465" t="str">
        <f>HYPERLINK("https://www.wildberries.ru/profile/w7TDssOkw7PCu8K0wrXCscK4wrXCtsK1wrg=")</f>
        <v>https://www.wildberries.ru/profile/w7TDssOkw7PCu8K0wrXCscK4wrXCtsK1wrg=</v>
      </c>
      <c r="L1465" t="s">
        <v>151</v>
      </c>
      <c r="N1465" t="s">
        <v>534</v>
      </c>
      <c r="O1465" t="s">
        <v>5512</v>
      </c>
      <c r="P1465" t="str">
        <f>HYPERLINK("https://www.wildberries.ru/catalog/9640919/detail.aspx")</f>
        <v>https://www.wildberries.ru/catalog/9640919/detail.aspx</v>
      </c>
      <c r="R1465" t="s">
        <v>184</v>
      </c>
      <c r="S1465" t="s">
        <v>125</v>
      </c>
      <c r="W1465">
        <v>0</v>
      </c>
      <c r="X1465">
        <v>0</v>
      </c>
      <c r="AH1465">
        <v>1</v>
      </c>
      <c r="AM1465" t="s">
        <v>129</v>
      </c>
      <c r="AN1465" t="s">
        <v>130</v>
      </c>
      <c r="AP1465" t="s">
        <v>41</v>
      </c>
      <c r="AZ1465" t="s">
        <v>51</v>
      </c>
      <c r="BA1465" t="s">
        <v>52</v>
      </c>
      <c r="BK1465" t="s">
        <v>62</v>
      </c>
      <c r="BL1465" t="s">
        <v>63</v>
      </c>
    </row>
    <row r="1466" spans="1:100" x14ac:dyDescent="0.2">
      <c r="A1466" t="s">
        <v>5446</v>
      </c>
      <c r="B1466" t="s">
        <v>214</v>
      </c>
      <c r="C1466" t="s">
        <v>5513</v>
      </c>
      <c r="D1466" t="s">
        <v>4609</v>
      </c>
      <c r="E1466" t="s">
        <v>5514</v>
      </c>
      <c r="F1466" t="s">
        <v>118</v>
      </c>
      <c r="G1466" t="str">
        <f>HYPERLINK("https://pikabu.ru/story/trikolor_tv_reklamnyiy_baner_kotoryiy_besitmalenkiy_layfkhak_8353681?cid=206699926")</f>
        <v>https://pikabu.ru/story/trikolor_tv_reklamnyiy_baner_kotoryiy_besitmalenkiy_layfkhak_8353681?cid=206699926</v>
      </c>
      <c r="H1466" t="s">
        <v>119</v>
      </c>
      <c r="I1466" t="s">
        <v>5515</v>
      </c>
      <c r="J1466" t="str">
        <f>HYPERLINK("http://pikabu.ru/profile/CucuRuku")</f>
        <v>http://pikabu.ru/profile/CucuRuku</v>
      </c>
      <c r="N1466" t="s">
        <v>402</v>
      </c>
      <c r="O1466" t="s">
        <v>4612</v>
      </c>
      <c r="P1466" t="str">
        <f>HYPERLINK("http://pikabu.ru/profile/Soonk80")</f>
        <v>http://pikabu.ru/profile/Soonk80</v>
      </c>
      <c r="R1466" t="s">
        <v>404</v>
      </c>
      <c r="AM1466" t="s">
        <v>129</v>
      </c>
      <c r="AN1466" t="s">
        <v>130</v>
      </c>
      <c r="AP1466" t="s">
        <v>41</v>
      </c>
      <c r="AU1466" t="s">
        <v>46</v>
      </c>
      <c r="AZ1466" t="s">
        <v>51</v>
      </c>
      <c r="BA1466" t="s">
        <v>52</v>
      </c>
    </row>
    <row r="1467" spans="1:100" x14ac:dyDescent="0.2">
      <c r="A1467" t="s">
        <v>5446</v>
      </c>
      <c r="B1467" t="s">
        <v>4135</v>
      </c>
      <c r="C1467" t="s">
        <v>5516</v>
      </c>
      <c r="D1467" t="s">
        <v>1727</v>
      </c>
      <c r="E1467" t="s">
        <v>5517</v>
      </c>
      <c r="F1467" t="s">
        <v>180</v>
      </c>
      <c r="G1467" t="str">
        <f>HYPERLINK("https://www.ozon.ru/context/detail/id/248909251/#60829799")</f>
        <v>https://www.ozon.ru/context/detail/id/248909251/#60829799</v>
      </c>
      <c r="H1467" t="s">
        <v>181</v>
      </c>
      <c r="I1467" t="s">
        <v>5518</v>
      </c>
      <c r="J1467" t="str">
        <f>HYPERLINK("https://www.ozon.ru/context/client_opinion/ClientGuid/a067b24a-8d66-4355-8d53-640260bbf5be/")</f>
        <v>https://www.ozon.ru/context/client_opinion/ClientGuid/a067b24a-8d66-4355-8d53-640260bbf5be/</v>
      </c>
      <c r="L1467" t="s">
        <v>151</v>
      </c>
      <c r="N1467" t="s">
        <v>183</v>
      </c>
      <c r="O1467" t="s">
        <v>1729</v>
      </c>
      <c r="P1467" t="str">
        <f>HYPERLINK("https://www.ozon.ru/context/detail/id/248909251/")</f>
        <v>https://www.ozon.ru/context/detail/id/248909251/</v>
      </c>
      <c r="R1467" t="s">
        <v>184</v>
      </c>
      <c r="S1467" t="s">
        <v>125</v>
      </c>
      <c r="W1467">
        <v>0</v>
      </c>
      <c r="X1467">
        <v>0</v>
      </c>
      <c r="AH1467">
        <v>5</v>
      </c>
      <c r="AM1467" t="s">
        <v>129</v>
      </c>
      <c r="AN1467" t="s">
        <v>130</v>
      </c>
      <c r="AP1467" t="s">
        <v>41</v>
      </c>
      <c r="AT1467" t="s">
        <v>45</v>
      </c>
      <c r="AZ1467" t="s">
        <v>51</v>
      </c>
      <c r="BA1467" t="s">
        <v>52</v>
      </c>
      <c r="BL1467" t="s">
        <v>63</v>
      </c>
    </row>
    <row r="1468" spans="1:100" x14ac:dyDescent="0.2">
      <c r="A1468" t="s">
        <v>5446</v>
      </c>
      <c r="B1468" t="s">
        <v>2367</v>
      </c>
      <c r="C1468" t="s">
        <v>5519</v>
      </c>
      <c r="D1468" t="s">
        <v>1336</v>
      </c>
      <c r="E1468" t="s">
        <v>5520</v>
      </c>
      <c r="F1468" t="s">
        <v>118</v>
      </c>
      <c r="G1468" t="str">
        <f>HYPERLINK("https://www.youtube.com/watch?v=XSvUHFcHCNU&amp;lc=UgydbgjUSaArxlb4UF94AaABAg")</f>
        <v>https://www.youtube.com/watch?v=XSvUHFcHCNU&amp;lc=UgydbgjUSaArxlb4UF94AaABAg</v>
      </c>
      <c r="H1468" t="s">
        <v>119</v>
      </c>
      <c r="I1468" t="s">
        <v>5521</v>
      </c>
      <c r="J1468" t="str">
        <f>HYPERLINK("https://www.youtube.com/channel/UCiy0qE4uZ-TST4bk2BEmvfA")</f>
        <v>https://www.youtube.com/channel/UCiy0qE4uZ-TST4bk2BEmvfA</v>
      </c>
      <c r="K1468">
        <v>0</v>
      </c>
      <c r="L1468" t="s">
        <v>121</v>
      </c>
      <c r="N1468" t="s">
        <v>248</v>
      </c>
      <c r="O1468" t="s">
        <v>1338</v>
      </c>
      <c r="P1468" t="str">
        <f>HYPERLINK("https://www.youtube.com/channel/UCbGvxMcJgZWpeT0ymfG7-RQ")</f>
        <v>https://www.youtube.com/channel/UCbGvxMcJgZWpeT0ymfG7-RQ</v>
      </c>
      <c r="Q1468">
        <v>818</v>
      </c>
      <c r="R1468" t="s">
        <v>124</v>
      </c>
      <c r="W1468">
        <v>0</v>
      </c>
      <c r="X1468">
        <v>0</v>
      </c>
      <c r="AE1468">
        <v>1</v>
      </c>
      <c r="AM1468" t="s">
        <v>129</v>
      </c>
      <c r="AN1468" t="s">
        <v>130</v>
      </c>
      <c r="AP1468" t="s">
        <v>41</v>
      </c>
      <c r="AZ1468" t="s">
        <v>51</v>
      </c>
      <c r="BA1468" t="s">
        <v>52</v>
      </c>
      <c r="BL1468" t="s">
        <v>63</v>
      </c>
      <c r="BO1468" t="s">
        <v>66</v>
      </c>
    </row>
    <row r="1469" spans="1:100" x14ac:dyDescent="0.2">
      <c r="A1469" t="s">
        <v>5446</v>
      </c>
      <c r="B1469" t="s">
        <v>1334</v>
      </c>
      <c r="C1469" t="s">
        <v>5522</v>
      </c>
      <c r="D1469" t="s">
        <v>4609</v>
      </c>
      <c r="E1469" t="s">
        <v>5523</v>
      </c>
      <c r="F1469" t="s">
        <v>118</v>
      </c>
      <c r="G1469" t="str">
        <f>HYPERLINK("https://pikabu.ru/story/trikolor_tv_reklamnyiy_baner_kotoryiy_besitmalenkiy_layfkhak_8353681?cid=206698052")</f>
        <v>https://pikabu.ru/story/trikolor_tv_reklamnyiy_baner_kotoryiy_besitmalenkiy_layfkhak_8353681?cid=206698052</v>
      </c>
      <c r="H1469" t="s">
        <v>228</v>
      </c>
      <c r="I1469" t="s">
        <v>5524</v>
      </c>
      <c r="J1469" t="str">
        <f>HYPERLINK("http://pikabu.ru/profile/Zamaxa")</f>
        <v>http://pikabu.ru/profile/Zamaxa</v>
      </c>
      <c r="N1469" t="s">
        <v>402</v>
      </c>
      <c r="O1469" t="s">
        <v>4612</v>
      </c>
      <c r="P1469" t="str">
        <f>HYPERLINK("http://pikabu.ru/profile/Soonk80")</f>
        <v>http://pikabu.ru/profile/Soonk80</v>
      </c>
      <c r="R1469" t="s">
        <v>404</v>
      </c>
      <c r="AM1469" t="s">
        <v>129</v>
      </c>
      <c r="AN1469" t="s">
        <v>130</v>
      </c>
      <c r="AP1469" t="s">
        <v>41</v>
      </c>
      <c r="AU1469" t="s">
        <v>46</v>
      </c>
      <c r="AZ1469" t="s">
        <v>51</v>
      </c>
      <c r="BA1469" t="s">
        <v>52</v>
      </c>
    </row>
    <row r="1470" spans="1:100" x14ac:dyDescent="0.2">
      <c r="A1470" t="s">
        <v>5446</v>
      </c>
      <c r="B1470" t="s">
        <v>5061</v>
      </c>
      <c r="C1470" t="s">
        <v>5525</v>
      </c>
      <c r="D1470" t="s">
        <v>2001</v>
      </c>
      <c r="E1470" t="s">
        <v>5526</v>
      </c>
      <c r="F1470" t="s">
        <v>118</v>
      </c>
      <c r="G1470" t="str">
        <f>HYPERLINK("https://vk.com/wall-27863223_291925?reply=292004&amp;thread=291927")</f>
        <v>https://vk.com/wall-27863223_291925?reply=292004&amp;thread=291927</v>
      </c>
      <c r="H1470" t="s">
        <v>119</v>
      </c>
      <c r="I1470" t="s">
        <v>2353</v>
      </c>
      <c r="J1470" t="str">
        <f>HYPERLINK("http://vk.com/id26675501")</f>
        <v>http://vk.com/id26675501</v>
      </c>
      <c r="K1470">
        <v>163</v>
      </c>
      <c r="L1470" t="s">
        <v>121</v>
      </c>
      <c r="M1470">
        <v>31</v>
      </c>
      <c r="N1470" t="s">
        <v>122</v>
      </c>
      <c r="O1470" t="s">
        <v>175</v>
      </c>
      <c r="P1470" t="str">
        <f>HYPERLINK("http://vk.com/club27863223")</f>
        <v>http://vk.com/club27863223</v>
      </c>
      <c r="Q1470">
        <v>134698</v>
      </c>
      <c r="R1470" t="s">
        <v>124</v>
      </c>
      <c r="S1470" t="s">
        <v>125</v>
      </c>
      <c r="T1470" t="s">
        <v>137</v>
      </c>
      <c r="U1470" t="s">
        <v>137</v>
      </c>
      <c r="AM1470" t="s">
        <v>129</v>
      </c>
      <c r="AN1470" t="s">
        <v>130</v>
      </c>
      <c r="AP1470" t="s">
        <v>41</v>
      </c>
      <c r="AU1470" t="s">
        <v>46</v>
      </c>
      <c r="AY1470" t="s">
        <v>50</v>
      </c>
      <c r="AZ1470" t="s">
        <v>51</v>
      </c>
      <c r="BA1470" t="s">
        <v>52</v>
      </c>
      <c r="BL1470" t="s">
        <v>63</v>
      </c>
    </row>
    <row r="1471" spans="1:100" x14ac:dyDescent="0.2">
      <c r="A1471" t="s">
        <v>5446</v>
      </c>
      <c r="B1471" t="s">
        <v>4638</v>
      </c>
      <c r="C1471" t="s">
        <v>5527</v>
      </c>
      <c r="D1471" t="s">
        <v>226</v>
      </c>
      <c r="E1471" t="s">
        <v>5528</v>
      </c>
      <c r="F1471" t="s">
        <v>118</v>
      </c>
      <c r="G1471" t="str">
        <f>HYPERLINK("https://vk.com/wall-27863223_291992?reply=292003&amp;thread=291993")</f>
        <v>https://vk.com/wall-27863223_291992?reply=292003&amp;thread=291993</v>
      </c>
      <c r="H1471" t="s">
        <v>119</v>
      </c>
      <c r="I1471" t="s">
        <v>5529</v>
      </c>
      <c r="J1471" t="str">
        <f>HYPERLINK("http://vk.com/id171583504")</f>
        <v>http://vk.com/id171583504</v>
      </c>
      <c r="K1471">
        <v>171</v>
      </c>
      <c r="L1471" t="s">
        <v>121</v>
      </c>
      <c r="N1471" t="s">
        <v>122</v>
      </c>
      <c r="O1471" t="s">
        <v>175</v>
      </c>
      <c r="P1471" t="str">
        <f>HYPERLINK("http://vk.com/club27863223")</f>
        <v>http://vk.com/club27863223</v>
      </c>
      <c r="Q1471">
        <v>134698</v>
      </c>
      <c r="R1471" t="s">
        <v>124</v>
      </c>
      <c r="S1471" t="s">
        <v>125</v>
      </c>
      <c r="T1471" t="s">
        <v>601</v>
      </c>
      <c r="U1471" t="s">
        <v>2543</v>
      </c>
      <c r="AM1471" t="s">
        <v>129</v>
      </c>
      <c r="AN1471" t="s">
        <v>130</v>
      </c>
      <c r="AP1471" t="s">
        <v>41</v>
      </c>
      <c r="AU1471" t="s">
        <v>46</v>
      </c>
      <c r="AZ1471" t="s">
        <v>51</v>
      </c>
      <c r="BA1471" t="s">
        <v>52</v>
      </c>
      <c r="BL1471" t="s">
        <v>63</v>
      </c>
      <c r="BM1471" t="s">
        <v>64</v>
      </c>
    </row>
    <row r="1472" spans="1:100" x14ac:dyDescent="0.2">
      <c r="A1472" t="s">
        <v>5446</v>
      </c>
      <c r="B1472" t="s">
        <v>5530</v>
      </c>
      <c r="C1472" t="s">
        <v>5531</v>
      </c>
      <c r="D1472" t="s">
        <v>5338</v>
      </c>
      <c r="E1472" t="s">
        <v>5532</v>
      </c>
      <c r="F1472" t="s">
        <v>118</v>
      </c>
      <c r="G1472" t="str">
        <f>HYPERLINK("https://vk.com/wall-61101621_254723?w=wall-61101621_254723_r254729")</f>
        <v>https://vk.com/wall-61101621_254723?w=wall-61101621_254723_r254729</v>
      </c>
      <c r="H1472" t="s">
        <v>119</v>
      </c>
      <c r="I1472" t="s">
        <v>3067</v>
      </c>
      <c r="J1472" t="str">
        <f>HYPERLINK("http://vk.com/id7451579")</f>
        <v>http://vk.com/id7451579</v>
      </c>
      <c r="K1472">
        <v>88</v>
      </c>
      <c r="L1472" t="s">
        <v>151</v>
      </c>
      <c r="N1472" t="s">
        <v>122</v>
      </c>
      <c r="O1472" t="s">
        <v>160</v>
      </c>
      <c r="P1472" t="str">
        <f>HYPERLINK("http://vk.com/club61101621")</f>
        <v>http://vk.com/club61101621</v>
      </c>
      <c r="Q1472">
        <v>21119</v>
      </c>
      <c r="R1472" t="s">
        <v>124</v>
      </c>
      <c r="S1472" t="s">
        <v>125</v>
      </c>
      <c r="T1472" t="s">
        <v>169</v>
      </c>
      <c r="U1472" t="s">
        <v>169</v>
      </c>
      <c r="W1472">
        <v>0</v>
      </c>
      <c r="X1472">
        <v>0</v>
      </c>
      <c r="AM1472" t="s">
        <v>129</v>
      </c>
      <c r="AN1472" t="s">
        <v>130</v>
      </c>
      <c r="AP1472" t="s">
        <v>41</v>
      </c>
      <c r="AZ1472" t="s">
        <v>51</v>
      </c>
      <c r="BA1472" t="s">
        <v>52</v>
      </c>
      <c r="BM1472" t="s">
        <v>64</v>
      </c>
    </row>
    <row r="1473" spans="1:70" x14ac:dyDescent="0.2">
      <c r="A1473" t="s">
        <v>5446</v>
      </c>
      <c r="B1473" t="s">
        <v>5533</v>
      </c>
      <c r="C1473" t="s">
        <v>5534</v>
      </c>
      <c r="D1473" t="s">
        <v>2001</v>
      </c>
      <c r="E1473" t="s">
        <v>5535</v>
      </c>
      <c r="F1473" t="s">
        <v>118</v>
      </c>
      <c r="G1473" t="str">
        <f>HYPERLINK("https://vk.com/wall-27863223_291925?reply=292001&amp;thread=291927")</f>
        <v>https://vk.com/wall-27863223_291925?reply=292001&amp;thread=291927</v>
      </c>
      <c r="H1473" t="s">
        <v>228</v>
      </c>
      <c r="I1473" t="s">
        <v>2353</v>
      </c>
      <c r="J1473" t="str">
        <f>HYPERLINK("http://vk.com/id26675501")</f>
        <v>http://vk.com/id26675501</v>
      </c>
      <c r="K1473">
        <v>163</v>
      </c>
      <c r="L1473" t="s">
        <v>121</v>
      </c>
      <c r="M1473">
        <v>31</v>
      </c>
      <c r="N1473" t="s">
        <v>122</v>
      </c>
      <c r="O1473" t="s">
        <v>175</v>
      </c>
      <c r="P1473" t="str">
        <f>HYPERLINK("http://vk.com/club27863223")</f>
        <v>http://vk.com/club27863223</v>
      </c>
      <c r="Q1473">
        <v>134698</v>
      </c>
      <c r="R1473" t="s">
        <v>124</v>
      </c>
      <c r="S1473" t="s">
        <v>125</v>
      </c>
      <c r="T1473" t="s">
        <v>137</v>
      </c>
      <c r="U1473" t="s">
        <v>137</v>
      </c>
      <c r="AM1473" t="s">
        <v>129</v>
      </c>
      <c r="AN1473" t="s">
        <v>130</v>
      </c>
      <c r="AP1473" t="s">
        <v>41</v>
      </c>
      <c r="AU1473" t="s">
        <v>46</v>
      </c>
      <c r="AZ1473" t="s">
        <v>51</v>
      </c>
      <c r="BA1473" t="s">
        <v>52</v>
      </c>
    </row>
    <row r="1474" spans="1:70" x14ac:dyDescent="0.2">
      <c r="A1474" t="s">
        <v>5446</v>
      </c>
      <c r="B1474" t="s">
        <v>5533</v>
      </c>
      <c r="C1474" t="s">
        <v>5536</v>
      </c>
      <c r="D1474" t="s">
        <v>5253</v>
      </c>
      <c r="E1474" t="s">
        <v>5537</v>
      </c>
      <c r="F1474" t="s">
        <v>118</v>
      </c>
      <c r="G1474" t="str">
        <f>HYPERLINK("https://vk.com/wall-22935147_368494?w=wall-22935147_368494_r368526")</f>
        <v>https://vk.com/wall-22935147_368494?w=wall-22935147_368494_r368526</v>
      </c>
      <c r="H1474" t="s">
        <v>119</v>
      </c>
      <c r="I1474" t="s">
        <v>3125</v>
      </c>
      <c r="J1474" t="str">
        <f>HYPERLINK("http://vk.com/id163176940")</f>
        <v>http://vk.com/id163176940</v>
      </c>
      <c r="K1474">
        <v>20</v>
      </c>
      <c r="L1474" t="s">
        <v>121</v>
      </c>
      <c r="N1474" t="s">
        <v>122</v>
      </c>
      <c r="O1474" t="s">
        <v>1093</v>
      </c>
      <c r="P1474" t="str">
        <f>HYPERLINK("http://vk.com/club22935147")</f>
        <v>http://vk.com/club22935147</v>
      </c>
      <c r="Q1474">
        <v>8943</v>
      </c>
      <c r="R1474" t="s">
        <v>124</v>
      </c>
      <c r="S1474" t="s">
        <v>125</v>
      </c>
      <c r="T1474" t="s">
        <v>1103</v>
      </c>
      <c r="U1474" t="s">
        <v>1104</v>
      </c>
      <c r="W1474">
        <v>0</v>
      </c>
      <c r="X1474">
        <v>0</v>
      </c>
      <c r="AJ1474" t="s">
        <v>5538</v>
      </c>
      <c r="AK1474" t="s">
        <v>453</v>
      </c>
      <c r="AL1474" t="str">
        <f>HYPERLINK("https://sun9-19.userapi.com/impg/cEvf5LFDmnzPZKEnyzVp6wOPxt6WM1VcbESn5g/X3o0oxGeqPU.jpg?size=1600x900&amp;quality=96&amp;sign=fcc802c715e5aae4f890232cfc173e93&amp;c_uniq_tag=Fttojg30I-DJXQzBXC0tsCI-OhYGPH3JV8JsUuvdXlU&amp;type=album")</f>
        <v>https://sun9-19.userapi.com/impg/cEvf5LFDmnzPZKEnyzVp6wOPxt6WM1VcbESn5g/X3o0oxGeqPU.jpg?size=1600x900&amp;quality=96&amp;sign=fcc802c715e5aae4f890232cfc173e93&amp;c_uniq_tag=Fttojg30I-DJXQzBXC0tsCI-OhYGPH3JV8JsUuvdXlU&amp;type=album</v>
      </c>
      <c r="AM1474" t="s">
        <v>129</v>
      </c>
      <c r="AN1474" t="s">
        <v>130</v>
      </c>
      <c r="AP1474" t="s">
        <v>41</v>
      </c>
      <c r="AZ1474" t="s">
        <v>51</v>
      </c>
      <c r="BA1474" t="s">
        <v>52</v>
      </c>
    </row>
    <row r="1475" spans="1:70" x14ac:dyDescent="0.2">
      <c r="A1475" t="s">
        <v>5446</v>
      </c>
      <c r="B1475" t="s">
        <v>1359</v>
      </c>
      <c r="C1475" t="s">
        <v>5536</v>
      </c>
      <c r="D1475" t="s">
        <v>5253</v>
      </c>
      <c r="E1475" t="s">
        <v>5537</v>
      </c>
      <c r="F1475" t="s">
        <v>118</v>
      </c>
      <c r="G1475" t="str">
        <f>HYPERLINK("https://vk.com/wall-22935147_368494?w=wall-22935147_368494_r368525")</f>
        <v>https://vk.com/wall-22935147_368494?w=wall-22935147_368494_r368525</v>
      </c>
      <c r="H1475" t="s">
        <v>119</v>
      </c>
      <c r="I1475" t="s">
        <v>3125</v>
      </c>
      <c r="J1475" t="str">
        <f>HYPERLINK("http://vk.com/id163176940")</f>
        <v>http://vk.com/id163176940</v>
      </c>
      <c r="K1475">
        <v>20</v>
      </c>
      <c r="L1475" t="s">
        <v>121</v>
      </c>
      <c r="N1475" t="s">
        <v>122</v>
      </c>
      <c r="O1475" t="s">
        <v>1093</v>
      </c>
      <c r="P1475" t="str">
        <f>HYPERLINK("http://vk.com/club22935147")</f>
        <v>http://vk.com/club22935147</v>
      </c>
      <c r="Q1475">
        <v>8943</v>
      </c>
      <c r="R1475" t="s">
        <v>124</v>
      </c>
      <c r="S1475" t="s">
        <v>125</v>
      </c>
      <c r="T1475" t="s">
        <v>1103</v>
      </c>
      <c r="U1475" t="s">
        <v>1104</v>
      </c>
      <c r="W1475">
        <v>0</v>
      </c>
      <c r="X1475">
        <v>0</v>
      </c>
      <c r="AJ1475" t="s">
        <v>5539</v>
      </c>
      <c r="AK1475" t="s">
        <v>453</v>
      </c>
      <c r="AL1475" t="str">
        <f>HYPERLINK("https://sun9-68.userapi.com/impg/1sygI0okXT9BtuK7GwUGXbhBZgJZ2NmPUmGmmg/3Xta1oRKYb4.jpg?size=1600x900&amp;quality=96&amp;sign=8db03b296d80edf1b7604e2e45eb701b&amp;c_uniq_tag=1KC0m4bkpPguP7oJg9GGDZbeC4Va2R5jOE9U6MzMRXU&amp;type=album")</f>
        <v>https://sun9-68.userapi.com/impg/1sygI0okXT9BtuK7GwUGXbhBZgJZ2NmPUmGmmg/3Xta1oRKYb4.jpg?size=1600x900&amp;quality=96&amp;sign=8db03b296d80edf1b7604e2e45eb701b&amp;c_uniq_tag=1KC0m4bkpPguP7oJg9GGDZbeC4Va2R5jOE9U6MzMRXU&amp;type=album</v>
      </c>
      <c r="AM1475" t="s">
        <v>129</v>
      </c>
      <c r="AN1475" t="s">
        <v>130</v>
      </c>
      <c r="AP1475" t="s">
        <v>41</v>
      </c>
      <c r="AZ1475" t="s">
        <v>51</v>
      </c>
      <c r="BA1475" t="s">
        <v>52</v>
      </c>
    </row>
    <row r="1476" spans="1:70" x14ac:dyDescent="0.2">
      <c r="A1476" t="s">
        <v>5446</v>
      </c>
      <c r="B1476" t="s">
        <v>1359</v>
      </c>
      <c r="C1476" t="s">
        <v>5540</v>
      </c>
      <c r="D1476" t="s">
        <v>5541</v>
      </c>
      <c r="E1476" t="s">
        <v>5542</v>
      </c>
      <c r="F1476" t="s">
        <v>118</v>
      </c>
      <c r="G1476" t="str">
        <f>HYPERLINK("https://vk.com/wall-169396402_35634?reply=35646")</f>
        <v>https://vk.com/wall-169396402_35634?reply=35646</v>
      </c>
      <c r="H1476" t="s">
        <v>119</v>
      </c>
      <c r="I1476" t="s">
        <v>5543</v>
      </c>
      <c r="J1476" t="str">
        <f>HYPERLINK("http://vk.com/id5668345")</f>
        <v>http://vk.com/id5668345</v>
      </c>
      <c r="K1476">
        <v>296</v>
      </c>
      <c r="L1476" t="s">
        <v>121</v>
      </c>
      <c r="N1476" t="s">
        <v>122</v>
      </c>
      <c r="O1476" t="s">
        <v>5544</v>
      </c>
      <c r="P1476" t="str">
        <f>HYPERLINK("http://vk.com/club169396402")</f>
        <v>http://vk.com/club169396402</v>
      </c>
      <c r="Q1476">
        <v>2277</v>
      </c>
      <c r="R1476" t="s">
        <v>124</v>
      </c>
      <c r="S1476" t="s">
        <v>125</v>
      </c>
      <c r="AM1476" t="s">
        <v>129</v>
      </c>
      <c r="AN1476" t="s">
        <v>130</v>
      </c>
      <c r="AP1476" t="s">
        <v>41</v>
      </c>
      <c r="AT1476" t="s">
        <v>45</v>
      </c>
      <c r="AZ1476" t="s">
        <v>51</v>
      </c>
      <c r="BA1476" t="s">
        <v>52</v>
      </c>
      <c r="BM1476" t="s">
        <v>64</v>
      </c>
    </row>
    <row r="1477" spans="1:70" x14ac:dyDescent="0.2">
      <c r="A1477" t="s">
        <v>5446</v>
      </c>
      <c r="B1477" t="s">
        <v>1359</v>
      </c>
      <c r="C1477" t="s">
        <v>5536</v>
      </c>
      <c r="D1477" t="s">
        <v>5253</v>
      </c>
      <c r="E1477" t="s">
        <v>5537</v>
      </c>
      <c r="F1477" t="s">
        <v>118</v>
      </c>
      <c r="G1477" t="str">
        <f>HYPERLINK("https://vk.com/wall-22935147_368494?w=wall-22935147_368494_r368524")</f>
        <v>https://vk.com/wall-22935147_368494?w=wall-22935147_368494_r368524</v>
      </c>
      <c r="H1477" t="s">
        <v>119</v>
      </c>
      <c r="I1477" t="s">
        <v>3125</v>
      </c>
      <c r="J1477" t="str">
        <f>HYPERLINK("http://vk.com/id163176940")</f>
        <v>http://vk.com/id163176940</v>
      </c>
      <c r="K1477">
        <v>20</v>
      </c>
      <c r="L1477" t="s">
        <v>121</v>
      </c>
      <c r="N1477" t="s">
        <v>122</v>
      </c>
      <c r="O1477" t="s">
        <v>1093</v>
      </c>
      <c r="P1477" t="str">
        <f>HYPERLINK("http://vk.com/club22935147")</f>
        <v>http://vk.com/club22935147</v>
      </c>
      <c r="Q1477">
        <v>8943</v>
      </c>
      <c r="R1477" t="s">
        <v>124</v>
      </c>
      <c r="S1477" t="s">
        <v>125</v>
      </c>
      <c r="T1477" t="s">
        <v>1103</v>
      </c>
      <c r="U1477" t="s">
        <v>1104</v>
      </c>
      <c r="W1477">
        <v>0</v>
      </c>
      <c r="X1477">
        <v>0</v>
      </c>
      <c r="AJ1477" t="s">
        <v>5545</v>
      </c>
      <c r="AK1477" t="s">
        <v>5546</v>
      </c>
      <c r="AL1477" t="str">
        <f>HYPERLINK("https://sun9-60.userapi.com/impg/mcWOB3fyMazpvWWrUxzecKvwbH7bu_zY3z2NIA/UW-Um32NPRY.jpg?size=1600x900&amp;quality=96&amp;sign=d32c3d23c2a1c7a1413d1aa39273ea79&amp;c_uniq_tag=tgTs8AhvaSlOOyluxRsizHSf4PcVTwoG0wj9UN46SVw&amp;type=album")</f>
        <v>https://sun9-60.userapi.com/impg/mcWOB3fyMazpvWWrUxzecKvwbH7bu_zY3z2NIA/UW-Um32NPRY.jpg?size=1600x900&amp;quality=96&amp;sign=d32c3d23c2a1c7a1413d1aa39273ea79&amp;c_uniq_tag=tgTs8AhvaSlOOyluxRsizHSf4PcVTwoG0wj9UN46SVw&amp;type=album</v>
      </c>
      <c r="AM1477" t="s">
        <v>129</v>
      </c>
      <c r="AN1477" t="s">
        <v>130</v>
      </c>
      <c r="AP1477" t="s">
        <v>41</v>
      </c>
      <c r="AZ1477" t="s">
        <v>51</v>
      </c>
      <c r="BA1477" t="s">
        <v>52</v>
      </c>
    </row>
    <row r="1478" spans="1:70" x14ac:dyDescent="0.2">
      <c r="A1478" t="s">
        <v>5446</v>
      </c>
      <c r="B1478" t="s">
        <v>2396</v>
      </c>
      <c r="C1478" t="s">
        <v>5536</v>
      </c>
      <c r="D1478" t="s">
        <v>5253</v>
      </c>
      <c r="E1478" t="s">
        <v>5537</v>
      </c>
      <c r="F1478" t="s">
        <v>118</v>
      </c>
      <c r="G1478" t="str">
        <f>HYPERLINK("https://vk.com/wall-22935147_368494?w=wall-22935147_368494_r368523")</f>
        <v>https://vk.com/wall-22935147_368494?w=wall-22935147_368494_r368523</v>
      </c>
      <c r="H1478" t="s">
        <v>119</v>
      </c>
      <c r="I1478" t="s">
        <v>3125</v>
      </c>
      <c r="J1478" t="str">
        <f>HYPERLINK("http://vk.com/id163176940")</f>
        <v>http://vk.com/id163176940</v>
      </c>
      <c r="K1478">
        <v>20</v>
      </c>
      <c r="L1478" t="s">
        <v>121</v>
      </c>
      <c r="N1478" t="s">
        <v>122</v>
      </c>
      <c r="O1478" t="s">
        <v>1093</v>
      </c>
      <c r="P1478" t="str">
        <f>HYPERLINK("http://vk.com/club22935147")</f>
        <v>http://vk.com/club22935147</v>
      </c>
      <c r="Q1478">
        <v>8943</v>
      </c>
      <c r="R1478" t="s">
        <v>124</v>
      </c>
      <c r="S1478" t="s">
        <v>125</v>
      </c>
      <c r="T1478" t="s">
        <v>1103</v>
      </c>
      <c r="U1478" t="s">
        <v>1104</v>
      </c>
      <c r="W1478">
        <v>0</v>
      </c>
      <c r="X1478">
        <v>0</v>
      </c>
      <c r="AJ1478" t="s">
        <v>5547</v>
      </c>
      <c r="AK1478" t="s">
        <v>453</v>
      </c>
      <c r="AL1478" t="str">
        <f>HYPERLINK("https://sun9-28.userapi.com/impg/t1qozRk-yN3cFtvJ9pIuvVvbSQc-rxMQx3gCiQ/cuQHC_eCLwA.jpg?size=1600x900&amp;quality=96&amp;sign=73b0a9b25c916f96f1910a6d8631afb3&amp;c_uniq_tag=Q1BQT1dhtcFAsqhLdMsJU0kyLsVKOk3WvYlve1w_jqw&amp;type=album")</f>
        <v>https://sun9-28.userapi.com/impg/t1qozRk-yN3cFtvJ9pIuvVvbSQc-rxMQx3gCiQ/cuQHC_eCLwA.jpg?size=1600x900&amp;quality=96&amp;sign=73b0a9b25c916f96f1910a6d8631afb3&amp;c_uniq_tag=Q1BQT1dhtcFAsqhLdMsJU0kyLsVKOk3WvYlve1w_jqw&amp;type=album</v>
      </c>
      <c r="AM1478" t="s">
        <v>129</v>
      </c>
      <c r="AN1478" t="s">
        <v>130</v>
      </c>
      <c r="AP1478" t="s">
        <v>41</v>
      </c>
      <c r="AZ1478" t="s">
        <v>51</v>
      </c>
      <c r="BA1478" t="s">
        <v>52</v>
      </c>
    </row>
    <row r="1479" spans="1:70" x14ac:dyDescent="0.2">
      <c r="A1479" t="s">
        <v>5446</v>
      </c>
      <c r="B1479" t="s">
        <v>5548</v>
      </c>
      <c r="C1479" t="s">
        <v>5536</v>
      </c>
      <c r="D1479" t="s">
        <v>5253</v>
      </c>
      <c r="E1479" t="s">
        <v>5549</v>
      </c>
      <c r="F1479" t="s">
        <v>118</v>
      </c>
      <c r="G1479" t="str">
        <f>HYPERLINK("https://vk.com/wall-22935147_368494?w=wall-22935147_368494_r368522")</f>
        <v>https://vk.com/wall-22935147_368494?w=wall-22935147_368494_r368522</v>
      </c>
      <c r="H1479" t="s">
        <v>119</v>
      </c>
      <c r="I1479" t="s">
        <v>3125</v>
      </c>
      <c r="J1479" t="str">
        <f>HYPERLINK("http://vk.com/id163176940")</f>
        <v>http://vk.com/id163176940</v>
      </c>
      <c r="K1479">
        <v>20</v>
      </c>
      <c r="L1479" t="s">
        <v>121</v>
      </c>
      <c r="N1479" t="s">
        <v>122</v>
      </c>
      <c r="O1479" t="s">
        <v>1093</v>
      </c>
      <c r="P1479" t="str">
        <f>HYPERLINK("http://vk.com/club22935147")</f>
        <v>http://vk.com/club22935147</v>
      </c>
      <c r="Q1479">
        <v>8943</v>
      </c>
      <c r="R1479" t="s">
        <v>124</v>
      </c>
      <c r="S1479" t="s">
        <v>125</v>
      </c>
      <c r="T1479" t="s">
        <v>1103</v>
      </c>
      <c r="U1479" t="s">
        <v>1104</v>
      </c>
      <c r="W1479">
        <v>0</v>
      </c>
      <c r="X1479">
        <v>0</v>
      </c>
      <c r="AJ1479" t="s">
        <v>5550</v>
      </c>
      <c r="AK1479" t="s">
        <v>453</v>
      </c>
      <c r="AL1479" t="str">
        <f>HYPERLINK("https://sun9-78.userapi.com/impg/1aM_Zqfw0os_KGb2XZXP3heHVFE582aSlOyhlA/Zk5v7RJ0Ryc.jpg?size=1600x900&amp;quality=96&amp;sign=171df106efd1186b895a5d8c5bf15795&amp;c_uniq_tag=4ronmGIfEcgvg5WZKT8Zl43MZlgJyfoI9iDx4g3PIqs&amp;type=album")</f>
        <v>https://sun9-78.userapi.com/impg/1aM_Zqfw0os_KGb2XZXP3heHVFE582aSlOyhlA/Zk5v7RJ0Ryc.jpg?size=1600x900&amp;quality=96&amp;sign=171df106efd1186b895a5d8c5bf15795&amp;c_uniq_tag=4ronmGIfEcgvg5WZKT8Zl43MZlgJyfoI9iDx4g3PIqs&amp;type=album</v>
      </c>
      <c r="AM1479" t="s">
        <v>129</v>
      </c>
      <c r="AN1479" t="s">
        <v>130</v>
      </c>
      <c r="AP1479" t="s">
        <v>41</v>
      </c>
      <c r="AZ1479" t="s">
        <v>51</v>
      </c>
      <c r="BA1479" t="s">
        <v>52</v>
      </c>
    </row>
    <row r="1480" spans="1:70" x14ac:dyDescent="0.2">
      <c r="A1480" t="s">
        <v>5446</v>
      </c>
      <c r="B1480" t="s">
        <v>4172</v>
      </c>
      <c r="C1480" t="s">
        <v>5531</v>
      </c>
      <c r="D1480" t="s">
        <v>5551</v>
      </c>
      <c r="E1480" t="s">
        <v>5552</v>
      </c>
      <c r="F1480" t="s">
        <v>118</v>
      </c>
      <c r="G1480" t="str">
        <f>HYPERLINK("https://vk.com/wall-22935147_368493?reply=368520")</f>
        <v>https://vk.com/wall-22935147_368493?reply=368520</v>
      </c>
      <c r="H1480" t="s">
        <v>119</v>
      </c>
      <c r="I1480" t="s">
        <v>5553</v>
      </c>
      <c r="J1480" t="str">
        <f>HYPERLINK("http://vk.com/id13434534")</f>
        <v>http://vk.com/id13434534</v>
      </c>
      <c r="K1480">
        <v>53</v>
      </c>
      <c r="L1480" t="s">
        <v>121</v>
      </c>
      <c r="N1480" t="s">
        <v>122</v>
      </c>
      <c r="O1480" t="s">
        <v>1093</v>
      </c>
      <c r="P1480" t="str">
        <f>HYPERLINK("http://vk.com/club22935147")</f>
        <v>http://vk.com/club22935147</v>
      </c>
      <c r="Q1480">
        <v>8943</v>
      </c>
      <c r="R1480" t="s">
        <v>124</v>
      </c>
      <c r="S1480" t="s">
        <v>125</v>
      </c>
      <c r="T1480" t="s">
        <v>153</v>
      </c>
      <c r="U1480" t="s">
        <v>643</v>
      </c>
      <c r="W1480">
        <v>0</v>
      </c>
      <c r="X1480">
        <v>0</v>
      </c>
      <c r="AM1480" t="s">
        <v>129</v>
      </c>
      <c r="AN1480" t="s">
        <v>130</v>
      </c>
      <c r="AP1480" t="s">
        <v>41</v>
      </c>
      <c r="AY1480" t="s">
        <v>50</v>
      </c>
      <c r="AZ1480" t="s">
        <v>51</v>
      </c>
      <c r="BA1480" t="s">
        <v>52</v>
      </c>
    </row>
    <row r="1481" spans="1:70" x14ac:dyDescent="0.2">
      <c r="A1481" t="s">
        <v>5446</v>
      </c>
      <c r="B1481" t="s">
        <v>5554</v>
      </c>
      <c r="C1481" t="s">
        <v>5555</v>
      </c>
      <c r="D1481" t="s">
        <v>5253</v>
      </c>
      <c r="E1481" t="s">
        <v>5556</v>
      </c>
      <c r="F1481" t="s">
        <v>118</v>
      </c>
      <c r="G1481" t="str">
        <f>HYPERLINK("https://vk.com/wall-22935147_368494?reply=368519&amp;thread=368515")</f>
        <v>https://vk.com/wall-22935147_368494?reply=368519&amp;thread=368515</v>
      </c>
      <c r="H1481" t="s">
        <v>119</v>
      </c>
      <c r="I1481" t="s">
        <v>5110</v>
      </c>
      <c r="J1481" t="str">
        <f>HYPERLINK("http://vk.com/id521162897")</f>
        <v>http://vk.com/id521162897</v>
      </c>
      <c r="L1481" t="s">
        <v>121</v>
      </c>
      <c r="N1481" t="s">
        <v>122</v>
      </c>
      <c r="O1481" t="s">
        <v>1093</v>
      </c>
      <c r="P1481" t="str">
        <f>HYPERLINK("http://vk.com/club22935147")</f>
        <v>http://vk.com/club22935147</v>
      </c>
      <c r="Q1481">
        <v>8943</v>
      </c>
      <c r="R1481" t="s">
        <v>124</v>
      </c>
      <c r="S1481" t="s">
        <v>125</v>
      </c>
      <c r="T1481" t="s">
        <v>169</v>
      </c>
      <c r="U1481" t="s">
        <v>169</v>
      </c>
      <c r="AM1481" t="s">
        <v>129</v>
      </c>
      <c r="AN1481" t="s">
        <v>130</v>
      </c>
      <c r="AP1481" t="s">
        <v>41</v>
      </c>
      <c r="AT1481" t="s">
        <v>45</v>
      </c>
      <c r="AU1481" t="s">
        <v>46</v>
      </c>
      <c r="AZ1481" t="s">
        <v>51</v>
      </c>
      <c r="BA1481" t="s">
        <v>52</v>
      </c>
    </row>
    <row r="1482" spans="1:70" x14ac:dyDescent="0.2">
      <c r="A1482" t="s">
        <v>5446</v>
      </c>
      <c r="B1482" t="s">
        <v>5554</v>
      </c>
      <c r="C1482" t="s">
        <v>5557</v>
      </c>
      <c r="D1482" t="s">
        <v>967</v>
      </c>
      <c r="E1482" t="s">
        <v>5558</v>
      </c>
      <c r="F1482" t="s">
        <v>180</v>
      </c>
      <c r="G1482" t="str">
        <f>HYPERLINK("https://www.wildberries.ru/catalog/26952626/detail.aspx?targetUrl=ES#Comments")</f>
        <v>https://www.wildberries.ru/catalog/26952626/detail.aspx?targetUrl=ES#Comments</v>
      </c>
      <c r="H1482" t="s">
        <v>181</v>
      </c>
      <c r="I1482" t="s">
        <v>5559</v>
      </c>
      <c r="J1482" t="str">
        <f>HYPERLINK("https://www.wildberries.ru/profile/w7TDssOkw7PCu8KywrDCtcK4wrbCtcK5wrA=")</f>
        <v>https://www.wildberries.ru/profile/w7TDssOkw7PCu8KywrDCtcK4wrbCtcK5wrA=</v>
      </c>
      <c r="L1482" t="s">
        <v>121</v>
      </c>
      <c r="N1482" t="s">
        <v>534</v>
      </c>
      <c r="O1482" t="s">
        <v>967</v>
      </c>
      <c r="P1482" t="str">
        <f>HYPERLINK("https://www.wildberries.ru/catalog/19754871/detail.aspx")</f>
        <v>https://www.wildberries.ru/catalog/19754871/detail.aspx</v>
      </c>
      <c r="R1482" t="s">
        <v>184</v>
      </c>
      <c r="S1482" t="s">
        <v>125</v>
      </c>
      <c r="W1482">
        <v>0</v>
      </c>
      <c r="X1482">
        <v>0</v>
      </c>
      <c r="AH1482">
        <v>5</v>
      </c>
      <c r="AM1482" t="s">
        <v>129</v>
      </c>
      <c r="AN1482" t="s">
        <v>130</v>
      </c>
      <c r="AP1482" t="s">
        <v>41</v>
      </c>
      <c r="AT1482" t="s">
        <v>45</v>
      </c>
      <c r="AZ1482" t="s">
        <v>51</v>
      </c>
      <c r="BA1482" t="s">
        <v>52</v>
      </c>
    </row>
    <row r="1483" spans="1:70" x14ac:dyDescent="0.2">
      <c r="A1483" t="s">
        <v>5446</v>
      </c>
      <c r="B1483" t="s">
        <v>830</v>
      </c>
      <c r="C1483" t="s">
        <v>5560</v>
      </c>
      <c r="D1483" t="s">
        <v>5561</v>
      </c>
      <c r="E1483" t="s">
        <v>5562</v>
      </c>
      <c r="F1483" t="s">
        <v>118</v>
      </c>
      <c r="G1483" t="str">
        <f>HYPERLINK("https://www.youtube.com/watch?v=f7I61v_Z_Qk&amp;lc=UgwScUTpkzLJw4kRGud4AaABAg")</f>
        <v>https://www.youtube.com/watch?v=f7I61v_Z_Qk&amp;lc=UgwScUTpkzLJw4kRGud4AaABAg</v>
      </c>
      <c r="H1483" t="s">
        <v>119</v>
      </c>
      <c r="I1483" t="s">
        <v>5563</v>
      </c>
      <c r="J1483" t="str">
        <f>HYPERLINK("https://www.youtube.com/channel/UC-gvuCF1ntxYtyABlwfK4VQ")</f>
        <v>https://www.youtube.com/channel/UC-gvuCF1ntxYtyABlwfK4VQ</v>
      </c>
      <c r="K1483">
        <v>0</v>
      </c>
      <c r="N1483" t="s">
        <v>248</v>
      </c>
      <c r="O1483" t="s">
        <v>5564</v>
      </c>
      <c r="P1483" t="str">
        <f>HYPERLINK("https://www.youtube.com/channel/UCTUx4EVcZIIKPG517num88g")</f>
        <v>https://www.youtube.com/channel/UCTUx4EVcZIIKPG517num88g</v>
      </c>
      <c r="Q1483">
        <v>2430</v>
      </c>
      <c r="R1483" t="s">
        <v>124</v>
      </c>
      <c r="S1483" t="s">
        <v>125</v>
      </c>
      <c r="W1483">
        <v>0</v>
      </c>
      <c r="X1483">
        <v>0</v>
      </c>
      <c r="AE1483">
        <v>0</v>
      </c>
      <c r="AM1483" t="s">
        <v>129</v>
      </c>
      <c r="AN1483" t="s">
        <v>130</v>
      </c>
      <c r="AP1483" t="s">
        <v>41</v>
      </c>
      <c r="AT1483" t="s">
        <v>45</v>
      </c>
      <c r="AZ1483" t="s">
        <v>51</v>
      </c>
      <c r="BA1483" t="s">
        <v>52</v>
      </c>
      <c r="BM1483" t="s">
        <v>64</v>
      </c>
    </row>
    <row r="1484" spans="1:70" x14ac:dyDescent="0.2">
      <c r="A1484" t="s">
        <v>5446</v>
      </c>
      <c r="B1484" t="s">
        <v>5565</v>
      </c>
      <c r="C1484" t="s">
        <v>5566</v>
      </c>
      <c r="D1484" t="s">
        <v>5567</v>
      </c>
      <c r="E1484" t="s">
        <v>5568</v>
      </c>
      <c r="F1484" t="s">
        <v>118</v>
      </c>
      <c r="G1484" t="str">
        <f>HYPERLINK("https://vk.com/wall-61101621_254722?reply=254728&amp;thread=254727")</f>
        <v>https://vk.com/wall-61101621_254722?reply=254728&amp;thread=254727</v>
      </c>
      <c r="H1484" t="s">
        <v>119</v>
      </c>
      <c r="I1484" t="s">
        <v>3125</v>
      </c>
      <c r="J1484" t="str">
        <f>HYPERLINK("http://vk.com/id163176940")</f>
        <v>http://vk.com/id163176940</v>
      </c>
      <c r="K1484">
        <v>20</v>
      </c>
      <c r="L1484" t="s">
        <v>121</v>
      </c>
      <c r="N1484" t="s">
        <v>122</v>
      </c>
      <c r="O1484" t="s">
        <v>160</v>
      </c>
      <c r="P1484" t="str">
        <f>HYPERLINK("http://vk.com/club61101621")</f>
        <v>http://vk.com/club61101621</v>
      </c>
      <c r="Q1484">
        <v>21119</v>
      </c>
      <c r="R1484" t="s">
        <v>124</v>
      </c>
      <c r="S1484" t="s">
        <v>125</v>
      </c>
      <c r="T1484" t="s">
        <v>1103</v>
      </c>
      <c r="U1484" t="s">
        <v>1104</v>
      </c>
      <c r="AM1484" t="s">
        <v>129</v>
      </c>
      <c r="AN1484" t="s">
        <v>130</v>
      </c>
      <c r="AP1484" t="s">
        <v>41</v>
      </c>
      <c r="AU1484" t="s">
        <v>46</v>
      </c>
      <c r="AZ1484" t="s">
        <v>51</v>
      </c>
      <c r="BA1484" t="s">
        <v>52</v>
      </c>
    </row>
    <row r="1485" spans="1:70" x14ac:dyDescent="0.2">
      <c r="A1485" t="s">
        <v>5446</v>
      </c>
      <c r="B1485" t="s">
        <v>5569</v>
      </c>
      <c r="C1485" t="s">
        <v>5570</v>
      </c>
      <c r="D1485" t="s">
        <v>5253</v>
      </c>
      <c r="E1485" t="s">
        <v>5571</v>
      </c>
      <c r="F1485" t="s">
        <v>118</v>
      </c>
      <c r="G1485" t="str">
        <f>HYPERLINK("https://vk.com/wall-22935147_368494?w=wall-22935147_368494_r368517")</f>
        <v>https://vk.com/wall-22935147_368494?w=wall-22935147_368494_r368517</v>
      </c>
      <c r="H1485" t="s">
        <v>119</v>
      </c>
      <c r="I1485" t="s">
        <v>3125</v>
      </c>
      <c r="J1485" t="str">
        <f>HYPERLINK("http://vk.com/id163176940")</f>
        <v>http://vk.com/id163176940</v>
      </c>
      <c r="K1485">
        <v>20</v>
      </c>
      <c r="L1485" t="s">
        <v>121</v>
      </c>
      <c r="N1485" t="s">
        <v>122</v>
      </c>
      <c r="O1485" t="s">
        <v>1093</v>
      </c>
      <c r="P1485" t="str">
        <f>HYPERLINK("http://vk.com/club22935147")</f>
        <v>http://vk.com/club22935147</v>
      </c>
      <c r="Q1485">
        <v>8943</v>
      </c>
      <c r="R1485" t="s">
        <v>124</v>
      </c>
      <c r="S1485" t="s">
        <v>125</v>
      </c>
      <c r="T1485" t="s">
        <v>1103</v>
      </c>
      <c r="U1485" t="s">
        <v>1104</v>
      </c>
      <c r="W1485">
        <v>0</v>
      </c>
      <c r="X1485">
        <v>0</v>
      </c>
      <c r="AM1485" t="s">
        <v>129</v>
      </c>
      <c r="AN1485" t="s">
        <v>130</v>
      </c>
      <c r="AP1485" t="s">
        <v>41</v>
      </c>
      <c r="AU1485" t="s">
        <v>46</v>
      </c>
      <c r="AZ1485" t="s">
        <v>51</v>
      </c>
      <c r="BA1485" t="s">
        <v>52</v>
      </c>
    </row>
    <row r="1486" spans="1:70" x14ac:dyDescent="0.2">
      <c r="A1486" t="s">
        <v>5446</v>
      </c>
      <c r="B1486" t="s">
        <v>5572</v>
      </c>
      <c r="C1486" t="s">
        <v>5570</v>
      </c>
      <c r="D1486" t="s">
        <v>5253</v>
      </c>
      <c r="E1486" t="s">
        <v>5573</v>
      </c>
      <c r="F1486" t="s">
        <v>118</v>
      </c>
      <c r="G1486" t="str">
        <f>HYPERLINK("https://vk.com/wall-22935147_368494?w=wall-22935147_368494_r368516")</f>
        <v>https://vk.com/wall-22935147_368494?w=wall-22935147_368494_r368516</v>
      </c>
      <c r="H1486" t="s">
        <v>119</v>
      </c>
      <c r="I1486" t="s">
        <v>3125</v>
      </c>
      <c r="J1486" t="str">
        <f>HYPERLINK("http://vk.com/id163176940")</f>
        <v>http://vk.com/id163176940</v>
      </c>
      <c r="K1486">
        <v>20</v>
      </c>
      <c r="L1486" t="s">
        <v>121</v>
      </c>
      <c r="N1486" t="s">
        <v>122</v>
      </c>
      <c r="O1486" t="s">
        <v>1093</v>
      </c>
      <c r="P1486" t="str">
        <f>HYPERLINK("http://vk.com/club22935147")</f>
        <v>http://vk.com/club22935147</v>
      </c>
      <c r="Q1486">
        <v>8943</v>
      </c>
      <c r="R1486" t="s">
        <v>124</v>
      </c>
      <c r="S1486" t="s">
        <v>125</v>
      </c>
      <c r="T1486" t="s">
        <v>1103</v>
      </c>
      <c r="U1486" t="s">
        <v>1104</v>
      </c>
      <c r="W1486">
        <v>0</v>
      </c>
      <c r="X1486">
        <v>0</v>
      </c>
      <c r="AM1486" t="s">
        <v>129</v>
      </c>
      <c r="AN1486" t="s">
        <v>130</v>
      </c>
      <c r="AP1486" t="s">
        <v>41</v>
      </c>
      <c r="AZ1486" t="s">
        <v>51</v>
      </c>
      <c r="BA1486" t="s">
        <v>52</v>
      </c>
      <c r="BR1486" t="s">
        <v>69</v>
      </c>
    </row>
    <row r="1487" spans="1:70" x14ac:dyDescent="0.2">
      <c r="A1487" t="s">
        <v>5446</v>
      </c>
      <c r="B1487" t="s">
        <v>2429</v>
      </c>
      <c r="C1487" t="s">
        <v>5574</v>
      </c>
      <c r="D1487" t="s">
        <v>5253</v>
      </c>
      <c r="E1487" t="s">
        <v>5575</v>
      </c>
      <c r="F1487" t="s">
        <v>118</v>
      </c>
      <c r="G1487" t="str">
        <f>HYPERLINK("https://vk.com/wall-22935147_368494?reply=368515")</f>
        <v>https://vk.com/wall-22935147_368494?reply=368515</v>
      </c>
      <c r="H1487" t="s">
        <v>119</v>
      </c>
      <c r="I1487" t="s">
        <v>5110</v>
      </c>
      <c r="J1487" t="str">
        <f>HYPERLINK("http://vk.com/id521162897")</f>
        <v>http://vk.com/id521162897</v>
      </c>
      <c r="L1487" t="s">
        <v>121</v>
      </c>
      <c r="N1487" t="s">
        <v>122</v>
      </c>
      <c r="O1487" t="s">
        <v>1093</v>
      </c>
      <c r="P1487" t="str">
        <f>HYPERLINK("http://vk.com/club22935147")</f>
        <v>http://vk.com/club22935147</v>
      </c>
      <c r="Q1487">
        <v>8943</v>
      </c>
      <c r="R1487" t="s">
        <v>124</v>
      </c>
      <c r="S1487" t="s">
        <v>125</v>
      </c>
      <c r="T1487" t="s">
        <v>169</v>
      </c>
      <c r="U1487" t="s">
        <v>169</v>
      </c>
      <c r="W1487">
        <v>0</v>
      </c>
      <c r="X1487">
        <v>0</v>
      </c>
      <c r="AM1487" t="s">
        <v>129</v>
      </c>
      <c r="AN1487" t="s">
        <v>130</v>
      </c>
      <c r="AP1487" t="s">
        <v>41</v>
      </c>
      <c r="AU1487" t="s">
        <v>46</v>
      </c>
      <c r="AZ1487" t="s">
        <v>51</v>
      </c>
      <c r="BA1487" t="s">
        <v>52</v>
      </c>
    </row>
    <row r="1488" spans="1:70" x14ac:dyDescent="0.2">
      <c r="A1488" t="s">
        <v>5446</v>
      </c>
      <c r="B1488" t="s">
        <v>5576</v>
      </c>
      <c r="C1488" t="s">
        <v>5577</v>
      </c>
      <c r="D1488" t="s">
        <v>4609</v>
      </c>
      <c r="E1488" t="s">
        <v>5578</v>
      </c>
      <c r="F1488" t="s">
        <v>118</v>
      </c>
      <c r="G1488" t="str">
        <f>HYPERLINK("https://pikabu.ru/story/trikolor_tv_reklamnyiy_baner_kotoryiy_besitmalenkiy_layfkhak_8353681?cid=206691621")</f>
        <v>https://pikabu.ru/story/trikolor_tv_reklamnyiy_baner_kotoryiy_besitmalenkiy_layfkhak_8353681?cid=206691621</v>
      </c>
      <c r="H1488" t="s">
        <v>119</v>
      </c>
      <c r="I1488" t="s">
        <v>5579</v>
      </c>
      <c r="J1488" t="str">
        <f>HYPERLINK("http://pikabu.ru/profile/Chimgan")</f>
        <v>http://pikabu.ru/profile/Chimgan</v>
      </c>
      <c r="N1488" t="s">
        <v>402</v>
      </c>
      <c r="O1488" t="s">
        <v>4612</v>
      </c>
      <c r="P1488" t="str">
        <f>HYPERLINK("http://pikabu.ru/profile/Soonk80")</f>
        <v>http://pikabu.ru/profile/Soonk80</v>
      </c>
      <c r="R1488" t="s">
        <v>404</v>
      </c>
      <c r="AM1488" t="s">
        <v>129</v>
      </c>
      <c r="AN1488" t="s">
        <v>130</v>
      </c>
      <c r="AP1488" t="s">
        <v>41</v>
      </c>
      <c r="AT1488" t="s">
        <v>45</v>
      </c>
      <c r="AW1488" t="s">
        <v>48</v>
      </c>
      <c r="AZ1488" t="s">
        <v>51</v>
      </c>
      <c r="BA1488" t="s">
        <v>52</v>
      </c>
    </row>
    <row r="1489" spans="1:70" x14ac:dyDescent="0.2">
      <c r="A1489" t="s">
        <v>5446</v>
      </c>
      <c r="B1489" t="s">
        <v>5580</v>
      </c>
      <c r="C1489" t="s">
        <v>5581</v>
      </c>
      <c r="D1489" t="s">
        <v>5582</v>
      </c>
      <c r="E1489" t="s">
        <v>5583</v>
      </c>
      <c r="F1489" t="s">
        <v>118</v>
      </c>
      <c r="G1489" t="str">
        <f>HYPERLINK("https://vk.com/wall-67622390_427809?reply=428074&amp;thread=427889")</f>
        <v>https://vk.com/wall-67622390_427809?reply=428074&amp;thread=427889</v>
      </c>
      <c r="H1489" t="s">
        <v>119</v>
      </c>
      <c r="I1489" t="s">
        <v>5584</v>
      </c>
      <c r="J1489" t="str">
        <f>HYPERLINK("http://vk.com/id648386699")</f>
        <v>http://vk.com/id648386699</v>
      </c>
      <c r="K1489">
        <v>25</v>
      </c>
      <c r="L1489" t="s">
        <v>151</v>
      </c>
      <c r="M1489">
        <v>47</v>
      </c>
      <c r="N1489" t="s">
        <v>122</v>
      </c>
      <c r="O1489" t="s">
        <v>5585</v>
      </c>
      <c r="P1489" t="str">
        <f>HYPERLINK("http://vk.com/club67622390")</f>
        <v>http://vk.com/club67622390</v>
      </c>
      <c r="Q1489">
        <v>18439</v>
      </c>
      <c r="R1489" t="s">
        <v>124</v>
      </c>
      <c r="S1489" t="s">
        <v>125</v>
      </c>
      <c r="T1489" t="s">
        <v>1365</v>
      </c>
      <c r="U1489" t="s">
        <v>5586</v>
      </c>
      <c r="AM1489" t="s">
        <v>129</v>
      </c>
      <c r="AN1489" t="s">
        <v>130</v>
      </c>
      <c r="AP1489" t="s">
        <v>41</v>
      </c>
      <c r="AW1489" t="s">
        <v>48</v>
      </c>
      <c r="AZ1489" t="s">
        <v>51</v>
      </c>
      <c r="BB1489" t="s">
        <v>53</v>
      </c>
      <c r="BM1489" t="s">
        <v>64</v>
      </c>
    </row>
    <row r="1490" spans="1:70" x14ac:dyDescent="0.2">
      <c r="A1490" t="s">
        <v>5446</v>
      </c>
      <c r="B1490" t="s">
        <v>2431</v>
      </c>
      <c r="C1490" t="s">
        <v>5577</v>
      </c>
      <c r="D1490" t="s">
        <v>4609</v>
      </c>
      <c r="E1490" t="s">
        <v>5587</v>
      </c>
      <c r="F1490" t="s">
        <v>118</v>
      </c>
      <c r="G1490" t="str">
        <f>HYPERLINK("https://pikabu.ru/story/trikolor_tv_reklamnyiy_baner_kotoryiy_besitmalenkiy_layfkhak_8353681?cid=206691337")</f>
        <v>https://pikabu.ru/story/trikolor_tv_reklamnyiy_baner_kotoryiy_besitmalenkiy_layfkhak_8353681?cid=206691337</v>
      </c>
      <c r="H1490" t="s">
        <v>119</v>
      </c>
      <c r="I1490" t="s">
        <v>5579</v>
      </c>
      <c r="J1490" t="str">
        <f>HYPERLINK("http://pikabu.ru/profile/Chimgan")</f>
        <v>http://pikabu.ru/profile/Chimgan</v>
      </c>
      <c r="N1490" t="s">
        <v>402</v>
      </c>
      <c r="O1490" t="s">
        <v>4612</v>
      </c>
      <c r="P1490" t="str">
        <f>HYPERLINK("http://pikabu.ru/profile/Soonk80")</f>
        <v>http://pikabu.ru/profile/Soonk80</v>
      </c>
      <c r="R1490" t="s">
        <v>404</v>
      </c>
      <c r="AM1490" t="s">
        <v>129</v>
      </c>
      <c r="AN1490" t="s">
        <v>130</v>
      </c>
      <c r="AP1490" t="s">
        <v>41</v>
      </c>
      <c r="AU1490" t="s">
        <v>46</v>
      </c>
      <c r="AZ1490" t="s">
        <v>51</v>
      </c>
      <c r="BA1490" t="s">
        <v>52</v>
      </c>
      <c r="BO1490" t="s">
        <v>66</v>
      </c>
    </row>
    <row r="1491" spans="1:70" x14ac:dyDescent="0.2">
      <c r="A1491" t="s">
        <v>5446</v>
      </c>
      <c r="B1491" t="s">
        <v>1406</v>
      </c>
      <c r="C1491" t="s">
        <v>5588</v>
      </c>
      <c r="D1491" t="s">
        <v>175</v>
      </c>
      <c r="E1491" t="s">
        <v>5589</v>
      </c>
      <c r="F1491" t="s">
        <v>180</v>
      </c>
      <c r="G1491" t="str">
        <f>HYPERLINK("https://yandex.ru/maps/org/237227477572#OOS_97-KqMueojLPMw3NPcPZGeoTu2")</f>
        <v>https://yandex.ru/maps/org/237227477572#OOS_97-KqMueojLPMw3NPcPZGeoTu2</v>
      </c>
      <c r="H1491" t="s">
        <v>181</v>
      </c>
      <c r="I1491" t="s">
        <v>5590</v>
      </c>
      <c r="J1491" t="str">
        <f>HYPERLINK("https://yandex.ru/user/mmx5x7b7zb477m5fvhn5nne6bc")</f>
        <v>https://yandex.ru/user/mmx5x7b7zb477m5fvhn5nne6bc</v>
      </c>
      <c r="L1491" t="s">
        <v>151</v>
      </c>
      <c r="N1491" t="s">
        <v>236</v>
      </c>
      <c r="O1491" t="s">
        <v>175</v>
      </c>
      <c r="P1491" t="str">
        <f>HYPERLINK("https://yandex.ru/maps/org/237227477572")</f>
        <v>https://yandex.ru/maps/org/237227477572</v>
      </c>
      <c r="R1491" t="s">
        <v>184</v>
      </c>
      <c r="S1491" t="s">
        <v>125</v>
      </c>
      <c r="T1491" t="s">
        <v>1365</v>
      </c>
      <c r="U1491" t="s">
        <v>5591</v>
      </c>
      <c r="W1491">
        <v>0</v>
      </c>
      <c r="X1491">
        <v>0</v>
      </c>
      <c r="AH1491">
        <v>5</v>
      </c>
      <c r="AM1491" t="s">
        <v>129</v>
      </c>
      <c r="AN1491" t="s">
        <v>130</v>
      </c>
      <c r="AP1491" t="s">
        <v>41</v>
      </c>
      <c r="AT1491" t="s">
        <v>45</v>
      </c>
      <c r="AX1491" t="s">
        <v>49</v>
      </c>
      <c r="AZ1491" t="s">
        <v>51</v>
      </c>
      <c r="BA1491" t="s">
        <v>52</v>
      </c>
      <c r="BL1491" t="s">
        <v>63</v>
      </c>
    </row>
    <row r="1492" spans="1:70" x14ac:dyDescent="0.2">
      <c r="A1492" t="s">
        <v>5446</v>
      </c>
      <c r="B1492" t="s">
        <v>2955</v>
      </c>
      <c r="C1492" t="s">
        <v>5592</v>
      </c>
      <c r="D1492" t="s">
        <v>4454</v>
      </c>
      <c r="E1492" t="s">
        <v>5593</v>
      </c>
      <c r="F1492" t="s">
        <v>180</v>
      </c>
      <c r="G1492" t="str">
        <f>HYPERLINK("https://www.wildberries.ru/catalog/19655320/detail.aspx?targetUrl=ES#Comments")</f>
        <v>https://www.wildberries.ru/catalog/19655320/detail.aspx?targetUrl=ES#Comments</v>
      </c>
      <c r="H1492" t="s">
        <v>181</v>
      </c>
      <c r="I1492" t="s">
        <v>3460</v>
      </c>
      <c r="J1492" t="str">
        <f>HYPERLINK("https://www.wildberries.ru/profile/w7TDssOkw7PCu8KzwrLCucK2wrXCtsK4wrk=")</f>
        <v>https://www.wildberries.ru/profile/w7TDssOkw7PCu8KzwrLCucK2wrXCtsK4wrk=</v>
      </c>
      <c r="L1492" t="s">
        <v>121</v>
      </c>
      <c r="N1492" t="s">
        <v>534</v>
      </c>
      <c r="O1492" t="s">
        <v>4454</v>
      </c>
      <c r="P1492" t="str">
        <f>HYPERLINK("https://www.wildberries.ru/catalog/14544176/detail.aspx")</f>
        <v>https://www.wildberries.ru/catalog/14544176/detail.aspx</v>
      </c>
      <c r="R1492" t="s">
        <v>184</v>
      </c>
      <c r="S1492" t="s">
        <v>125</v>
      </c>
      <c r="W1492">
        <v>0</v>
      </c>
      <c r="X1492">
        <v>0</v>
      </c>
      <c r="AH1492">
        <v>5</v>
      </c>
      <c r="AM1492" t="s">
        <v>129</v>
      </c>
      <c r="AN1492" t="s">
        <v>130</v>
      </c>
      <c r="AP1492" t="s">
        <v>41</v>
      </c>
      <c r="AT1492" t="s">
        <v>45</v>
      </c>
      <c r="AZ1492" t="s">
        <v>51</v>
      </c>
      <c r="BA1492" t="s">
        <v>52</v>
      </c>
    </row>
    <row r="1493" spans="1:70" x14ac:dyDescent="0.2">
      <c r="A1493" t="s">
        <v>5446</v>
      </c>
      <c r="B1493" t="s">
        <v>1425</v>
      </c>
      <c r="C1493" t="s">
        <v>5594</v>
      </c>
      <c r="D1493" t="s">
        <v>5595</v>
      </c>
      <c r="E1493" t="s">
        <v>5596</v>
      </c>
      <c r="F1493" t="s">
        <v>180</v>
      </c>
      <c r="G1493" t="str">
        <f>HYPERLINK("https://www.ozon.ru/context/detail/id/203375821/#60805335")</f>
        <v>https://www.ozon.ru/context/detail/id/203375821/#60805335</v>
      </c>
      <c r="H1493" t="s">
        <v>181</v>
      </c>
      <c r="I1493" t="s">
        <v>5597</v>
      </c>
      <c r="J1493" t="str">
        <f>HYPERLINK("https://www.ozon.ru/context/client_opinion/ClientGuid/bb770142-4d0d-4dd8-bad4-1d28a3fa6556/")</f>
        <v>https://www.ozon.ru/context/client_opinion/ClientGuid/bb770142-4d0d-4dd8-bad4-1d28a3fa6556/</v>
      </c>
      <c r="L1493" t="s">
        <v>121</v>
      </c>
      <c r="N1493" t="s">
        <v>183</v>
      </c>
      <c r="O1493" t="s">
        <v>5595</v>
      </c>
      <c r="P1493" t="str">
        <f>HYPERLINK("https://www.ozon.ru/context/detail/id/203375821/")</f>
        <v>https://www.ozon.ru/context/detail/id/203375821/</v>
      </c>
      <c r="R1493" t="s">
        <v>184</v>
      </c>
      <c r="S1493" t="s">
        <v>125</v>
      </c>
      <c r="W1493">
        <v>0</v>
      </c>
      <c r="X1493">
        <v>0</v>
      </c>
      <c r="AH1493">
        <v>5</v>
      </c>
      <c r="AM1493" t="s">
        <v>129</v>
      </c>
      <c r="AN1493" t="s">
        <v>130</v>
      </c>
      <c r="AP1493" t="s">
        <v>41</v>
      </c>
      <c r="AZ1493" t="s">
        <v>51</v>
      </c>
      <c r="BA1493" t="s">
        <v>52</v>
      </c>
      <c r="BL1493" t="s">
        <v>63</v>
      </c>
    </row>
    <row r="1494" spans="1:70" x14ac:dyDescent="0.2">
      <c r="A1494" t="s">
        <v>5446</v>
      </c>
      <c r="B1494" t="s">
        <v>3700</v>
      </c>
      <c r="C1494" t="s">
        <v>5598</v>
      </c>
      <c r="D1494" t="s">
        <v>5599</v>
      </c>
      <c r="E1494" t="s">
        <v>5600</v>
      </c>
      <c r="F1494" t="s">
        <v>180</v>
      </c>
      <c r="G1494" t="str">
        <f>HYPERLINK("https://www.ozon.ru/context/detail/id/247472569/#60805153")</f>
        <v>https://www.ozon.ru/context/detail/id/247472569/#60805153</v>
      </c>
      <c r="H1494" t="s">
        <v>181</v>
      </c>
      <c r="I1494" t="s">
        <v>5597</v>
      </c>
      <c r="J1494" t="str">
        <f>HYPERLINK("https://www.ozon.ru/context/client_opinion/ClientGuid/bb770142-4d0d-4dd8-bad4-1d28a3fa6556/")</f>
        <v>https://www.ozon.ru/context/client_opinion/ClientGuid/bb770142-4d0d-4dd8-bad4-1d28a3fa6556/</v>
      </c>
      <c r="L1494" t="s">
        <v>121</v>
      </c>
      <c r="N1494" t="s">
        <v>183</v>
      </c>
      <c r="O1494" t="s">
        <v>5599</v>
      </c>
      <c r="P1494" t="str">
        <f>HYPERLINK("https://www.ozon.ru/context/detail/id/247472569/")</f>
        <v>https://www.ozon.ru/context/detail/id/247472569/</v>
      </c>
      <c r="R1494" t="s">
        <v>184</v>
      </c>
      <c r="S1494" t="s">
        <v>125</v>
      </c>
      <c r="W1494">
        <v>0</v>
      </c>
      <c r="X1494">
        <v>0</v>
      </c>
      <c r="AH1494">
        <v>5</v>
      </c>
      <c r="AM1494" t="s">
        <v>129</v>
      </c>
      <c r="AN1494" t="s">
        <v>130</v>
      </c>
      <c r="AP1494" t="s">
        <v>41</v>
      </c>
      <c r="AZ1494" t="s">
        <v>51</v>
      </c>
      <c r="BA1494" t="s">
        <v>52</v>
      </c>
      <c r="BL1494" t="s">
        <v>63</v>
      </c>
    </row>
    <row r="1495" spans="1:70" x14ac:dyDescent="0.2">
      <c r="A1495" t="s">
        <v>5446</v>
      </c>
      <c r="B1495" t="s">
        <v>877</v>
      </c>
      <c r="C1495" t="s">
        <v>5601</v>
      </c>
      <c r="D1495" t="s">
        <v>5602</v>
      </c>
      <c r="E1495" t="s">
        <v>5603</v>
      </c>
      <c r="F1495" t="s">
        <v>180</v>
      </c>
      <c r="G1495" t="str">
        <f>HYPERLINK("https://www.ozon.ru/context/detail/id/202453314/#60804899")</f>
        <v>https://www.ozon.ru/context/detail/id/202453314/#60804899</v>
      </c>
      <c r="H1495" t="s">
        <v>181</v>
      </c>
      <c r="I1495" t="s">
        <v>5597</v>
      </c>
      <c r="J1495" t="str">
        <f>HYPERLINK("https://www.ozon.ru/context/client_opinion/ClientGuid/bb770142-4d0d-4dd8-bad4-1d28a3fa6556/")</f>
        <v>https://www.ozon.ru/context/client_opinion/ClientGuid/bb770142-4d0d-4dd8-bad4-1d28a3fa6556/</v>
      </c>
      <c r="L1495" t="s">
        <v>121</v>
      </c>
      <c r="N1495" t="s">
        <v>183</v>
      </c>
      <c r="O1495" t="s">
        <v>5602</v>
      </c>
      <c r="P1495" t="str">
        <f>HYPERLINK("https://www.ozon.ru/context/detail/id/202453314/")</f>
        <v>https://www.ozon.ru/context/detail/id/202453314/</v>
      </c>
      <c r="R1495" t="s">
        <v>184</v>
      </c>
      <c r="S1495" t="s">
        <v>125</v>
      </c>
      <c r="W1495">
        <v>0</v>
      </c>
      <c r="X1495">
        <v>0</v>
      </c>
      <c r="AH1495">
        <v>5</v>
      </c>
      <c r="AM1495" t="s">
        <v>129</v>
      </c>
      <c r="AN1495" t="s">
        <v>130</v>
      </c>
      <c r="AP1495" t="s">
        <v>41</v>
      </c>
      <c r="AT1495" t="s">
        <v>45</v>
      </c>
      <c r="AZ1495" t="s">
        <v>51</v>
      </c>
      <c r="BA1495" t="s">
        <v>52</v>
      </c>
      <c r="BL1495" t="s">
        <v>63</v>
      </c>
    </row>
    <row r="1496" spans="1:70" x14ac:dyDescent="0.2">
      <c r="A1496" t="s">
        <v>5446</v>
      </c>
      <c r="B1496" t="s">
        <v>893</v>
      </c>
      <c r="C1496" t="s">
        <v>5604</v>
      </c>
      <c r="D1496" t="s">
        <v>226</v>
      </c>
      <c r="E1496" t="s">
        <v>5605</v>
      </c>
      <c r="F1496" t="s">
        <v>118</v>
      </c>
      <c r="G1496" t="str">
        <f>HYPERLINK("https://vk.com/wall-27863223_291992?reply=291996&amp;thread=291993")</f>
        <v>https://vk.com/wall-27863223_291992?reply=291996&amp;thread=291993</v>
      </c>
      <c r="H1496" t="s">
        <v>119</v>
      </c>
      <c r="I1496" t="s">
        <v>5606</v>
      </c>
      <c r="J1496" t="str">
        <f>HYPERLINK("http://vk.com/id526559052")</f>
        <v>http://vk.com/id526559052</v>
      </c>
      <c r="L1496" t="s">
        <v>121</v>
      </c>
      <c r="N1496" t="s">
        <v>122</v>
      </c>
      <c r="O1496" t="s">
        <v>175</v>
      </c>
      <c r="P1496" t="str">
        <f>HYPERLINK("http://vk.com/club27863223")</f>
        <v>http://vk.com/club27863223</v>
      </c>
      <c r="Q1496">
        <v>134698</v>
      </c>
      <c r="R1496" t="s">
        <v>124</v>
      </c>
      <c r="S1496" t="s">
        <v>125</v>
      </c>
      <c r="T1496" t="s">
        <v>212</v>
      </c>
      <c r="U1496" t="s">
        <v>242</v>
      </c>
      <c r="AM1496" t="s">
        <v>129</v>
      </c>
      <c r="AN1496" t="s">
        <v>130</v>
      </c>
      <c r="AP1496" t="s">
        <v>41</v>
      </c>
      <c r="AT1496" t="s">
        <v>45</v>
      </c>
      <c r="AU1496" t="s">
        <v>46</v>
      </c>
      <c r="AZ1496" t="s">
        <v>51</v>
      </c>
      <c r="BA1496" t="s">
        <v>52</v>
      </c>
    </row>
    <row r="1497" spans="1:70" x14ac:dyDescent="0.2">
      <c r="A1497" t="s">
        <v>5446</v>
      </c>
      <c r="B1497" t="s">
        <v>1960</v>
      </c>
      <c r="C1497" t="s">
        <v>5607</v>
      </c>
      <c r="D1497" t="s">
        <v>226</v>
      </c>
      <c r="E1497" t="s">
        <v>5608</v>
      </c>
      <c r="F1497" t="s">
        <v>118</v>
      </c>
      <c r="G1497" t="str">
        <f>HYPERLINK("https://vk.com/wall-27863223_291992?reply=291995&amp;thread=291993")</f>
        <v>https://vk.com/wall-27863223_291992?reply=291995&amp;thread=291993</v>
      </c>
      <c r="H1497" t="s">
        <v>119</v>
      </c>
      <c r="I1497" t="s">
        <v>5606</v>
      </c>
      <c r="J1497" t="str">
        <f>HYPERLINK("http://vk.com/id526559052")</f>
        <v>http://vk.com/id526559052</v>
      </c>
      <c r="L1497" t="s">
        <v>121</v>
      </c>
      <c r="N1497" t="s">
        <v>122</v>
      </c>
      <c r="O1497" t="s">
        <v>175</v>
      </c>
      <c r="P1497" t="str">
        <f>HYPERLINK("http://vk.com/club27863223")</f>
        <v>http://vk.com/club27863223</v>
      </c>
      <c r="Q1497">
        <v>134698</v>
      </c>
      <c r="R1497" t="s">
        <v>124</v>
      </c>
      <c r="S1497" t="s">
        <v>125</v>
      </c>
      <c r="T1497" t="s">
        <v>212</v>
      </c>
      <c r="U1497" t="s">
        <v>242</v>
      </c>
      <c r="AM1497" t="s">
        <v>129</v>
      </c>
      <c r="AN1497" t="s">
        <v>130</v>
      </c>
      <c r="AP1497" t="s">
        <v>41</v>
      </c>
      <c r="AZ1497" t="s">
        <v>51</v>
      </c>
      <c r="BA1497" t="s">
        <v>52</v>
      </c>
      <c r="BL1497" t="s">
        <v>63</v>
      </c>
    </row>
    <row r="1498" spans="1:70" x14ac:dyDescent="0.2">
      <c r="A1498" t="s">
        <v>5446</v>
      </c>
      <c r="B1498" t="s">
        <v>5119</v>
      </c>
      <c r="C1498" t="s">
        <v>5609</v>
      </c>
      <c r="D1498" t="s">
        <v>5610</v>
      </c>
      <c r="E1498" t="s">
        <v>5611</v>
      </c>
      <c r="F1498" t="s">
        <v>118</v>
      </c>
      <c r="G1498" t="str">
        <f>HYPERLINK("https://vk.com/wall-65863524_242639?reply=242650&amp;thread=242646")</f>
        <v>https://vk.com/wall-65863524_242639?reply=242650&amp;thread=242646</v>
      </c>
      <c r="H1498" t="s">
        <v>119</v>
      </c>
      <c r="I1498" t="s">
        <v>5612</v>
      </c>
      <c r="J1498" t="str">
        <f>HYPERLINK("http://vk.com/id211336396")</f>
        <v>http://vk.com/id211336396</v>
      </c>
      <c r="K1498">
        <v>24</v>
      </c>
      <c r="L1498" t="s">
        <v>121</v>
      </c>
      <c r="M1498">
        <v>50</v>
      </c>
      <c r="N1498" t="s">
        <v>122</v>
      </c>
      <c r="O1498" t="s">
        <v>5613</v>
      </c>
      <c r="P1498" t="str">
        <f>HYPERLINK("http://vk.com/club65863524")</f>
        <v>http://vk.com/club65863524</v>
      </c>
      <c r="Q1498">
        <v>14777</v>
      </c>
      <c r="R1498" t="s">
        <v>124</v>
      </c>
      <c r="S1498" t="s">
        <v>125</v>
      </c>
      <c r="T1498" t="s">
        <v>2225</v>
      </c>
      <c r="U1498" t="s">
        <v>2861</v>
      </c>
      <c r="AM1498" t="s">
        <v>129</v>
      </c>
      <c r="AN1498" t="s">
        <v>130</v>
      </c>
      <c r="AP1498" t="s">
        <v>41</v>
      </c>
      <c r="AW1498" t="s">
        <v>48</v>
      </c>
      <c r="AZ1498" t="s">
        <v>51</v>
      </c>
      <c r="BA1498" t="s">
        <v>52</v>
      </c>
    </row>
    <row r="1499" spans="1:70" x14ac:dyDescent="0.2">
      <c r="A1499" t="s">
        <v>5446</v>
      </c>
      <c r="B1499" t="s">
        <v>3718</v>
      </c>
      <c r="C1499" t="s">
        <v>5614</v>
      </c>
      <c r="D1499" t="s">
        <v>226</v>
      </c>
      <c r="E1499" t="s">
        <v>5615</v>
      </c>
      <c r="F1499" t="s">
        <v>118</v>
      </c>
      <c r="G1499" t="str">
        <f>HYPERLINK("https://vk.com/wall-27863223_291992?reply=291993")</f>
        <v>https://vk.com/wall-27863223_291992?reply=291993</v>
      </c>
      <c r="H1499" t="s">
        <v>228</v>
      </c>
      <c r="I1499" t="s">
        <v>5606</v>
      </c>
      <c r="J1499" t="str">
        <f>HYPERLINK("http://vk.com/id526559052")</f>
        <v>http://vk.com/id526559052</v>
      </c>
      <c r="L1499" t="s">
        <v>121</v>
      </c>
      <c r="N1499" t="s">
        <v>122</v>
      </c>
      <c r="O1499" t="s">
        <v>175</v>
      </c>
      <c r="P1499" t="str">
        <f>HYPERLINK("http://vk.com/club27863223")</f>
        <v>http://vk.com/club27863223</v>
      </c>
      <c r="Q1499">
        <v>134698</v>
      </c>
      <c r="R1499" t="s">
        <v>124</v>
      </c>
      <c r="S1499" t="s">
        <v>125</v>
      </c>
      <c r="T1499" t="s">
        <v>212</v>
      </c>
      <c r="U1499" t="s">
        <v>242</v>
      </c>
      <c r="AM1499" t="s">
        <v>129</v>
      </c>
      <c r="AN1499" t="s">
        <v>130</v>
      </c>
      <c r="AP1499" t="s">
        <v>41</v>
      </c>
      <c r="AU1499" t="s">
        <v>46</v>
      </c>
      <c r="AZ1499" t="s">
        <v>51</v>
      </c>
      <c r="BA1499" t="s">
        <v>52</v>
      </c>
    </row>
    <row r="1500" spans="1:70" x14ac:dyDescent="0.2">
      <c r="A1500" t="s">
        <v>5446</v>
      </c>
      <c r="B1500" t="s">
        <v>2451</v>
      </c>
      <c r="C1500" t="s">
        <v>5616</v>
      </c>
      <c r="D1500" t="s">
        <v>5541</v>
      </c>
      <c r="E1500" t="s">
        <v>5617</v>
      </c>
      <c r="F1500" t="s">
        <v>118</v>
      </c>
      <c r="G1500" t="str">
        <f>HYPERLINK("https://vk.com/wall-169396402_35634?reply=35637")</f>
        <v>https://vk.com/wall-169396402_35634?reply=35637</v>
      </c>
      <c r="H1500" t="s">
        <v>119</v>
      </c>
      <c r="I1500" t="s">
        <v>5618</v>
      </c>
      <c r="J1500" t="str">
        <f>HYPERLINK("http://vk.com/id193238847")</f>
        <v>http://vk.com/id193238847</v>
      </c>
      <c r="K1500">
        <v>71</v>
      </c>
      <c r="L1500" t="s">
        <v>121</v>
      </c>
      <c r="M1500">
        <v>44</v>
      </c>
      <c r="N1500" t="s">
        <v>122</v>
      </c>
      <c r="O1500" t="s">
        <v>5544</v>
      </c>
      <c r="P1500" t="str">
        <f>HYPERLINK("http://vk.com/club169396402")</f>
        <v>http://vk.com/club169396402</v>
      </c>
      <c r="Q1500">
        <v>2277</v>
      </c>
      <c r="R1500" t="s">
        <v>124</v>
      </c>
      <c r="S1500" t="s">
        <v>125</v>
      </c>
      <c r="T1500" t="s">
        <v>237</v>
      </c>
      <c r="U1500" t="s">
        <v>5619</v>
      </c>
      <c r="AM1500" t="s">
        <v>129</v>
      </c>
      <c r="AN1500" t="s">
        <v>130</v>
      </c>
      <c r="AP1500" t="s">
        <v>41</v>
      </c>
      <c r="AT1500" t="s">
        <v>45</v>
      </c>
      <c r="AZ1500" t="s">
        <v>51</v>
      </c>
      <c r="BA1500" t="s">
        <v>52</v>
      </c>
      <c r="BM1500" t="s">
        <v>64</v>
      </c>
    </row>
    <row r="1501" spans="1:70" x14ac:dyDescent="0.2">
      <c r="A1501" t="s">
        <v>5446</v>
      </c>
      <c r="B1501" t="s">
        <v>330</v>
      </c>
      <c r="C1501" t="s">
        <v>5594</v>
      </c>
      <c r="D1501" t="s">
        <v>4524</v>
      </c>
      <c r="E1501" t="s">
        <v>5620</v>
      </c>
      <c r="F1501" t="s">
        <v>180</v>
      </c>
      <c r="G1501" t="str">
        <f>HYPERLINK("https://www.ozon.ru/context/detail/id/203873196/#60796377")</f>
        <v>https://www.ozon.ru/context/detail/id/203873196/#60796377</v>
      </c>
      <c r="H1501" t="s">
        <v>181</v>
      </c>
      <c r="I1501" t="s">
        <v>5621</v>
      </c>
      <c r="J1501" t="str">
        <f>HYPERLINK("https://www.ozon.ru/context/client_opinion/ClientGuid/ec00df14-ddde-412c-a981-82bc562e7b4f/")</f>
        <v>https://www.ozon.ru/context/client_opinion/ClientGuid/ec00df14-ddde-412c-a981-82bc562e7b4f/</v>
      </c>
      <c r="L1501" t="s">
        <v>121</v>
      </c>
      <c r="N1501" t="s">
        <v>183</v>
      </c>
      <c r="O1501" t="s">
        <v>4524</v>
      </c>
      <c r="P1501" t="str">
        <f>HYPERLINK("https://www.ozon.ru/context/detail/id/203873196/")</f>
        <v>https://www.ozon.ru/context/detail/id/203873196/</v>
      </c>
      <c r="R1501" t="s">
        <v>184</v>
      </c>
      <c r="S1501" t="s">
        <v>125</v>
      </c>
      <c r="W1501">
        <v>0</v>
      </c>
      <c r="X1501">
        <v>0</v>
      </c>
      <c r="AH1501">
        <v>5</v>
      </c>
      <c r="AM1501" t="s">
        <v>129</v>
      </c>
      <c r="AN1501" t="s">
        <v>130</v>
      </c>
      <c r="AP1501" t="s">
        <v>41</v>
      </c>
      <c r="AZ1501" t="s">
        <v>51</v>
      </c>
      <c r="BA1501" t="s">
        <v>52</v>
      </c>
      <c r="BL1501" t="s">
        <v>63</v>
      </c>
    </row>
    <row r="1502" spans="1:70" x14ac:dyDescent="0.2">
      <c r="A1502" t="s">
        <v>5446</v>
      </c>
      <c r="B1502" t="s">
        <v>5622</v>
      </c>
      <c r="C1502" t="s">
        <v>5623</v>
      </c>
      <c r="D1502" t="s">
        <v>4609</v>
      </c>
      <c r="E1502" t="s">
        <v>5624</v>
      </c>
      <c r="F1502" t="s">
        <v>118</v>
      </c>
      <c r="G1502" t="str">
        <f>HYPERLINK("https://pikabu.ru/story/trikolor_tv_reklamnyiy_baner_kotoryiy_besitmalenkiy_layfkhak_8353681?cid=206684938")</f>
        <v>https://pikabu.ru/story/trikolor_tv_reklamnyiy_baner_kotoryiy_besitmalenkiy_layfkhak_8353681?cid=206684938</v>
      </c>
      <c r="H1502" t="s">
        <v>119</v>
      </c>
      <c r="I1502" t="s">
        <v>5625</v>
      </c>
      <c r="J1502" t="str">
        <f>HYPERLINK("http://pikabu.ru/profile/AndyMafer")</f>
        <v>http://pikabu.ru/profile/AndyMafer</v>
      </c>
      <c r="N1502" t="s">
        <v>402</v>
      </c>
      <c r="O1502" t="s">
        <v>4612</v>
      </c>
      <c r="P1502" t="str">
        <f>HYPERLINK("http://pikabu.ru/profile/Soonk80")</f>
        <v>http://pikabu.ru/profile/Soonk80</v>
      </c>
      <c r="R1502" t="s">
        <v>404</v>
      </c>
      <c r="AM1502" t="s">
        <v>129</v>
      </c>
      <c r="AN1502" t="s">
        <v>130</v>
      </c>
      <c r="AP1502" t="s">
        <v>41</v>
      </c>
      <c r="AZ1502" t="s">
        <v>51</v>
      </c>
      <c r="BA1502" t="s">
        <v>52</v>
      </c>
      <c r="BL1502" t="s">
        <v>63</v>
      </c>
      <c r="BR1502" t="s">
        <v>69</v>
      </c>
    </row>
    <row r="1503" spans="1:70" x14ac:dyDescent="0.2">
      <c r="A1503" t="s">
        <v>5446</v>
      </c>
      <c r="B1503" t="s">
        <v>337</v>
      </c>
      <c r="C1503" t="s">
        <v>5626</v>
      </c>
      <c r="D1503" t="s">
        <v>5469</v>
      </c>
      <c r="E1503" t="s">
        <v>5627</v>
      </c>
      <c r="F1503" t="s">
        <v>118</v>
      </c>
      <c r="G1503" t="str">
        <f>HYPERLINK("https://vk.com/wall-40006490_120473?reply=120489")</f>
        <v>https://vk.com/wall-40006490_120473?reply=120489</v>
      </c>
      <c r="H1503" t="s">
        <v>119</v>
      </c>
      <c r="I1503" t="s">
        <v>5471</v>
      </c>
      <c r="J1503" t="str">
        <f>HYPERLINK("http://vk.com/id381441596")</f>
        <v>http://vk.com/id381441596</v>
      </c>
      <c r="K1503">
        <v>128</v>
      </c>
      <c r="L1503" t="s">
        <v>121</v>
      </c>
      <c r="N1503" t="s">
        <v>122</v>
      </c>
      <c r="O1503" t="s">
        <v>5472</v>
      </c>
      <c r="P1503" t="str">
        <f>HYPERLINK("http://vk.com/club40006490")</f>
        <v>http://vk.com/club40006490</v>
      </c>
      <c r="Q1503">
        <v>19779</v>
      </c>
      <c r="R1503" t="s">
        <v>124</v>
      </c>
      <c r="S1503" t="s">
        <v>125</v>
      </c>
      <c r="T1503" t="s">
        <v>667</v>
      </c>
      <c r="U1503" t="s">
        <v>668</v>
      </c>
      <c r="AM1503" t="s">
        <v>129</v>
      </c>
      <c r="AN1503" t="s">
        <v>130</v>
      </c>
      <c r="AP1503" t="s">
        <v>41</v>
      </c>
      <c r="AU1503" t="s">
        <v>46</v>
      </c>
      <c r="AZ1503" t="s">
        <v>51</v>
      </c>
      <c r="BA1503" t="s">
        <v>52</v>
      </c>
    </row>
    <row r="1504" spans="1:70" x14ac:dyDescent="0.2">
      <c r="A1504" t="s">
        <v>5446</v>
      </c>
      <c r="B1504" t="s">
        <v>2996</v>
      </c>
      <c r="C1504" t="s">
        <v>5628</v>
      </c>
      <c r="D1504" t="s">
        <v>1727</v>
      </c>
      <c r="E1504" t="s">
        <v>5629</v>
      </c>
      <c r="F1504" t="s">
        <v>180</v>
      </c>
      <c r="G1504" t="str">
        <f>HYPERLINK("https://www.ozon.ru/context/detail/id/248909251/#60789983")</f>
        <v>https://www.ozon.ru/context/detail/id/248909251/#60789983</v>
      </c>
      <c r="H1504" t="s">
        <v>119</v>
      </c>
      <c r="I1504" t="s">
        <v>5630</v>
      </c>
      <c r="J1504" t="str">
        <f>HYPERLINK("https://www.ozon.ru/context/client_opinion/ClientGuid/18cfefae-2931-4d3d-848b-e9269fbe50e2/")</f>
        <v>https://www.ozon.ru/context/client_opinion/ClientGuid/18cfefae-2931-4d3d-848b-e9269fbe50e2/</v>
      </c>
      <c r="L1504" t="s">
        <v>151</v>
      </c>
      <c r="N1504" t="s">
        <v>183</v>
      </c>
      <c r="O1504" t="s">
        <v>1729</v>
      </c>
      <c r="P1504" t="str">
        <f>HYPERLINK("https://www.ozon.ru/context/detail/id/248909251/")</f>
        <v>https://www.ozon.ru/context/detail/id/248909251/</v>
      </c>
      <c r="R1504" t="s">
        <v>184</v>
      </c>
      <c r="S1504" t="s">
        <v>125</v>
      </c>
      <c r="W1504">
        <v>0</v>
      </c>
      <c r="X1504">
        <v>0</v>
      </c>
      <c r="AH1504">
        <v>4</v>
      </c>
      <c r="AM1504" t="s">
        <v>129</v>
      </c>
      <c r="AN1504" t="s">
        <v>130</v>
      </c>
      <c r="AP1504" t="s">
        <v>41</v>
      </c>
      <c r="AT1504" t="s">
        <v>45</v>
      </c>
      <c r="AZ1504" t="s">
        <v>51</v>
      </c>
      <c r="BA1504" t="s">
        <v>52</v>
      </c>
      <c r="BL1504" t="s">
        <v>63</v>
      </c>
    </row>
    <row r="1505" spans="1:100" x14ac:dyDescent="0.2">
      <c r="A1505" t="s">
        <v>5446</v>
      </c>
      <c r="B1505" t="s">
        <v>1462</v>
      </c>
      <c r="C1505" t="s">
        <v>5631</v>
      </c>
      <c r="D1505" t="s">
        <v>5253</v>
      </c>
      <c r="E1505" t="s">
        <v>5632</v>
      </c>
      <c r="F1505" t="s">
        <v>118</v>
      </c>
      <c r="G1505" t="str">
        <f>HYPERLINK("https://vk.com/wall-22935147_368494?w=wall-22935147_368494_r368514")</f>
        <v>https://vk.com/wall-22935147_368494?w=wall-22935147_368494_r368514</v>
      </c>
      <c r="H1505" t="s">
        <v>119</v>
      </c>
      <c r="I1505" t="s">
        <v>1722</v>
      </c>
      <c r="J1505" t="str">
        <f>HYPERLINK("http://vk.com/id240644107")</f>
        <v>http://vk.com/id240644107</v>
      </c>
      <c r="K1505">
        <v>33</v>
      </c>
      <c r="L1505" t="s">
        <v>121</v>
      </c>
      <c r="N1505" t="s">
        <v>122</v>
      </c>
      <c r="O1505" t="s">
        <v>1093</v>
      </c>
      <c r="P1505" t="str">
        <f>HYPERLINK("http://vk.com/club22935147")</f>
        <v>http://vk.com/club22935147</v>
      </c>
      <c r="Q1505">
        <v>8943</v>
      </c>
      <c r="R1505" t="s">
        <v>124</v>
      </c>
      <c r="S1505" t="s">
        <v>125</v>
      </c>
      <c r="T1505" t="s">
        <v>169</v>
      </c>
      <c r="U1505" t="s">
        <v>169</v>
      </c>
      <c r="W1505">
        <v>0</v>
      </c>
      <c r="X1505">
        <v>0</v>
      </c>
      <c r="AM1505" t="s">
        <v>129</v>
      </c>
      <c r="AN1505" t="s">
        <v>130</v>
      </c>
      <c r="AP1505" t="s">
        <v>41</v>
      </c>
      <c r="AU1505" t="s">
        <v>46</v>
      </c>
      <c r="AZ1505" t="s">
        <v>51</v>
      </c>
      <c r="BA1505" t="s">
        <v>52</v>
      </c>
    </row>
    <row r="1506" spans="1:100" x14ac:dyDescent="0.2">
      <c r="A1506" t="s">
        <v>5446</v>
      </c>
      <c r="B1506" t="s">
        <v>5633</v>
      </c>
      <c r="C1506" t="s">
        <v>5634</v>
      </c>
      <c r="D1506" t="s">
        <v>4609</v>
      </c>
      <c r="E1506" t="s">
        <v>5635</v>
      </c>
      <c r="F1506" t="s">
        <v>118</v>
      </c>
      <c r="G1506" t="str">
        <f>HYPERLINK("https://pikabu.ru/story/trikolor_tv_reklamnyiy_baner_kotoryiy_besitmalenkiy_layfkhak_8353681?cid=206682145")</f>
        <v>https://pikabu.ru/story/trikolor_tv_reklamnyiy_baner_kotoryiy_besitmalenkiy_layfkhak_8353681?cid=206682145</v>
      </c>
      <c r="H1506" t="s">
        <v>119</v>
      </c>
      <c r="I1506" t="s">
        <v>4611</v>
      </c>
      <c r="J1506" t="str">
        <f>HYPERLINK("http://pikabu.ru/profile/Prihodk0")</f>
        <v>http://pikabu.ru/profile/Prihodk0</v>
      </c>
      <c r="N1506" t="s">
        <v>402</v>
      </c>
      <c r="O1506" t="s">
        <v>4612</v>
      </c>
      <c r="P1506" t="str">
        <f>HYPERLINK("http://pikabu.ru/profile/Soonk80")</f>
        <v>http://pikabu.ru/profile/Soonk80</v>
      </c>
      <c r="R1506" t="s">
        <v>404</v>
      </c>
      <c r="AM1506" t="s">
        <v>129</v>
      </c>
      <c r="AN1506" t="s">
        <v>130</v>
      </c>
      <c r="AP1506" t="s">
        <v>41</v>
      </c>
      <c r="AZ1506" t="s">
        <v>51</v>
      </c>
      <c r="BA1506" t="s">
        <v>52</v>
      </c>
      <c r="BM1506" t="s">
        <v>64</v>
      </c>
    </row>
    <row r="1507" spans="1:100" x14ac:dyDescent="0.2">
      <c r="A1507" t="s">
        <v>5446</v>
      </c>
      <c r="B1507" t="s">
        <v>920</v>
      </c>
      <c r="C1507" t="s">
        <v>5636</v>
      </c>
      <c r="D1507" t="s">
        <v>4609</v>
      </c>
      <c r="E1507" t="s">
        <v>5637</v>
      </c>
      <c r="F1507" t="s">
        <v>118</v>
      </c>
      <c r="G1507" t="str">
        <f>HYPERLINK("https://pikabu.ru/story/trikolor_tv_reklamnyiy_baner_kotoryiy_besitmalenkiy_layfkhak_8353681?cid=206681077")</f>
        <v>https://pikabu.ru/story/trikolor_tv_reklamnyiy_baner_kotoryiy_besitmalenkiy_layfkhak_8353681?cid=206681077</v>
      </c>
      <c r="H1507" t="s">
        <v>228</v>
      </c>
      <c r="I1507" t="s">
        <v>5638</v>
      </c>
      <c r="J1507" t="str">
        <f>HYPERLINK("http://pikabu.ru/profile/drugoe.mnenie")</f>
        <v>http://pikabu.ru/profile/drugoe.mnenie</v>
      </c>
      <c r="N1507" t="s">
        <v>402</v>
      </c>
      <c r="O1507" t="s">
        <v>4612</v>
      </c>
      <c r="P1507" t="str">
        <f>HYPERLINK("http://pikabu.ru/profile/Soonk80")</f>
        <v>http://pikabu.ru/profile/Soonk80</v>
      </c>
      <c r="R1507" t="s">
        <v>404</v>
      </c>
      <c r="AM1507" t="s">
        <v>129</v>
      </c>
      <c r="AN1507" t="s">
        <v>130</v>
      </c>
      <c r="AP1507" t="s">
        <v>41</v>
      </c>
      <c r="AZ1507" t="s">
        <v>51</v>
      </c>
      <c r="BA1507" t="s">
        <v>52</v>
      </c>
    </row>
    <row r="1508" spans="1:100" x14ac:dyDescent="0.2">
      <c r="A1508" t="s">
        <v>5446</v>
      </c>
      <c r="B1508" t="s">
        <v>1482</v>
      </c>
      <c r="C1508" t="s">
        <v>5639</v>
      </c>
      <c r="D1508" t="s">
        <v>175</v>
      </c>
      <c r="E1508" t="s">
        <v>5640</v>
      </c>
      <c r="F1508" t="s">
        <v>180</v>
      </c>
      <c r="G1508" t="str">
        <f>HYPERLINK("https://yandex.ru/maps/org/1930784358#uaAokExDe8x0S3w4owIL8GCY-nHVUI")</f>
        <v>https://yandex.ru/maps/org/1930784358#uaAokExDe8x0S3w4owIL8GCY-nHVUI</v>
      </c>
      <c r="H1508" t="s">
        <v>181</v>
      </c>
      <c r="I1508" t="s">
        <v>5641</v>
      </c>
      <c r="J1508" t="str">
        <f>HYPERLINK("https://yandex.ru/user/1bnxe3a8khgb71fnhy663vzzug")</f>
        <v>https://yandex.ru/user/1bnxe3a8khgb71fnhy663vzzug</v>
      </c>
      <c r="L1508" t="s">
        <v>151</v>
      </c>
      <c r="N1508" t="s">
        <v>236</v>
      </c>
      <c r="O1508" t="s">
        <v>175</v>
      </c>
      <c r="P1508" t="str">
        <f>HYPERLINK("https://yandex.ru/maps/org/1930784358")</f>
        <v>https://yandex.ru/maps/org/1930784358</v>
      </c>
      <c r="R1508" t="s">
        <v>184</v>
      </c>
      <c r="S1508" t="s">
        <v>125</v>
      </c>
      <c r="T1508" t="s">
        <v>3158</v>
      </c>
      <c r="U1508" t="s">
        <v>3159</v>
      </c>
      <c r="W1508">
        <v>0</v>
      </c>
      <c r="X1508">
        <v>0</v>
      </c>
      <c r="AH1508">
        <v>5</v>
      </c>
      <c r="AM1508" t="s">
        <v>129</v>
      </c>
      <c r="AN1508" t="s">
        <v>130</v>
      </c>
      <c r="AP1508" t="s">
        <v>41</v>
      </c>
      <c r="AX1508" t="s">
        <v>49</v>
      </c>
      <c r="AZ1508" t="s">
        <v>51</v>
      </c>
      <c r="BD1508" t="s">
        <v>55</v>
      </c>
    </row>
    <row r="1509" spans="1:100" x14ac:dyDescent="0.2">
      <c r="A1509" t="s">
        <v>5446</v>
      </c>
      <c r="B1509" t="s">
        <v>3029</v>
      </c>
      <c r="C1509" t="s">
        <v>5642</v>
      </c>
      <c r="D1509" t="s">
        <v>1408</v>
      </c>
      <c r="E1509" t="s">
        <v>5643</v>
      </c>
      <c r="F1509" t="s">
        <v>180</v>
      </c>
      <c r="G1509" t="str">
        <f>HYPERLINK("https://apps.apple.com/ru/app/триколор-кино-и-тв-онлайн/id1412797916#7598060683")</f>
        <v>https://apps.apple.com/ru/app/триколор-кино-и-тв-онлайн/id1412797916#7598060683</v>
      </c>
      <c r="H1509" t="s">
        <v>181</v>
      </c>
      <c r="I1509" t="s">
        <v>5644</v>
      </c>
      <c r="J1509" t="str">
        <f>HYPERLINK("https://itunes.apple.com/reviews?userProfileId=1297407659")</f>
        <v>https://itunes.apple.com/reviews?userProfileId=1297407659</v>
      </c>
      <c r="N1509" t="s">
        <v>1411</v>
      </c>
      <c r="O1509" t="s">
        <v>1408</v>
      </c>
      <c r="P1509" t="str">
        <f>HYPERLINK("https://apps.apple.com/ru/app/триколор-кино-и-тв-онлайн/id1412797916")</f>
        <v>https://apps.apple.com/ru/app/триколор-кино-и-тв-онлайн/id1412797916</v>
      </c>
      <c r="R1509" t="s">
        <v>184</v>
      </c>
      <c r="S1509" t="s">
        <v>125</v>
      </c>
      <c r="AH1509">
        <v>5</v>
      </c>
      <c r="AM1509" t="s">
        <v>129</v>
      </c>
      <c r="AN1509" t="s">
        <v>130</v>
      </c>
      <c r="AP1509" t="s">
        <v>41</v>
      </c>
      <c r="AZ1509" t="s">
        <v>51</v>
      </c>
      <c r="BA1509" t="s">
        <v>52</v>
      </c>
      <c r="BP1509" t="s">
        <v>67</v>
      </c>
      <c r="BQ1509" t="s">
        <v>68</v>
      </c>
    </row>
    <row r="1510" spans="1:100" x14ac:dyDescent="0.2">
      <c r="A1510" t="s">
        <v>5446</v>
      </c>
      <c r="B1510" t="s">
        <v>3035</v>
      </c>
      <c r="C1510" t="s">
        <v>5645</v>
      </c>
      <c r="D1510" t="s">
        <v>922</v>
      </c>
      <c r="E1510" t="s">
        <v>5646</v>
      </c>
      <c r="F1510" t="s">
        <v>180</v>
      </c>
      <c r="G1510" t="str">
        <f>HYPERLINK("https://www.wildberries.ru/catalog/21220605/detail.aspx?targetUrl=ES#Comments")</f>
        <v>https://www.wildberries.ru/catalog/21220605/detail.aspx?targetUrl=ES#Comments</v>
      </c>
      <c r="H1510" t="s">
        <v>181</v>
      </c>
      <c r="I1510" t="s">
        <v>5647</v>
      </c>
      <c r="J1510" t="str">
        <f>HYPERLINK("https://www.wildberries.ru/profile/w7TDssOkw7PCu8KwwrbCs8K4wrjCs8K1wrg=")</f>
        <v>https://www.wildberries.ru/profile/w7TDssOkw7PCu8KwwrbCs8K4wrjCs8K1wrg=</v>
      </c>
      <c r="L1510" t="s">
        <v>151</v>
      </c>
      <c r="N1510" t="s">
        <v>534</v>
      </c>
      <c r="O1510" t="s">
        <v>922</v>
      </c>
      <c r="P1510" t="str">
        <f>HYPERLINK("https://www.wildberries.ru/catalog/15142010/detail.aspx")</f>
        <v>https://www.wildberries.ru/catalog/15142010/detail.aspx</v>
      </c>
      <c r="R1510" t="s">
        <v>184</v>
      </c>
      <c r="S1510" t="s">
        <v>125</v>
      </c>
      <c r="W1510">
        <v>0</v>
      </c>
      <c r="X1510">
        <v>0</v>
      </c>
      <c r="AH1510">
        <v>5</v>
      </c>
      <c r="AM1510" t="s">
        <v>129</v>
      </c>
      <c r="AN1510" t="s">
        <v>130</v>
      </c>
      <c r="AP1510" t="s">
        <v>41</v>
      </c>
      <c r="AZ1510" t="s">
        <v>51</v>
      </c>
      <c r="BA1510" t="s">
        <v>52</v>
      </c>
      <c r="BK1510" t="s">
        <v>62</v>
      </c>
      <c r="BL1510" t="s">
        <v>63</v>
      </c>
    </row>
    <row r="1511" spans="1:100" x14ac:dyDescent="0.2">
      <c r="A1511" t="s">
        <v>5446</v>
      </c>
      <c r="B1511" t="s">
        <v>3038</v>
      </c>
      <c r="C1511" t="s">
        <v>5648</v>
      </c>
      <c r="D1511" t="s">
        <v>5253</v>
      </c>
      <c r="E1511" t="s">
        <v>5649</v>
      </c>
      <c r="F1511" t="s">
        <v>118</v>
      </c>
      <c r="G1511" t="str">
        <f>HYPERLINK("https://vk.com/wall-22935147_368494?reply=368512")</f>
        <v>https://vk.com/wall-22935147_368494?reply=368512</v>
      </c>
      <c r="H1511" t="s">
        <v>181</v>
      </c>
      <c r="I1511" t="s">
        <v>5650</v>
      </c>
      <c r="J1511" t="str">
        <f>HYPERLINK("http://vk.com/id619347783")</f>
        <v>http://vk.com/id619347783</v>
      </c>
      <c r="K1511">
        <v>5</v>
      </c>
      <c r="L1511" t="s">
        <v>121</v>
      </c>
      <c r="M1511">
        <v>44</v>
      </c>
      <c r="N1511" t="s">
        <v>122</v>
      </c>
      <c r="O1511" t="s">
        <v>1093</v>
      </c>
      <c r="P1511" t="str">
        <f>HYPERLINK("http://vk.com/club22935147")</f>
        <v>http://vk.com/club22935147</v>
      </c>
      <c r="Q1511">
        <v>8943</v>
      </c>
      <c r="R1511" t="s">
        <v>124</v>
      </c>
      <c r="S1511" t="s">
        <v>125</v>
      </c>
      <c r="T1511" t="s">
        <v>612</v>
      </c>
      <c r="U1511" t="s">
        <v>5651</v>
      </c>
      <c r="W1511">
        <v>0</v>
      </c>
      <c r="X1511">
        <v>0</v>
      </c>
      <c r="AM1511" t="s">
        <v>129</v>
      </c>
      <c r="AN1511" t="s">
        <v>130</v>
      </c>
      <c r="AP1511" t="s">
        <v>41</v>
      </c>
      <c r="AU1511" t="s">
        <v>46</v>
      </c>
      <c r="AZ1511" t="s">
        <v>51</v>
      </c>
      <c r="BA1511" t="s">
        <v>52</v>
      </c>
    </row>
    <row r="1512" spans="1:100" x14ac:dyDescent="0.2">
      <c r="A1512" t="s">
        <v>5446</v>
      </c>
      <c r="B1512" t="s">
        <v>5652</v>
      </c>
      <c r="C1512" t="s">
        <v>5648</v>
      </c>
      <c r="D1512" t="s">
        <v>5253</v>
      </c>
      <c r="E1512" t="s">
        <v>5653</v>
      </c>
      <c r="F1512" t="s">
        <v>118</v>
      </c>
      <c r="G1512" t="str">
        <f>HYPERLINK("https://vk.com/wall-22935147_368494?reply=368511")</f>
        <v>https://vk.com/wall-22935147_368494?reply=368511</v>
      </c>
      <c r="H1512" t="s">
        <v>119</v>
      </c>
      <c r="I1512" t="s">
        <v>5650</v>
      </c>
      <c r="J1512" t="str">
        <f>HYPERLINK("http://vk.com/id619347783")</f>
        <v>http://vk.com/id619347783</v>
      </c>
      <c r="K1512">
        <v>5</v>
      </c>
      <c r="L1512" t="s">
        <v>121</v>
      </c>
      <c r="M1512">
        <v>44</v>
      </c>
      <c r="N1512" t="s">
        <v>122</v>
      </c>
      <c r="O1512" t="s">
        <v>1093</v>
      </c>
      <c r="P1512" t="str">
        <f>HYPERLINK("http://vk.com/club22935147")</f>
        <v>http://vk.com/club22935147</v>
      </c>
      <c r="Q1512">
        <v>8943</v>
      </c>
      <c r="R1512" t="s">
        <v>124</v>
      </c>
      <c r="S1512" t="s">
        <v>125</v>
      </c>
      <c r="T1512" t="s">
        <v>612</v>
      </c>
      <c r="U1512" t="s">
        <v>5651</v>
      </c>
      <c r="W1512">
        <v>0</v>
      </c>
      <c r="X1512">
        <v>0</v>
      </c>
      <c r="AM1512" t="s">
        <v>129</v>
      </c>
      <c r="AN1512" t="s">
        <v>130</v>
      </c>
      <c r="AP1512" t="s">
        <v>41</v>
      </c>
      <c r="AU1512" t="s">
        <v>46</v>
      </c>
      <c r="AZ1512" t="s">
        <v>51</v>
      </c>
      <c r="BA1512" t="s">
        <v>52</v>
      </c>
    </row>
    <row r="1513" spans="1:100" x14ac:dyDescent="0.2">
      <c r="A1513" t="s">
        <v>5446</v>
      </c>
      <c r="B1513" t="s">
        <v>5654</v>
      </c>
      <c r="C1513" t="s">
        <v>5655</v>
      </c>
      <c r="D1513" t="s">
        <v>2001</v>
      </c>
      <c r="E1513" t="s">
        <v>5656</v>
      </c>
      <c r="F1513" t="s">
        <v>118</v>
      </c>
      <c r="G1513" t="str">
        <f>HYPERLINK("https://vk.com/wall-27863223_291925?w=wall-27863223_291925_r291979")</f>
        <v>https://vk.com/wall-27863223_291925?w=wall-27863223_291925_r291979</v>
      </c>
      <c r="H1513" t="s">
        <v>228</v>
      </c>
      <c r="I1513" t="s">
        <v>3712</v>
      </c>
      <c r="J1513" t="str">
        <f>HYPERLINK("http://vk.com/id56014693")</f>
        <v>http://vk.com/id56014693</v>
      </c>
      <c r="K1513">
        <v>3</v>
      </c>
      <c r="L1513" t="s">
        <v>121</v>
      </c>
      <c r="N1513" t="s">
        <v>122</v>
      </c>
      <c r="O1513" t="s">
        <v>175</v>
      </c>
      <c r="P1513" t="str">
        <f>HYPERLINK("http://vk.com/club27863223")</f>
        <v>http://vk.com/club27863223</v>
      </c>
      <c r="Q1513">
        <v>134698</v>
      </c>
      <c r="R1513" t="s">
        <v>124</v>
      </c>
      <c r="S1513" t="s">
        <v>3713</v>
      </c>
      <c r="T1513" t="s">
        <v>3714</v>
      </c>
      <c r="U1513" t="s">
        <v>3714</v>
      </c>
      <c r="W1513">
        <v>0</v>
      </c>
      <c r="X1513">
        <v>0</v>
      </c>
      <c r="AM1513" t="s">
        <v>129</v>
      </c>
      <c r="AN1513" t="s">
        <v>130</v>
      </c>
      <c r="AP1513" t="s">
        <v>41</v>
      </c>
      <c r="AZ1513" t="s">
        <v>51</v>
      </c>
      <c r="BD1513" t="s">
        <v>55</v>
      </c>
    </row>
    <row r="1514" spans="1:100" x14ac:dyDescent="0.2">
      <c r="A1514" t="s">
        <v>5446</v>
      </c>
      <c r="B1514" t="s">
        <v>2009</v>
      </c>
      <c r="C1514" t="s">
        <v>5657</v>
      </c>
      <c r="D1514" t="s">
        <v>2001</v>
      </c>
      <c r="E1514" t="s">
        <v>5658</v>
      </c>
      <c r="F1514" t="s">
        <v>118</v>
      </c>
      <c r="G1514" t="str">
        <f>HYPERLINK("https://vk.com/wall-27863223_291925?reply=291977")</f>
        <v>https://vk.com/wall-27863223_291925?reply=291977</v>
      </c>
      <c r="H1514" t="s">
        <v>228</v>
      </c>
      <c r="I1514" t="s">
        <v>5659</v>
      </c>
      <c r="J1514" t="str">
        <f>HYPERLINK("http://vk.com/id313673689")</f>
        <v>http://vk.com/id313673689</v>
      </c>
      <c r="K1514">
        <v>2</v>
      </c>
      <c r="L1514" t="s">
        <v>121</v>
      </c>
      <c r="N1514" t="s">
        <v>122</v>
      </c>
      <c r="O1514" t="s">
        <v>175</v>
      </c>
      <c r="P1514" t="str">
        <f>HYPERLINK("http://vk.com/club27863223")</f>
        <v>http://vk.com/club27863223</v>
      </c>
      <c r="Q1514">
        <v>134698</v>
      </c>
      <c r="R1514" t="s">
        <v>124</v>
      </c>
      <c r="S1514" t="s">
        <v>125</v>
      </c>
      <c r="T1514" t="s">
        <v>2225</v>
      </c>
      <c r="U1514" t="s">
        <v>2861</v>
      </c>
      <c r="W1514">
        <v>0</v>
      </c>
      <c r="X1514">
        <v>0</v>
      </c>
      <c r="AM1514" t="s">
        <v>129</v>
      </c>
      <c r="AN1514" t="s">
        <v>130</v>
      </c>
      <c r="AP1514" t="s">
        <v>41</v>
      </c>
      <c r="AX1514" t="s">
        <v>49</v>
      </c>
      <c r="AY1514" t="s">
        <v>50</v>
      </c>
      <c r="AZ1514" t="s">
        <v>51</v>
      </c>
      <c r="BA1514" t="s">
        <v>52</v>
      </c>
      <c r="BL1514" t="s">
        <v>63</v>
      </c>
      <c r="CV1514" t="s">
        <v>99</v>
      </c>
    </row>
    <row r="1515" spans="1:100" x14ac:dyDescent="0.2">
      <c r="A1515" t="s">
        <v>5446</v>
      </c>
      <c r="B1515" t="s">
        <v>4293</v>
      </c>
      <c r="C1515" t="s">
        <v>2614</v>
      </c>
      <c r="D1515" t="s">
        <v>3829</v>
      </c>
      <c r="E1515" t="s">
        <v>5660</v>
      </c>
      <c r="F1515" t="s">
        <v>180</v>
      </c>
      <c r="G1515" t="str">
        <f>HYPERLINK("https://www.wildberries.ru/catalog/19433352/detail.aspx?targetUrl=ES#Comments")</f>
        <v>https://www.wildberries.ru/catalog/19433352/detail.aspx?targetUrl=ES#Comments</v>
      </c>
      <c r="H1515" t="s">
        <v>119</v>
      </c>
      <c r="I1515" t="s">
        <v>5661</v>
      </c>
      <c r="J1515" t="str">
        <f>HYPERLINK("https://www.wildberries.ru/profile/w7TDssOkw7PCu8KwwrHCs8KzwrfCs8K5wrE=")</f>
        <v>https://www.wildberries.ru/profile/w7TDssOkw7PCu8KwwrHCs8KzwrfCs8K5wrE=</v>
      </c>
      <c r="L1515" t="s">
        <v>121</v>
      </c>
      <c r="N1515" t="s">
        <v>534</v>
      </c>
      <c r="O1515" t="s">
        <v>3829</v>
      </c>
      <c r="P1515" t="str">
        <f>HYPERLINK("https://www.wildberries.ru/catalog/14417500/detail.aspx")</f>
        <v>https://www.wildberries.ru/catalog/14417500/detail.aspx</v>
      </c>
      <c r="R1515" t="s">
        <v>184</v>
      </c>
      <c r="S1515" t="s">
        <v>125</v>
      </c>
      <c r="W1515">
        <v>0</v>
      </c>
      <c r="X1515">
        <v>0</v>
      </c>
      <c r="AH1515">
        <v>1</v>
      </c>
      <c r="AM1515" t="s">
        <v>129</v>
      </c>
      <c r="AN1515" t="s">
        <v>130</v>
      </c>
      <c r="AP1515" t="s">
        <v>41</v>
      </c>
      <c r="AT1515" t="s">
        <v>45</v>
      </c>
      <c r="AZ1515" t="s">
        <v>51</v>
      </c>
      <c r="BA1515" t="s">
        <v>52</v>
      </c>
      <c r="BL1515" t="s">
        <v>63</v>
      </c>
    </row>
    <row r="1516" spans="1:100" x14ac:dyDescent="0.2">
      <c r="A1516" t="s">
        <v>5446</v>
      </c>
      <c r="B1516" t="s">
        <v>4293</v>
      </c>
      <c r="C1516" t="s">
        <v>5662</v>
      </c>
      <c r="D1516" t="s">
        <v>5663</v>
      </c>
      <c r="E1516" t="s">
        <v>5664</v>
      </c>
      <c r="F1516" t="s">
        <v>180</v>
      </c>
      <c r="G1516" t="str">
        <f>HYPERLINK("https://4pda.to/forum/index.php?showtopic=890199&amp;st=60580#entry108104673")</f>
        <v>https://4pda.to/forum/index.php?showtopic=890199&amp;st=60580#entry108104673</v>
      </c>
      <c r="H1516" t="s">
        <v>119</v>
      </c>
      <c r="I1516" t="s">
        <v>5665</v>
      </c>
      <c r="J1516" t="str">
        <f>HYPERLINK("https://4pda.to/forum/index.php?showuser=573092")</f>
        <v>https://4pda.to/forum/index.php?showuser=573092</v>
      </c>
      <c r="N1516" t="s">
        <v>293</v>
      </c>
      <c r="O1516" t="s">
        <v>5666</v>
      </c>
      <c r="P1516" t="str">
        <f>HYPERLINK("https://4pda.to/forum/index.php?showforum=334")</f>
        <v>https://4pda.to/forum/index.php?showforum=334</v>
      </c>
      <c r="R1516" t="s">
        <v>295</v>
      </c>
      <c r="S1516" t="s">
        <v>125</v>
      </c>
      <c r="AM1516" t="s">
        <v>129</v>
      </c>
      <c r="AN1516" t="s">
        <v>130</v>
      </c>
      <c r="AP1516" t="s">
        <v>41</v>
      </c>
      <c r="AZ1516" t="s">
        <v>51</v>
      </c>
      <c r="BA1516" t="s">
        <v>52</v>
      </c>
      <c r="BL1516" t="s">
        <v>63</v>
      </c>
    </row>
    <row r="1517" spans="1:100" x14ac:dyDescent="0.2">
      <c r="A1517" t="s">
        <v>5446</v>
      </c>
      <c r="B1517" t="s">
        <v>4749</v>
      </c>
      <c r="C1517" t="s">
        <v>5667</v>
      </c>
      <c r="D1517" t="s">
        <v>129</v>
      </c>
      <c r="E1517" t="s">
        <v>5668</v>
      </c>
      <c r="F1517" t="s">
        <v>180</v>
      </c>
      <c r="G1517" t="str">
        <f>HYPERLINK("https://twitter.com/360582757/status/1417469795033825287")</f>
        <v>https://twitter.com/360582757/status/1417469795033825287</v>
      </c>
      <c r="H1517" t="s">
        <v>119</v>
      </c>
      <c r="I1517" t="s">
        <v>175</v>
      </c>
      <c r="J1517" t="str">
        <f>HYPERLINK("http://twitter.com/tricolortv")</f>
        <v>http://twitter.com/tricolortv</v>
      </c>
      <c r="K1517">
        <v>5663</v>
      </c>
      <c r="N1517" t="s">
        <v>350</v>
      </c>
      <c r="R1517" t="s">
        <v>124</v>
      </c>
      <c r="S1517" t="s">
        <v>125</v>
      </c>
      <c r="T1517" t="s">
        <v>137</v>
      </c>
      <c r="U1517" t="s">
        <v>137</v>
      </c>
      <c r="W1517">
        <v>1</v>
      </c>
      <c r="X1517">
        <v>1</v>
      </c>
      <c r="AE1517">
        <v>0</v>
      </c>
      <c r="AF1517">
        <v>0</v>
      </c>
      <c r="AJ1517" t="s">
        <v>129</v>
      </c>
      <c r="AK1517" t="s">
        <v>129</v>
      </c>
      <c r="AL1517" t="str">
        <f>HYPERLINK("https://pbs.twimg.com/media/E6vdMIAWQAUmj79.jpg")</f>
        <v>https://pbs.twimg.com/media/E6vdMIAWQAUmj79.jpg</v>
      </c>
      <c r="AM1517" t="s">
        <v>129</v>
      </c>
      <c r="AN1517" t="s">
        <v>130</v>
      </c>
      <c r="BI1517" t="s">
        <v>60</v>
      </c>
    </row>
    <row r="1518" spans="1:100" x14ac:dyDescent="0.2">
      <c r="A1518" t="s">
        <v>5446</v>
      </c>
      <c r="B1518" t="s">
        <v>5669</v>
      </c>
      <c r="C1518" t="s">
        <v>5670</v>
      </c>
      <c r="D1518" t="s">
        <v>5671</v>
      </c>
      <c r="E1518" t="s">
        <v>5672</v>
      </c>
      <c r="F1518" t="s">
        <v>180</v>
      </c>
      <c r="G1518" t="str">
        <f>HYPERLINK("https://ok.ru/group/51085510115462/topic/153469116982662")</f>
        <v>https://ok.ru/group/51085510115462/topic/153469116982662</v>
      </c>
      <c r="H1518" t="s">
        <v>119</v>
      </c>
      <c r="I1518" t="s">
        <v>175</v>
      </c>
      <c r="J1518" t="str">
        <f>HYPERLINK("https://ok.ru/group/51085510115462")</f>
        <v>https://ok.ru/group/51085510115462</v>
      </c>
      <c r="K1518">
        <v>94768</v>
      </c>
      <c r="L1518" t="s">
        <v>340</v>
      </c>
      <c r="N1518" t="s">
        <v>347</v>
      </c>
      <c r="O1518" t="s">
        <v>175</v>
      </c>
      <c r="P1518" t="str">
        <f>HYPERLINK("https://ok.ru/group/51085510115462")</f>
        <v>https://ok.ru/group/51085510115462</v>
      </c>
      <c r="Q1518">
        <v>94768</v>
      </c>
      <c r="R1518" t="s">
        <v>124</v>
      </c>
      <c r="W1518">
        <v>12</v>
      </c>
      <c r="X1518">
        <v>12</v>
      </c>
      <c r="Y1518">
        <v>0</v>
      </c>
      <c r="Z1518">
        <v>0</v>
      </c>
      <c r="AA1518">
        <v>0</v>
      </c>
      <c r="AB1518">
        <v>0</v>
      </c>
      <c r="AE1518">
        <v>0</v>
      </c>
      <c r="AF1518">
        <v>0</v>
      </c>
      <c r="AJ1518" t="s">
        <v>129</v>
      </c>
      <c r="AK1518" t="s">
        <v>129</v>
      </c>
      <c r="AL1518" t="str">
        <f>HYPERLINK("https://i.mycdn.me/image?id=918769114246&amp;t=20&amp;plc=API&amp;aid=1131601408&amp;tkn=*wXZJTX2c8jXiGPUCNbMnJvWrU_w")</f>
        <v>https://i.mycdn.me/image?id=918769114246&amp;t=20&amp;plc=API&amp;aid=1131601408&amp;tkn=*wXZJTX2c8jXiGPUCNbMnJvWrU_w</v>
      </c>
      <c r="AM1518" t="s">
        <v>129</v>
      </c>
      <c r="AN1518" t="s">
        <v>130</v>
      </c>
      <c r="BI1518" t="s">
        <v>60</v>
      </c>
    </row>
    <row r="1519" spans="1:100" x14ac:dyDescent="0.2">
      <c r="A1519" t="s">
        <v>5446</v>
      </c>
      <c r="B1519" t="s">
        <v>5669</v>
      </c>
      <c r="C1519" t="s">
        <v>5673</v>
      </c>
      <c r="D1519" t="s">
        <v>204</v>
      </c>
      <c r="E1519" t="s">
        <v>5674</v>
      </c>
      <c r="F1519" t="s">
        <v>180</v>
      </c>
      <c r="G1519" t="str">
        <f>HYPERLINK("https://play.google.com/store/apps/details?id=ru.iflex.android.a3colortv&amp;reviewId=gp:AOqpTOFT2rTAffbawREuEzAyCZlXyKfE1ansn7JxfnTgV_H6DlYlEkvs0TRmVJ9XFrcBrOX9C12X6SdsfwzXRw")</f>
        <v>https://play.google.com/store/apps/details?id=ru.iflex.android.a3colortv&amp;reviewId=gp:AOqpTOFT2rTAffbawREuEzAyCZlXyKfE1ansn7JxfnTgV_H6DlYlEkvs0TRmVJ9XFrcBrOX9C12X6SdsfwzXRw</v>
      </c>
      <c r="H1519" t="s">
        <v>228</v>
      </c>
      <c r="I1519" t="s">
        <v>5675</v>
      </c>
      <c r="J1519" t="str">
        <f>HYPERLINK("https://plus.google.com/100320108481737922477")</f>
        <v>https://plus.google.com/100320108481737922477</v>
      </c>
      <c r="L1519" t="s">
        <v>121</v>
      </c>
      <c r="N1519" t="s">
        <v>207</v>
      </c>
      <c r="O1519" t="s">
        <v>204</v>
      </c>
      <c r="P1519" t="str">
        <f>HYPERLINK("https://play.google.com/store/apps/details?id=ru.iflex.android.a3colortv&amp;hl=ru")</f>
        <v>https://play.google.com/store/apps/details?id=ru.iflex.android.a3colortv&amp;hl=ru</v>
      </c>
      <c r="R1519" t="s">
        <v>184</v>
      </c>
      <c r="S1519" t="s">
        <v>125</v>
      </c>
      <c r="W1519">
        <v>0</v>
      </c>
      <c r="X1519">
        <v>0</v>
      </c>
      <c r="AH1519">
        <v>1</v>
      </c>
      <c r="AM1519" t="s">
        <v>129</v>
      </c>
      <c r="AN1519" t="s">
        <v>130</v>
      </c>
      <c r="AP1519" t="s">
        <v>41</v>
      </c>
      <c r="AZ1519" t="s">
        <v>51</v>
      </c>
      <c r="BA1519" t="s">
        <v>52</v>
      </c>
      <c r="BQ1519" t="s">
        <v>68</v>
      </c>
    </row>
    <row r="1520" spans="1:100" x14ac:dyDescent="0.2">
      <c r="A1520" t="s">
        <v>5446</v>
      </c>
      <c r="B1520" t="s">
        <v>5669</v>
      </c>
      <c r="C1520" t="s">
        <v>5676</v>
      </c>
      <c r="D1520" t="s">
        <v>129</v>
      </c>
      <c r="E1520" t="s">
        <v>5672</v>
      </c>
      <c r="F1520" t="s">
        <v>180</v>
      </c>
      <c r="G1520" t="str">
        <f>HYPERLINK("https://www.facebook.com/tricolortv/posts/4101151483272424")</f>
        <v>https://www.facebook.com/tricolortv/posts/4101151483272424</v>
      </c>
      <c r="H1520" t="s">
        <v>119</v>
      </c>
      <c r="I1520" t="s">
        <v>175</v>
      </c>
      <c r="J1520" t="str">
        <f>HYPERLINK("https://www.facebook.com/206198386101106")</f>
        <v>https://www.facebook.com/206198386101106</v>
      </c>
      <c r="K1520">
        <v>16432</v>
      </c>
      <c r="L1520" t="s">
        <v>340</v>
      </c>
      <c r="N1520" t="s">
        <v>305</v>
      </c>
      <c r="O1520" t="s">
        <v>175</v>
      </c>
      <c r="P1520" t="str">
        <f>HYPERLINK("https://www.facebook.com/206198386101106")</f>
        <v>https://www.facebook.com/206198386101106</v>
      </c>
      <c r="Q1520">
        <v>16432</v>
      </c>
      <c r="R1520" t="s">
        <v>124</v>
      </c>
      <c r="W1520">
        <v>3</v>
      </c>
      <c r="X1520">
        <v>3</v>
      </c>
      <c r="Y1520">
        <v>0</v>
      </c>
      <c r="Z1520">
        <v>0</v>
      </c>
      <c r="AA1520">
        <v>0</v>
      </c>
      <c r="AB1520">
        <v>0</v>
      </c>
      <c r="AC1520">
        <v>0</v>
      </c>
      <c r="AE1520">
        <v>0</v>
      </c>
      <c r="AF1520">
        <v>0</v>
      </c>
      <c r="AJ1520" t="s">
        <v>129</v>
      </c>
      <c r="AK1520" t="s">
        <v>129</v>
      </c>
      <c r="AL1520" t="s">
        <v>5677</v>
      </c>
      <c r="AM1520" t="s">
        <v>129</v>
      </c>
      <c r="AN1520" t="s">
        <v>130</v>
      </c>
      <c r="BI1520" t="s">
        <v>60</v>
      </c>
    </row>
    <row r="1521" spans="1:70" x14ac:dyDescent="0.2">
      <c r="A1521" t="s">
        <v>5446</v>
      </c>
      <c r="B1521" t="s">
        <v>5669</v>
      </c>
      <c r="C1521" t="s">
        <v>5678</v>
      </c>
      <c r="D1521" t="s">
        <v>2001</v>
      </c>
      <c r="E1521" t="s">
        <v>5679</v>
      </c>
      <c r="F1521" t="s">
        <v>118</v>
      </c>
      <c r="G1521" t="str">
        <f>HYPERLINK("https://vk.com/wall-27863223_291925?reply=291975&amp;thread=291927")</f>
        <v>https://vk.com/wall-27863223_291925?reply=291975&amp;thread=291927</v>
      </c>
      <c r="H1521" t="s">
        <v>228</v>
      </c>
      <c r="I1521" t="s">
        <v>5659</v>
      </c>
      <c r="J1521" t="str">
        <f>HYPERLINK("http://vk.com/id313673689")</f>
        <v>http://vk.com/id313673689</v>
      </c>
      <c r="K1521">
        <v>2</v>
      </c>
      <c r="L1521" t="s">
        <v>121</v>
      </c>
      <c r="N1521" t="s">
        <v>122</v>
      </c>
      <c r="O1521" t="s">
        <v>175</v>
      </c>
      <c r="P1521" t="str">
        <f>HYPERLINK("http://vk.com/club27863223")</f>
        <v>http://vk.com/club27863223</v>
      </c>
      <c r="Q1521">
        <v>134698</v>
      </c>
      <c r="R1521" t="s">
        <v>124</v>
      </c>
      <c r="S1521" t="s">
        <v>125</v>
      </c>
      <c r="T1521" t="s">
        <v>2225</v>
      </c>
      <c r="U1521" t="s">
        <v>2861</v>
      </c>
      <c r="AM1521" t="s">
        <v>129</v>
      </c>
      <c r="AN1521" t="s">
        <v>130</v>
      </c>
      <c r="AP1521" t="s">
        <v>41</v>
      </c>
      <c r="AU1521" t="s">
        <v>46</v>
      </c>
      <c r="AZ1521" t="s">
        <v>51</v>
      </c>
      <c r="BA1521" t="s">
        <v>52</v>
      </c>
    </row>
    <row r="1522" spans="1:70" x14ac:dyDescent="0.2">
      <c r="A1522" t="s">
        <v>5446</v>
      </c>
      <c r="B1522" t="s">
        <v>422</v>
      </c>
      <c r="C1522" t="s">
        <v>5680</v>
      </c>
      <c r="D1522" t="s">
        <v>2001</v>
      </c>
      <c r="E1522" t="s">
        <v>5681</v>
      </c>
      <c r="F1522" t="s">
        <v>118</v>
      </c>
      <c r="G1522" t="str">
        <f>HYPERLINK("https://vk.com/wall-27863223_291925?reply=291972&amp;thread=291927")</f>
        <v>https://vk.com/wall-27863223_291925?reply=291972&amp;thread=291927</v>
      </c>
      <c r="H1522" t="s">
        <v>228</v>
      </c>
      <c r="I1522" t="s">
        <v>5659</v>
      </c>
      <c r="J1522" t="str">
        <f>HYPERLINK("http://vk.com/id313673689")</f>
        <v>http://vk.com/id313673689</v>
      </c>
      <c r="K1522">
        <v>2</v>
      </c>
      <c r="L1522" t="s">
        <v>121</v>
      </c>
      <c r="N1522" t="s">
        <v>122</v>
      </c>
      <c r="O1522" t="s">
        <v>175</v>
      </c>
      <c r="P1522" t="str">
        <f>HYPERLINK("http://vk.com/club27863223")</f>
        <v>http://vk.com/club27863223</v>
      </c>
      <c r="Q1522">
        <v>134698</v>
      </c>
      <c r="R1522" t="s">
        <v>124</v>
      </c>
      <c r="S1522" t="s">
        <v>125</v>
      </c>
      <c r="T1522" t="s">
        <v>2225</v>
      </c>
      <c r="U1522" t="s">
        <v>2861</v>
      </c>
      <c r="AM1522" t="s">
        <v>129</v>
      </c>
      <c r="AN1522" t="s">
        <v>130</v>
      </c>
      <c r="AP1522" t="s">
        <v>41</v>
      </c>
      <c r="AU1522" t="s">
        <v>46</v>
      </c>
      <c r="AZ1522" t="s">
        <v>51</v>
      </c>
      <c r="BA1522" t="s">
        <v>52</v>
      </c>
    </row>
    <row r="1523" spans="1:70" x14ac:dyDescent="0.2">
      <c r="A1523" t="s">
        <v>5446</v>
      </c>
      <c r="B1523" t="s">
        <v>430</v>
      </c>
      <c r="C1523" t="s">
        <v>5682</v>
      </c>
      <c r="D1523" t="s">
        <v>2001</v>
      </c>
      <c r="E1523" t="s">
        <v>5683</v>
      </c>
      <c r="F1523" t="s">
        <v>118</v>
      </c>
      <c r="G1523" t="str">
        <f>HYPERLINK("https://vk.com/wall-27863223_291925?reply=291971&amp;thread=291927")</f>
        <v>https://vk.com/wall-27863223_291925?reply=291971&amp;thread=291927</v>
      </c>
      <c r="H1523" t="s">
        <v>228</v>
      </c>
      <c r="I1523" t="s">
        <v>5659</v>
      </c>
      <c r="J1523" t="str">
        <f>HYPERLINK("http://vk.com/id313673689")</f>
        <v>http://vk.com/id313673689</v>
      </c>
      <c r="K1523">
        <v>2</v>
      </c>
      <c r="L1523" t="s">
        <v>121</v>
      </c>
      <c r="N1523" t="s">
        <v>122</v>
      </c>
      <c r="O1523" t="s">
        <v>175</v>
      </c>
      <c r="P1523" t="str">
        <f>HYPERLINK("http://vk.com/club27863223")</f>
        <v>http://vk.com/club27863223</v>
      </c>
      <c r="Q1523">
        <v>134698</v>
      </c>
      <c r="R1523" t="s">
        <v>124</v>
      </c>
      <c r="S1523" t="s">
        <v>125</v>
      </c>
      <c r="T1523" t="s">
        <v>2225</v>
      </c>
      <c r="U1523" t="s">
        <v>2861</v>
      </c>
      <c r="AM1523" t="s">
        <v>129</v>
      </c>
      <c r="AN1523" t="s">
        <v>130</v>
      </c>
      <c r="AP1523" t="s">
        <v>41</v>
      </c>
      <c r="AU1523" t="s">
        <v>46</v>
      </c>
      <c r="AZ1523" t="s">
        <v>51</v>
      </c>
      <c r="BA1523" t="s">
        <v>52</v>
      </c>
      <c r="BM1523" t="s">
        <v>64</v>
      </c>
      <c r="BR1523" t="s">
        <v>69</v>
      </c>
    </row>
    <row r="1524" spans="1:70" x14ac:dyDescent="0.2">
      <c r="A1524" t="s">
        <v>5446</v>
      </c>
      <c r="B1524" t="s">
        <v>5684</v>
      </c>
      <c r="C1524" t="s">
        <v>5685</v>
      </c>
      <c r="D1524" t="s">
        <v>2001</v>
      </c>
      <c r="E1524" t="s">
        <v>5686</v>
      </c>
      <c r="F1524" t="s">
        <v>118</v>
      </c>
      <c r="G1524" t="str">
        <f>HYPERLINK("https://vk.com/wall-27863223_291925?reply=291969&amp;thread=291927")</f>
        <v>https://vk.com/wall-27863223_291925?reply=291969&amp;thread=291927</v>
      </c>
      <c r="H1524" t="s">
        <v>228</v>
      </c>
      <c r="I1524" t="s">
        <v>5659</v>
      </c>
      <c r="J1524" t="str">
        <f>HYPERLINK("http://vk.com/id313673689")</f>
        <v>http://vk.com/id313673689</v>
      </c>
      <c r="K1524">
        <v>2</v>
      </c>
      <c r="L1524" t="s">
        <v>121</v>
      </c>
      <c r="N1524" t="s">
        <v>122</v>
      </c>
      <c r="O1524" t="s">
        <v>175</v>
      </c>
      <c r="P1524" t="str">
        <f>HYPERLINK("http://vk.com/club27863223")</f>
        <v>http://vk.com/club27863223</v>
      </c>
      <c r="Q1524">
        <v>134698</v>
      </c>
      <c r="R1524" t="s">
        <v>124</v>
      </c>
      <c r="S1524" t="s">
        <v>125</v>
      </c>
      <c r="T1524" t="s">
        <v>2225</v>
      </c>
      <c r="U1524" t="s">
        <v>2861</v>
      </c>
      <c r="AM1524" t="s">
        <v>129</v>
      </c>
      <c r="AN1524" t="s">
        <v>130</v>
      </c>
      <c r="AP1524" t="s">
        <v>41</v>
      </c>
      <c r="AU1524" t="s">
        <v>46</v>
      </c>
      <c r="AZ1524" t="s">
        <v>51</v>
      </c>
      <c r="BA1524" t="s">
        <v>52</v>
      </c>
    </row>
    <row r="1525" spans="1:70" x14ac:dyDescent="0.2">
      <c r="A1525" t="s">
        <v>5446</v>
      </c>
      <c r="B1525" t="s">
        <v>2571</v>
      </c>
      <c r="C1525" t="s">
        <v>5639</v>
      </c>
      <c r="D1525" t="s">
        <v>175</v>
      </c>
      <c r="E1525" t="s">
        <v>5687</v>
      </c>
      <c r="F1525" t="s">
        <v>180</v>
      </c>
      <c r="G1525" t="str">
        <f>HYPERLINK("https://yandex.ru/maps/org/160723792538#rINUtCXE86R4VFdEUPAHO5hMZQQVc7B1z")</f>
        <v>https://yandex.ru/maps/org/160723792538#rINUtCXE86R4VFdEUPAHO5hMZQQVc7B1z</v>
      </c>
      <c r="H1525" t="s">
        <v>181</v>
      </c>
      <c r="I1525" t="s">
        <v>5688</v>
      </c>
      <c r="J1525" t="str">
        <f>HYPERLINK("https://yandex.ru/user/fqzj6850n6q96yxpuf9e04c0n8")</f>
        <v>https://yandex.ru/user/fqzj6850n6q96yxpuf9e04c0n8</v>
      </c>
      <c r="L1525" t="s">
        <v>121</v>
      </c>
      <c r="N1525" t="s">
        <v>236</v>
      </c>
      <c r="O1525" t="s">
        <v>175</v>
      </c>
      <c r="P1525" t="str">
        <f>HYPERLINK("https://yandex.ru/maps/org/160723792538")</f>
        <v>https://yandex.ru/maps/org/160723792538</v>
      </c>
      <c r="R1525" t="s">
        <v>184</v>
      </c>
      <c r="S1525" t="s">
        <v>125</v>
      </c>
      <c r="T1525" t="s">
        <v>627</v>
      </c>
      <c r="U1525" t="s">
        <v>634</v>
      </c>
      <c r="W1525">
        <v>0</v>
      </c>
      <c r="X1525">
        <v>0</v>
      </c>
      <c r="AH1525">
        <v>5</v>
      </c>
      <c r="AM1525" t="s">
        <v>129</v>
      </c>
      <c r="AN1525" t="s">
        <v>130</v>
      </c>
      <c r="AP1525" t="s">
        <v>41</v>
      </c>
      <c r="AX1525" t="s">
        <v>49</v>
      </c>
      <c r="AZ1525" t="s">
        <v>51</v>
      </c>
      <c r="BD1525" t="s">
        <v>55</v>
      </c>
    </row>
    <row r="1526" spans="1:70" x14ac:dyDescent="0.2">
      <c r="A1526" t="s">
        <v>5446</v>
      </c>
      <c r="B1526" t="s">
        <v>2571</v>
      </c>
      <c r="C1526" t="s">
        <v>5689</v>
      </c>
      <c r="D1526" t="s">
        <v>4778</v>
      </c>
      <c r="E1526" t="s">
        <v>5690</v>
      </c>
      <c r="F1526" t="s">
        <v>118</v>
      </c>
      <c r="G1526" t="str">
        <f>HYPERLINK("https://www.youtube.com/watch?v=fA3uDLKqfvM&amp;lc=Ugx7NlVj4Kgk_jiDwDx4AaABAg")</f>
        <v>https://www.youtube.com/watch?v=fA3uDLKqfvM&amp;lc=Ugx7NlVj4Kgk_jiDwDx4AaABAg</v>
      </c>
      <c r="H1526" t="s">
        <v>119</v>
      </c>
      <c r="I1526" t="s">
        <v>5691</v>
      </c>
      <c r="J1526" t="str">
        <f>HYPERLINK("https://www.youtube.com/channel/UCAF-lgDWneV3U6VkysGKUOA")</f>
        <v>https://www.youtube.com/channel/UCAF-lgDWneV3U6VkysGKUOA</v>
      </c>
      <c r="K1526">
        <v>1</v>
      </c>
      <c r="L1526" t="s">
        <v>121</v>
      </c>
      <c r="N1526" t="s">
        <v>248</v>
      </c>
      <c r="O1526" t="s">
        <v>1910</v>
      </c>
      <c r="P1526" t="str">
        <f>HYPERLINK("https://www.youtube.com/channel/UCQgd9Ks9oBckRf9hadmZFdA")</f>
        <v>https://www.youtube.com/channel/UCQgd9Ks9oBckRf9hadmZFdA</v>
      </c>
      <c r="Q1526">
        <v>66700</v>
      </c>
      <c r="R1526" t="s">
        <v>124</v>
      </c>
      <c r="S1526" t="s">
        <v>125</v>
      </c>
      <c r="W1526">
        <v>0</v>
      </c>
      <c r="X1526">
        <v>0</v>
      </c>
      <c r="AE1526">
        <v>0</v>
      </c>
      <c r="AM1526" t="s">
        <v>129</v>
      </c>
      <c r="AN1526" t="s">
        <v>130</v>
      </c>
      <c r="AP1526" t="s">
        <v>41</v>
      </c>
      <c r="AZ1526" t="s">
        <v>51</v>
      </c>
      <c r="BC1526" t="s">
        <v>54</v>
      </c>
      <c r="BL1526" t="s">
        <v>63</v>
      </c>
    </row>
    <row r="1527" spans="1:70" x14ac:dyDescent="0.2">
      <c r="A1527" t="s">
        <v>5446</v>
      </c>
      <c r="B1527" t="s">
        <v>2032</v>
      </c>
      <c r="C1527" t="s">
        <v>5685</v>
      </c>
      <c r="D1527" t="s">
        <v>2001</v>
      </c>
      <c r="E1527" t="s">
        <v>5692</v>
      </c>
      <c r="F1527" t="s">
        <v>118</v>
      </c>
      <c r="G1527" t="str">
        <f>HYPERLINK("https://vk.com/wall-27863223_291925?w=wall-27863223_291925_r291967")</f>
        <v>https://vk.com/wall-27863223_291925?w=wall-27863223_291925_r291967</v>
      </c>
      <c r="H1527" t="s">
        <v>228</v>
      </c>
      <c r="I1527" t="s">
        <v>5659</v>
      </c>
      <c r="J1527" t="str">
        <f>HYPERLINK("http://vk.com/id313673689")</f>
        <v>http://vk.com/id313673689</v>
      </c>
      <c r="K1527">
        <v>2</v>
      </c>
      <c r="L1527" t="s">
        <v>121</v>
      </c>
      <c r="N1527" t="s">
        <v>122</v>
      </c>
      <c r="O1527" t="s">
        <v>175</v>
      </c>
      <c r="P1527" t="str">
        <f>HYPERLINK("http://vk.com/club27863223")</f>
        <v>http://vk.com/club27863223</v>
      </c>
      <c r="Q1527">
        <v>134698</v>
      </c>
      <c r="R1527" t="s">
        <v>124</v>
      </c>
      <c r="S1527" t="s">
        <v>125</v>
      </c>
      <c r="T1527" t="s">
        <v>2225</v>
      </c>
      <c r="U1527" t="s">
        <v>2861</v>
      </c>
      <c r="W1527">
        <v>0</v>
      </c>
      <c r="X1527">
        <v>0</v>
      </c>
      <c r="AM1527" t="s">
        <v>129</v>
      </c>
      <c r="AN1527" t="s">
        <v>130</v>
      </c>
      <c r="AP1527" t="s">
        <v>41</v>
      </c>
      <c r="AU1527" t="s">
        <v>46</v>
      </c>
      <c r="AZ1527" t="s">
        <v>51</v>
      </c>
      <c r="BA1527" t="s">
        <v>52</v>
      </c>
    </row>
    <row r="1528" spans="1:70" x14ac:dyDescent="0.2">
      <c r="A1528" t="s">
        <v>5446</v>
      </c>
      <c r="B1528" t="s">
        <v>2035</v>
      </c>
      <c r="C1528" t="s">
        <v>5693</v>
      </c>
      <c r="D1528" t="s">
        <v>129</v>
      </c>
      <c r="E1528" t="s">
        <v>5694</v>
      </c>
      <c r="F1528" t="s">
        <v>180</v>
      </c>
      <c r="G1528" t="str">
        <f>HYPERLINK("https://telegram.me/tricolorkinchat/11489")</f>
        <v>https://telegram.me/tricolorkinchat/11489</v>
      </c>
      <c r="H1528" t="s">
        <v>119</v>
      </c>
      <c r="I1528" t="s">
        <v>5695</v>
      </c>
      <c r="J1528" t="str">
        <f>HYPERLINK("https://telegram.me/kak_taak")</f>
        <v>https://telegram.me/kak_taak</v>
      </c>
      <c r="N1528" t="s">
        <v>143</v>
      </c>
      <c r="O1528" t="s">
        <v>416</v>
      </c>
      <c r="P1528" t="str">
        <f>HYPERLINK("https://telegram.me/tricolorkinchat")</f>
        <v>https://telegram.me/tricolorkinchat</v>
      </c>
      <c r="Q1528">
        <v>188</v>
      </c>
      <c r="R1528" t="s">
        <v>145</v>
      </c>
      <c r="AM1528" t="s">
        <v>129</v>
      </c>
      <c r="AN1528" t="s">
        <v>130</v>
      </c>
      <c r="AP1528" t="s">
        <v>41</v>
      </c>
      <c r="AT1528" t="s">
        <v>45</v>
      </c>
      <c r="AY1528" t="s">
        <v>50</v>
      </c>
      <c r="AZ1528" t="s">
        <v>51</v>
      </c>
      <c r="BA1528" t="s">
        <v>52</v>
      </c>
      <c r="BO1528" t="s">
        <v>66</v>
      </c>
    </row>
    <row r="1529" spans="1:70" x14ac:dyDescent="0.2">
      <c r="A1529" t="s">
        <v>5446</v>
      </c>
      <c r="B1529" t="s">
        <v>2035</v>
      </c>
      <c r="C1529" t="s">
        <v>5592</v>
      </c>
      <c r="D1529" t="s">
        <v>4147</v>
      </c>
      <c r="E1529" t="s">
        <v>5696</v>
      </c>
      <c r="F1529" t="s">
        <v>180</v>
      </c>
      <c r="G1529" t="str">
        <f>HYPERLINK("https://www.wildberries.ru/catalog/15145842/detail.aspx?targetUrl=ES#Comments")</f>
        <v>https://www.wildberries.ru/catalog/15145842/detail.aspx?targetUrl=ES#Comments</v>
      </c>
      <c r="H1529" t="s">
        <v>181</v>
      </c>
      <c r="I1529" t="s">
        <v>1347</v>
      </c>
      <c r="J1529" t="str">
        <f>HYPERLINK("https://www.wildberries.ru/profile/w7TDssOkw7PCu8K1wrTCtsK3wrnCtMK0wrE=")</f>
        <v>https://www.wildberries.ru/profile/w7TDssOkw7PCu8K1wrTCtsK3wrnCtMK0wrE=</v>
      </c>
      <c r="L1529" t="s">
        <v>121</v>
      </c>
      <c r="N1529" t="s">
        <v>534</v>
      </c>
      <c r="O1529" t="s">
        <v>4147</v>
      </c>
      <c r="P1529" t="str">
        <f>HYPERLINK("https://www.wildberries.ru/catalog/11323741/detail.aspx")</f>
        <v>https://www.wildberries.ru/catalog/11323741/detail.aspx</v>
      </c>
      <c r="R1529" t="s">
        <v>184</v>
      </c>
      <c r="S1529" t="s">
        <v>125</v>
      </c>
      <c r="W1529">
        <v>0</v>
      </c>
      <c r="X1529">
        <v>0</v>
      </c>
      <c r="AH1529">
        <v>5</v>
      </c>
      <c r="AM1529" t="s">
        <v>129</v>
      </c>
      <c r="AN1529" t="s">
        <v>130</v>
      </c>
      <c r="AP1529" t="s">
        <v>41</v>
      </c>
      <c r="AT1529" t="s">
        <v>45</v>
      </c>
      <c r="AZ1529" t="s">
        <v>51</v>
      </c>
      <c r="BA1529" t="s">
        <v>52</v>
      </c>
      <c r="BL1529" t="s">
        <v>63</v>
      </c>
    </row>
    <row r="1530" spans="1:70" x14ac:dyDescent="0.2">
      <c r="A1530" t="s">
        <v>5446</v>
      </c>
      <c r="B1530" t="s">
        <v>1532</v>
      </c>
      <c r="C1530" t="s">
        <v>5697</v>
      </c>
      <c r="D1530" t="s">
        <v>5698</v>
      </c>
      <c r="E1530" t="s">
        <v>5699</v>
      </c>
      <c r="F1530" t="s">
        <v>118</v>
      </c>
      <c r="G1530" t="str">
        <f>HYPERLINK("https://vk.com/wall-177094528_474971?reply=475571&amp;thread=475012")</f>
        <v>https://vk.com/wall-177094528_474971?reply=475571&amp;thread=475012</v>
      </c>
      <c r="H1530" t="s">
        <v>181</v>
      </c>
      <c r="I1530" t="s">
        <v>5700</v>
      </c>
      <c r="J1530" t="str">
        <f>HYPERLINK("http://vk.com/id564896174")</f>
        <v>http://vk.com/id564896174</v>
      </c>
      <c r="K1530">
        <v>182</v>
      </c>
      <c r="L1530" t="s">
        <v>151</v>
      </c>
      <c r="M1530">
        <v>30</v>
      </c>
      <c r="N1530" t="s">
        <v>122</v>
      </c>
      <c r="O1530" t="s">
        <v>5701</v>
      </c>
      <c r="P1530" t="str">
        <f>HYPERLINK("http://vk.com/club177094528")</f>
        <v>http://vk.com/club177094528</v>
      </c>
      <c r="Q1530">
        <v>14826</v>
      </c>
      <c r="R1530" t="s">
        <v>124</v>
      </c>
      <c r="S1530" t="s">
        <v>125</v>
      </c>
      <c r="AM1530" t="s">
        <v>129</v>
      </c>
      <c r="AN1530" t="s">
        <v>130</v>
      </c>
      <c r="AP1530" t="s">
        <v>41</v>
      </c>
      <c r="AY1530" t="s">
        <v>50</v>
      </c>
      <c r="AZ1530" t="s">
        <v>51</v>
      </c>
      <c r="BA1530" t="s">
        <v>52</v>
      </c>
    </row>
    <row r="1531" spans="1:70" x14ac:dyDescent="0.2">
      <c r="A1531" t="s">
        <v>5446</v>
      </c>
      <c r="B1531" t="s">
        <v>1536</v>
      </c>
      <c r="C1531" t="s">
        <v>5702</v>
      </c>
      <c r="D1531" t="s">
        <v>5663</v>
      </c>
      <c r="E1531" t="s">
        <v>5703</v>
      </c>
      <c r="F1531" t="s">
        <v>180</v>
      </c>
      <c r="G1531" t="str">
        <f>HYPERLINK("https://4pda.to/forum/index.php?showtopic=890199&amp;st=60580#entry108103660")</f>
        <v>https://4pda.to/forum/index.php?showtopic=890199&amp;st=60580#entry108103660</v>
      </c>
      <c r="H1531" t="s">
        <v>119</v>
      </c>
      <c r="I1531" t="s">
        <v>5665</v>
      </c>
      <c r="J1531" t="str">
        <f>HYPERLINK("https://4pda.to/forum/index.php?showuser=573092")</f>
        <v>https://4pda.to/forum/index.php?showuser=573092</v>
      </c>
      <c r="N1531" t="s">
        <v>293</v>
      </c>
      <c r="O1531" t="s">
        <v>5666</v>
      </c>
      <c r="P1531" t="str">
        <f>HYPERLINK("https://4pda.to/forum/index.php?showforum=334")</f>
        <v>https://4pda.to/forum/index.php?showforum=334</v>
      </c>
      <c r="R1531" t="s">
        <v>295</v>
      </c>
      <c r="S1531" t="s">
        <v>125</v>
      </c>
      <c r="AM1531" t="s">
        <v>129</v>
      </c>
      <c r="AN1531" t="s">
        <v>130</v>
      </c>
      <c r="AP1531" t="s">
        <v>41</v>
      </c>
      <c r="AT1531" t="s">
        <v>45</v>
      </c>
      <c r="AZ1531" t="s">
        <v>51</v>
      </c>
      <c r="BA1531" t="s">
        <v>52</v>
      </c>
      <c r="BL1531" t="s">
        <v>63</v>
      </c>
    </row>
    <row r="1532" spans="1:70" x14ac:dyDescent="0.2">
      <c r="A1532" t="s">
        <v>5446</v>
      </c>
      <c r="B1532" t="s">
        <v>1546</v>
      </c>
      <c r="C1532" t="s">
        <v>5704</v>
      </c>
      <c r="D1532" t="s">
        <v>5705</v>
      </c>
      <c r="E1532" t="s">
        <v>5706</v>
      </c>
      <c r="F1532" t="s">
        <v>118</v>
      </c>
      <c r="G1532" t="str">
        <f>HYPERLINK("https://vk.com/wall-18050099_220674?reply=220715&amp;thread=220694")</f>
        <v>https://vk.com/wall-18050099_220674?reply=220715&amp;thread=220694</v>
      </c>
      <c r="H1532" t="s">
        <v>119</v>
      </c>
      <c r="I1532" t="s">
        <v>5707</v>
      </c>
      <c r="J1532" t="str">
        <f>HYPERLINK("http://vk.com/id6534905")</f>
        <v>http://vk.com/id6534905</v>
      </c>
      <c r="K1532">
        <v>468</v>
      </c>
      <c r="L1532" t="s">
        <v>151</v>
      </c>
      <c r="N1532" t="s">
        <v>122</v>
      </c>
      <c r="O1532" t="s">
        <v>5708</v>
      </c>
      <c r="P1532" t="str">
        <f>HYPERLINK("http://vk.com/club18050099")</f>
        <v>http://vk.com/club18050099</v>
      </c>
      <c r="Q1532">
        <v>14518</v>
      </c>
      <c r="R1532" t="s">
        <v>124</v>
      </c>
      <c r="S1532" t="s">
        <v>125</v>
      </c>
      <c r="T1532" t="s">
        <v>137</v>
      </c>
      <c r="U1532" t="s">
        <v>137</v>
      </c>
      <c r="AM1532" t="s">
        <v>129</v>
      </c>
      <c r="AN1532" t="s">
        <v>130</v>
      </c>
      <c r="AP1532" t="s">
        <v>41</v>
      </c>
      <c r="AZ1532" t="s">
        <v>51</v>
      </c>
      <c r="BA1532" t="s">
        <v>52</v>
      </c>
      <c r="BM1532" t="s">
        <v>64</v>
      </c>
    </row>
    <row r="1533" spans="1:70" x14ac:dyDescent="0.2">
      <c r="A1533" t="s">
        <v>5446</v>
      </c>
      <c r="B1533" t="s">
        <v>456</v>
      </c>
      <c r="C1533" t="s">
        <v>5709</v>
      </c>
      <c r="D1533" t="s">
        <v>1186</v>
      </c>
      <c r="E1533" t="s">
        <v>5710</v>
      </c>
      <c r="F1533" t="s">
        <v>180</v>
      </c>
      <c r="G1533" t="str">
        <f>HYPERLINK("https://4pda.to/forum/index.php?showtopic=916407&amp;st=3100#entry108103301")</f>
        <v>https://4pda.to/forum/index.php?showtopic=916407&amp;st=3100#entry108103301</v>
      </c>
      <c r="H1533" t="s">
        <v>228</v>
      </c>
      <c r="I1533" t="s">
        <v>5711</v>
      </c>
      <c r="J1533" t="str">
        <f>HYPERLINK("https://4pda.to/forum/index.php?showuser=2237746")</f>
        <v>https://4pda.to/forum/index.php?showuser=2237746</v>
      </c>
      <c r="N1533" t="s">
        <v>293</v>
      </c>
      <c r="O1533" t="s">
        <v>1189</v>
      </c>
      <c r="P1533" t="str">
        <f>HYPERLINK("https://4pda.to/forum/index.php?showforum=319")</f>
        <v>https://4pda.to/forum/index.php?showforum=319</v>
      </c>
      <c r="R1533" t="s">
        <v>295</v>
      </c>
      <c r="S1533" t="s">
        <v>125</v>
      </c>
      <c r="AM1533" t="s">
        <v>129</v>
      </c>
      <c r="AN1533" t="s">
        <v>130</v>
      </c>
      <c r="AP1533" t="s">
        <v>41</v>
      </c>
      <c r="AZ1533" t="s">
        <v>51</v>
      </c>
      <c r="BA1533" t="s">
        <v>52</v>
      </c>
      <c r="BQ1533" t="s">
        <v>68</v>
      </c>
    </row>
    <row r="1534" spans="1:70" x14ac:dyDescent="0.2">
      <c r="A1534" t="s">
        <v>5446</v>
      </c>
      <c r="B1534" t="s">
        <v>459</v>
      </c>
      <c r="C1534" t="s">
        <v>5712</v>
      </c>
      <c r="D1534" t="s">
        <v>5705</v>
      </c>
      <c r="E1534" t="s">
        <v>5713</v>
      </c>
      <c r="F1534" t="s">
        <v>118</v>
      </c>
      <c r="G1534" t="str">
        <f>HYPERLINK("https://vk.com/wall-18050099_220674?reply=220707&amp;thread=220694")</f>
        <v>https://vk.com/wall-18050099_220674?reply=220707&amp;thread=220694</v>
      </c>
      <c r="H1534" t="s">
        <v>119</v>
      </c>
      <c r="I1534" t="s">
        <v>5714</v>
      </c>
      <c r="J1534" t="str">
        <f>HYPERLINK("http://vk.com/id5676161")</f>
        <v>http://vk.com/id5676161</v>
      </c>
      <c r="K1534">
        <v>139</v>
      </c>
      <c r="L1534" t="s">
        <v>121</v>
      </c>
      <c r="N1534" t="s">
        <v>122</v>
      </c>
      <c r="O1534" t="s">
        <v>5708</v>
      </c>
      <c r="P1534" t="str">
        <f>HYPERLINK("http://vk.com/club18050099")</f>
        <v>http://vk.com/club18050099</v>
      </c>
      <c r="Q1534">
        <v>14518</v>
      </c>
      <c r="R1534" t="s">
        <v>124</v>
      </c>
      <c r="S1534" t="s">
        <v>125</v>
      </c>
      <c r="AM1534" t="s">
        <v>129</v>
      </c>
      <c r="AN1534" t="s">
        <v>130</v>
      </c>
      <c r="AP1534" t="s">
        <v>41</v>
      </c>
      <c r="AT1534" t="s">
        <v>45</v>
      </c>
      <c r="AU1534" t="s">
        <v>46</v>
      </c>
      <c r="AY1534" t="s">
        <v>50</v>
      </c>
      <c r="AZ1534" t="s">
        <v>51</v>
      </c>
      <c r="BA1534" t="s">
        <v>52</v>
      </c>
    </row>
    <row r="1535" spans="1:70" x14ac:dyDescent="0.2">
      <c r="A1535" t="s">
        <v>5446</v>
      </c>
      <c r="B1535" t="s">
        <v>991</v>
      </c>
      <c r="C1535" t="s">
        <v>5715</v>
      </c>
      <c r="D1535" t="s">
        <v>5705</v>
      </c>
      <c r="E1535" t="s">
        <v>5716</v>
      </c>
      <c r="F1535" t="s">
        <v>118</v>
      </c>
      <c r="G1535" t="str">
        <f>HYPERLINK("https://vk.com/wall-18050099_220674?reply=220705&amp;thread=220694")</f>
        <v>https://vk.com/wall-18050099_220674?reply=220705&amp;thread=220694</v>
      </c>
      <c r="H1535" t="s">
        <v>119</v>
      </c>
      <c r="I1535" t="s">
        <v>5707</v>
      </c>
      <c r="J1535" t="str">
        <f>HYPERLINK("http://vk.com/id6534905")</f>
        <v>http://vk.com/id6534905</v>
      </c>
      <c r="K1535">
        <v>468</v>
      </c>
      <c r="L1535" t="s">
        <v>151</v>
      </c>
      <c r="N1535" t="s">
        <v>122</v>
      </c>
      <c r="O1535" t="s">
        <v>5708</v>
      </c>
      <c r="P1535" t="str">
        <f>HYPERLINK("http://vk.com/club18050099")</f>
        <v>http://vk.com/club18050099</v>
      </c>
      <c r="Q1535">
        <v>14518</v>
      </c>
      <c r="R1535" t="s">
        <v>124</v>
      </c>
      <c r="S1535" t="s">
        <v>125</v>
      </c>
      <c r="T1535" t="s">
        <v>137</v>
      </c>
      <c r="U1535" t="s">
        <v>137</v>
      </c>
      <c r="AM1535" t="s">
        <v>129</v>
      </c>
      <c r="AN1535" t="s">
        <v>130</v>
      </c>
      <c r="AP1535" t="s">
        <v>41</v>
      </c>
      <c r="AT1535" t="s">
        <v>45</v>
      </c>
      <c r="AZ1535" t="s">
        <v>51</v>
      </c>
      <c r="BA1535" t="s">
        <v>52</v>
      </c>
      <c r="BM1535" t="s">
        <v>64</v>
      </c>
    </row>
    <row r="1536" spans="1:70" x14ac:dyDescent="0.2">
      <c r="A1536" t="s">
        <v>5446</v>
      </c>
      <c r="B1536" t="s">
        <v>991</v>
      </c>
      <c r="C1536" t="s">
        <v>5717</v>
      </c>
      <c r="D1536" t="s">
        <v>5705</v>
      </c>
      <c r="E1536" t="s">
        <v>5718</v>
      </c>
      <c r="F1536" t="s">
        <v>118</v>
      </c>
      <c r="G1536" t="str">
        <f>HYPERLINK("https://vk.com/wall-18050099_220674?reply=220704&amp;thread=220694")</f>
        <v>https://vk.com/wall-18050099_220674?reply=220704&amp;thread=220694</v>
      </c>
      <c r="H1536" t="s">
        <v>119</v>
      </c>
      <c r="I1536" t="s">
        <v>5714</v>
      </c>
      <c r="J1536" t="str">
        <f>HYPERLINK("http://vk.com/id5676161")</f>
        <v>http://vk.com/id5676161</v>
      </c>
      <c r="K1536">
        <v>139</v>
      </c>
      <c r="L1536" t="s">
        <v>121</v>
      </c>
      <c r="N1536" t="s">
        <v>122</v>
      </c>
      <c r="O1536" t="s">
        <v>5708</v>
      </c>
      <c r="P1536" t="str">
        <f>HYPERLINK("http://vk.com/club18050099")</f>
        <v>http://vk.com/club18050099</v>
      </c>
      <c r="Q1536">
        <v>14518</v>
      </c>
      <c r="R1536" t="s">
        <v>124</v>
      </c>
      <c r="S1536" t="s">
        <v>125</v>
      </c>
      <c r="AM1536" t="s">
        <v>129</v>
      </c>
      <c r="AN1536" t="s">
        <v>130</v>
      </c>
      <c r="AP1536" t="s">
        <v>41</v>
      </c>
      <c r="AT1536" t="s">
        <v>45</v>
      </c>
      <c r="AZ1536" t="s">
        <v>51</v>
      </c>
      <c r="BA1536" t="s">
        <v>52</v>
      </c>
      <c r="BM1536" t="s">
        <v>64</v>
      </c>
    </row>
    <row r="1537" spans="1:70" x14ac:dyDescent="0.2">
      <c r="A1537" t="s">
        <v>5446</v>
      </c>
      <c r="B1537" t="s">
        <v>5214</v>
      </c>
      <c r="C1537" t="s">
        <v>5719</v>
      </c>
      <c r="D1537" t="s">
        <v>5705</v>
      </c>
      <c r="E1537" t="s">
        <v>5720</v>
      </c>
      <c r="F1537" t="s">
        <v>118</v>
      </c>
      <c r="G1537" t="str">
        <f>HYPERLINK("https://vk.com/wall-18050099_220674?reply=220703&amp;thread=220696")</f>
        <v>https://vk.com/wall-18050099_220674?reply=220703&amp;thread=220696</v>
      </c>
      <c r="H1537" t="s">
        <v>119</v>
      </c>
      <c r="I1537" t="s">
        <v>5707</v>
      </c>
      <c r="J1537" t="str">
        <f>HYPERLINK("http://vk.com/id6534905")</f>
        <v>http://vk.com/id6534905</v>
      </c>
      <c r="K1537">
        <v>468</v>
      </c>
      <c r="L1537" t="s">
        <v>151</v>
      </c>
      <c r="N1537" t="s">
        <v>122</v>
      </c>
      <c r="O1537" t="s">
        <v>5708</v>
      </c>
      <c r="P1537" t="str">
        <f>HYPERLINK("http://vk.com/club18050099")</f>
        <v>http://vk.com/club18050099</v>
      </c>
      <c r="Q1537">
        <v>14518</v>
      </c>
      <c r="R1537" t="s">
        <v>124</v>
      </c>
      <c r="S1537" t="s">
        <v>125</v>
      </c>
      <c r="T1537" t="s">
        <v>137</v>
      </c>
      <c r="U1537" t="s">
        <v>137</v>
      </c>
      <c r="AM1537" t="s">
        <v>129</v>
      </c>
      <c r="AN1537" t="s">
        <v>130</v>
      </c>
      <c r="AP1537" t="s">
        <v>41</v>
      </c>
      <c r="AZ1537" t="s">
        <v>51</v>
      </c>
      <c r="BA1537" t="s">
        <v>52</v>
      </c>
      <c r="BL1537" t="s">
        <v>63</v>
      </c>
    </row>
    <row r="1538" spans="1:70" x14ac:dyDescent="0.2">
      <c r="A1538" t="s">
        <v>5446</v>
      </c>
      <c r="B1538" t="s">
        <v>2056</v>
      </c>
      <c r="C1538" t="s">
        <v>5721</v>
      </c>
      <c r="D1538" t="s">
        <v>5705</v>
      </c>
      <c r="E1538" t="s">
        <v>5722</v>
      </c>
      <c r="F1538" t="s">
        <v>118</v>
      </c>
      <c r="G1538" t="str">
        <f>HYPERLINK("https://vk.com/wall-18050099_220674?reply=220701&amp;thread=220696")</f>
        <v>https://vk.com/wall-18050099_220674?reply=220701&amp;thread=220696</v>
      </c>
      <c r="H1538" t="s">
        <v>119</v>
      </c>
      <c r="I1538" t="s">
        <v>5714</v>
      </c>
      <c r="J1538" t="str">
        <f>HYPERLINK("http://vk.com/id5676161")</f>
        <v>http://vk.com/id5676161</v>
      </c>
      <c r="K1538">
        <v>139</v>
      </c>
      <c r="L1538" t="s">
        <v>121</v>
      </c>
      <c r="N1538" t="s">
        <v>122</v>
      </c>
      <c r="O1538" t="s">
        <v>5708</v>
      </c>
      <c r="P1538" t="str">
        <f>HYPERLINK("http://vk.com/club18050099")</f>
        <v>http://vk.com/club18050099</v>
      </c>
      <c r="Q1538">
        <v>14518</v>
      </c>
      <c r="R1538" t="s">
        <v>124</v>
      </c>
      <c r="S1538" t="s">
        <v>125</v>
      </c>
      <c r="AM1538" t="s">
        <v>129</v>
      </c>
      <c r="AN1538" t="s">
        <v>130</v>
      </c>
      <c r="AP1538" t="s">
        <v>41</v>
      </c>
      <c r="AW1538" t="s">
        <v>48</v>
      </c>
      <c r="AZ1538" t="s">
        <v>51</v>
      </c>
      <c r="BA1538" t="s">
        <v>52</v>
      </c>
    </row>
    <row r="1539" spans="1:70" x14ac:dyDescent="0.2">
      <c r="A1539" t="s">
        <v>5446</v>
      </c>
      <c r="B1539" t="s">
        <v>2600</v>
      </c>
      <c r="C1539" t="s">
        <v>5723</v>
      </c>
      <c r="D1539" t="s">
        <v>5253</v>
      </c>
      <c r="E1539" t="s">
        <v>5724</v>
      </c>
      <c r="F1539" t="s">
        <v>118</v>
      </c>
      <c r="G1539" t="str">
        <f>HYPERLINK("https://vk.com/wall-22935147_368494?w=wall-22935147_368494_r368505")</f>
        <v>https://vk.com/wall-22935147_368494?w=wall-22935147_368494_r368505</v>
      </c>
      <c r="H1539" t="s">
        <v>119</v>
      </c>
      <c r="I1539" t="s">
        <v>5725</v>
      </c>
      <c r="J1539" t="str">
        <f>HYPERLINK("http://vk.com/id49387613")</f>
        <v>http://vk.com/id49387613</v>
      </c>
      <c r="K1539">
        <v>191</v>
      </c>
      <c r="L1539" t="s">
        <v>121</v>
      </c>
      <c r="N1539" t="s">
        <v>122</v>
      </c>
      <c r="O1539" t="s">
        <v>1093</v>
      </c>
      <c r="P1539" t="str">
        <f>HYPERLINK("http://vk.com/club22935147")</f>
        <v>http://vk.com/club22935147</v>
      </c>
      <c r="Q1539">
        <v>8943</v>
      </c>
      <c r="R1539" t="s">
        <v>124</v>
      </c>
      <c r="S1539" t="s">
        <v>125</v>
      </c>
      <c r="T1539" t="s">
        <v>5146</v>
      </c>
      <c r="U1539" t="s">
        <v>5726</v>
      </c>
      <c r="W1539">
        <v>0</v>
      </c>
      <c r="X1539">
        <v>0</v>
      </c>
      <c r="AM1539" t="s">
        <v>129</v>
      </c>
      <c r="AN1539" t="s">
        <v>130</v>
      </c>
      <c r="AP1539" t="s">
        <v>41</v>
      </c>
      <c r="AU1539" t="s">
        <v>46</v>
      </c>
      <c r="AZ1539" t="s">
        <v>51</v>
      </c>
      <c r="BA1539" t="s">
        <v>52</v>
      </c>
    </row>
    <row r="1540" spans="1:70" x14ac:dyDescent="0.2">
      <c r="A1540" t="s">
        <v>5446</v>
      </c>
      <c r="B1540" t="s">
        <v>2600</v>
      </c>
      <c r="C1540" t="s">
        <v>5723</v>
      </c>
      <c r="D1540" t="s">
        <v>5567</v>
      </c>
      <c r="E1540" t="s">
        <v>5727</v>
      </c>
      <c r="F1540" t="s">
        <v>118</v>
      </c>
      <c r="G1540" t="str">
        <f>HYPERLINK("https://vk.com/wall-61101621_254722?reply=254727")</f>
        <v>https://vk.com/wall-61101621_254722?reply=254727</v>
      </c>
      <c r="H1540" t="s">
        <v>228</v>
      </c>
      <c r="I1540" t="s">
        <v>5728</v>
      </c>
      <c r="J1540" t="str">
        <f>HYPERLINK("http://vk.com/id2195775")</f>
        <v>http://vk.com/id2195775</v>
      </c>
      <c r="K1540">
        <v>468</v>
      </c>
      <c r="L1540" t="s">
        <v>121</v>
      </c>
      <c r="N1540" t="s">
        <v>122</v>
      </c>
      <c r="O1540" t="s">
        <v>160</v>
      </c>
      <c r="P1540" t="str">
        <f>HYPERLINK("http://vk.com/club61101621")</f>
        <v>http://vk.com/club61101621</v>
      </c>
      <c r="Q1540">
        <v>21119</v>
      </c>
      <c r="R1540" t="s">
        <v>124</v>
      </c>
      <c r="S1540" t="s">
        <v>125</v>
      </c>
      <c r="T1540" t="s">
        <v>169</v>
      </c>
      <c r="U1540" t="s">
        <v>169</v>
      </c>
      <c r="W1540">
        <v>0</v>
      </c>
      <c r="X1540">
        <v>0</v>
      </c>
      <c r="AM1540" t="s">
        <v>129</v>
      </c>
      <c r="AN1540" t="s">
        <v>130</v>
      </c>
      <c r="AP1540" t="s">
        <v>41</v>
      </c>
      <c r="AU1540" t="s">
        <v>46</v>
      </c>
      <c r="AZ1540" t="s">
        <v>51</v>
      </c>
      <c r="BA1540" t="s">
        <v>52</v>
      </c>
    </row>
    <row r="1541" spans="1:70" x14ac:dyDescent="0.2">
      <c r="A1541" t="s">
        <v>5446</v>
      </c>
      <c r="B1541" t="s">
        <v>1015</v>
      </c>
      <c r="C1541" t="s">
        <v>5729</v>
      </c>
      <c r="D1541" t="s">
        <v>4493</v>
      </c>
      <c r="E1541" t="s">
        <v>5730</v>
      </c>
      <c r="F1541" t="s">
        <v>118</v>
      </c>
      <c r="G1541" t="str">
        <f>HYPERLINK("https://www.youtube.com/watch?v=1SBIbJI3czM&amp;lc=UgyxUoOWCWxgh0ujgsx4AaABAg")</f>
        <v>https://www.youtube.com/watch?v=1SBIbJI3czM&amp;lc=UgyxUoOWCWxgh0ujgsx4AaABAg</v>
      </c>
      <c r="H1541" t="s">
        <v>119</v>
      </c>
      <c r="I1541" t="s">
        <v>5731</v>
      </c>
      <c r="J1541" t="str">
        <f>HYPERLINK("https://www.youtube.com/channel/UCOSV6sFWgjbfcZSQ3k6Mfrw")</f>
        <v>https://www.youtube.com/channel/UCOSV6sFWgjbfcZSQ3k6Mfrw</v>
      </c>
      <c r="K1541">
        <v>111</v>
      </c>
      <c r="N1541" t="s">
        <v>248</v>
      </c>
      <c r="O1541" t="s">
        <v>4496</v>
      </c>
      <c r="P1541" t="str">
        <f>HYPERLINK("https://www.youtube.com/channel/UCIKsOvms5_CYAzWTRbiHWpQ")</f>
        <v>https://www.youtube.com/channel/UCIKsOvms5_CYAzWTRbiHWpQ</v>
      </c>
      <c r="Q1541">
        <v>7990</v>
      </c>
      <c r="R1541" t="s">
        <v>124</v>
      </c>
      <c r="S1541" t="s">
        <v>125</v>
      </c>
      <c r="W1541">
        <v>0</v>
      </c>
      <c r="X1541">
        <v>0</v>
      </c>
      <c r="AE1541">
        <v>1</v>
      </c>
      <c r="AM1541" t="s">
        <v>129</v>
      </c>
      <c r="AN1541" t="s">
        <v>130</v>
      </c>
      <c r="AP1541" t="s">
        <v>41</v>
      </c>
      <c r="AY1541" t="s">
        <v>50</v>
      </c>
      <c r="AZ1541" t="s">
        <v>51</v>
      </c>
      <c r="BA1541" t="s">
        <v>52</v>
      </c>
      <c r="BL1541" t="s">
        <v>63</v>
      </c>
    </row>
    <row r="1542" spans="1:70" x14ac:dyDescent="0.2">
      <c r="A1542" t="s">
        <v>5446</v>
      </c>
      <c r="B1542" t="s">
        <v>5232</v>
      </c>
      <c r="C1542" t="s">
        <v>5732</v>
      </c>
      <c r="D1542" t="s">
        <v>4609</v>
      </c>
      <c r="E1542" t="s">
        <v>5733</v>
      </c>
      <c r="F1542" t="s">
        <v>118</v>
      </c>
      <c r="G1542" t="str">
        <f>HYPERLINK("https://pikabu.ru/story/trikolor_tv_reklamnyiy_baner_kotoryiy_besitmalenkiy_layfkhak_8353681?cid=206664061")</f>
        <v>https://pikabu.ru/story/trikolor_tv_reklamnyiy_baner_kotoryiy_besitmalenkiy_layfkhak_8353681?cid=206664061</v>
      </c>
      <c r="H1542" t="s">
        <v>119</v>
      </c>
      <c r="I1542" t="s">
        <v>5734</v>
      </c>
      <c r="J1542" t="str">
        <f>HYPERLINK("http://pikabu.ru/profile/redrepublics")</f>
        <v>http://pikabu.ru/profile/redrepublics</v>
      </c>
      <c r="N1542" t="s">
        <v>402</v>
      </c>
      <c r="O1542" t="s">
        <v>4612</v>
      </c>
      <c r="P1542" t="str">
        <f>HYPERLINK("http://pikabu.ru/profile/Soonk80")</f>
        <v>http://pikabu.ru/profile/Soonk80</v>
      </c>
      <c r="R1542" t="s">
        <v>404</v>
      </c>
      <c r="W1542">
        <v>1</v>
      </c>
      <c r="X1542">
        <v>1</v>
      </c>
      <c r="AM1542" t="s">
        <v>129</v>
      </c>
      <c r="AN1542" t="s">
        <v>130</v>
      </c>
      <c r="AP1542" t="s">
        <v>41</v>
      </c>
      <c r="AZ1542" t="s">
        <v>51</v>
      </c>
      <c r="BA1542" t="s">
        <v>52</v>
      </c>
      <c r="BR1542" t="s">
        <v>69</v>
      </c>
    </row>
    <row r="1543" spans="1:70" x14ac:dyDescent="0.2">
      <c r="A1543" t="s">
        <v>5446</v>
      </c>
      <c r="B1543" t="s">
        <v>5735</v>
      </c>
      <c r="C1543" t="s">
        <v>1921</v>
      </c>
      <c r="D1543" t="s">
        <v>5736</v>
      </c>
      <c r="E1543" t="s">
        <v>5737</v>
      </c>
      <c r="F1543" t="s">
        <v>180</v>
      </c>
      <c r="G1543" t="str">
        <f>HYPERLINK("https://www.ozon.ru/context/detail/id/180483128/#60735247")</f>
        <v>https://www.ozon.ru/context/detail/id/180483128/#60735247</v>
      </c>
      <c r="H1543" t="s">
        <v>119</v>
      </c>
      <c r="I1543" t="s">
        <v>512</v>
      </c>
      <c r="J1543" t="str">
        <f>HYPERLINK("https://www.ozon.ru/context/client_opinion/ClientGuid//")</f>
        <v>https://www.ozon.ru/context/client_opinion/ClientGuid//</v>
      </c>
      <c r="N1543" t="s">
        <v>183</v>
      </c>
      <c r="O1543" t="s">
        <v>5738</v>
      </c>
      <c r="P1543" t="str">
        <f>HYPERLINK("https://www.ozon.ru/context/detail/id/180483128/")</f>
        <v>https://www.ozon.ru/context/detail/id/180483128/</v>
      </c>
      <c r="R1543" t="s">
        <v>184</v>
      </c>
      <c r="S1543" t="s">
        <v>125</v>
      </c>
      <c r="W1543">
        <v>0</v>
      </c>
      <c r="X1543">
        <v>0</v>
      </c>
      <c r="AH1543">
        <v>2</v>
      </c>
      <c r="AM1543" t="s">
        <v>129</v>
      </c>
      <c r="AN1543" t="s">
        <v>130</v>
      </c>
      <c r="AP1543" t="s">
        <v>41</v>
      </c>
      <c r="AU1543" t="s">
        <v>46</v>
      </c>
      <c r="AZ1543" t="s">
        <v>51</v>
      </c>
      <c r="BA1543" t="s">
        <v>52</v>
      </c>
      <c r="BK1543" t="s">
        <v>62</v>
      </c>
      <c r="BL1543" t="s">
        <v>63</v>
      </c>
    </row>
    <row r="1544" spans="1:70" x14ac:dyDescent="0.2">
      <c r="A1544" t="s">
        <v>5446</v>
      </c>
      <c r="B1544" t="s">
        <v>4335</v>
      </c>
      <c r="C1544" t="s">
        <v>5739</v>
      </c>
      <c r="D1544" t="s">
        <v>5740</v>
      </c>
      <c r="E1544" t="s">
        <v>5741</v>
      </c>
      <c r="F1544" t="s">
        <v>118</v>
      </c>
      <c r="G1544" t="str">
        <f>HYPERLINK("https://www.facebook.com/groups/ClubFinskihDachnikov/permalink/4233089020044856/?comment_id=4233193976701027&amp;reply_comment_id=4233410153346076")</f>
        <v>https://www.facebook.com/groups/ClubFinskihDachnikov/permalink/4233089020044856/?comment_id=4233193976701027&amp;reply_comment_id=4233410153346076</v>
      </c>
      <c r="H1544" t="s">
        <v>119</v>
      </c>
      <c r="I1544" t="s">
        <v>5742</v>
      </c>
      <c r="J1544" t="str">
        <f>HYPERLINK("https://www.facebook.com/100000290503239")</f>
        <v>https://www.facebook.com/100000290503239</v>
      </c>
      <c r="K1544">
        <v>0</v>
      </c>
      <c r="L1544" t="s">
        <v>121</v>
      </c>
      <c r="N1544" t="s">
        <v>305</v>
      </c>
      <c r="O1544" t="s">
        <v>5743</v>
      </c>
      <c r="P1544" t="str">
        <f>HYPERLINK("https://www.facebook.com/1076179589069164")</f>
        <v>https://www.facebook.com/1076179589069164</v>
      </c>
      <c r="Q1544">
        <v>2227</v>
      </c>
      <c r="R1544" t="s">
        <v>124</v>
      </c>
      <c r="S1544" t="s">
        <v>125</v>
      </c>
      <c r="T1544" t="s">
        <v>137</v>
      </c>
      <c r="U1544" t="s">
        <v>137</v>
      </c>
      <c r="W1544">
        <v>0</v>
      </c>
      <c r="X1544">
        <v>0</v>
      </c>
      <c r="AE1544">
        <v>0</v>
      </c>
      <c r="AM1544" t="s">
        <v>129</v>
      </c>
      <c r="AN1544" t="s">
        <v>130</v>
      </c>
      <c r="AP1544" t="s">
        <v>41</v>
      </c>
      <c r="AZ1544" t="s">
        <v>51</v>
      </c>
      <c r="BA1544" t="s">
        <v>52</v>
      </c>
      <c r="BM1544" t="s">
        <v>64</v>
      </c>
    </row>
    <row r="1545" spans="1:70" x14ac:dyDescent="0.2">
      <c r="A1545" t="s">
        <v>5446</v>
      </c>
      <c r="B1545" t="s">
        <v>4771</v>
      </c>
      <c r="C1545" t="s">
        <v>5208</v>
      </c>
      <c r="D1545" t="s">
        <v>5744</v>
      </c>
      <c r="E1545" t="s">
        <v>5745</v>
      </c>
      <c r="F1545" t="s">
        <v>180</v>
      </c>
      <c r="G1545" t="str">
        <f>HYPERLINK("https://market.yandex.ru/product/663142127/reviews?id=134907016")</f>
        <v>https://market.yandex.ru/product/663142127/reviews?id=134907016</v>
      </c>
      <c r="H1545" t="s">
        <v>181</v>
      </c>
      <c r="I1545" t="s">
        <v>4864</v>
      </c>
      <c r="J1545" t="str">
        <f>HYPERLINK("https://market.yandex.ru/user/35zz2wx2frgatq0ncpagdvn0q4/reviews")</f>
        <v>https://market.yandex.ru/user/35zz2wx2frgatq0ncpagdvn0q4/reviews</v>
      </c>
      <c r="L1545" t="s">
        <v>121</v>
      </c>
      <c r="N1545" t="s">
        <v>611</v>
      </c>
      <c r="O1545" t="s">
        <v>5744</v>
      </c>
      <c r="P1545" t="str">
        <f>HYPERLINK("https://market.yandex.ru/product/663142127")</f>
        <v>https://market.yandex.ru/product/663142127</v>
      </c>
      <c r="R1545" t="s">
        <v>184</v>
      </c>
      <c r="S1545" t="s">
        <v>125</v>
      </c>
      <c r="T1545" t="s">
        <v>487</v>
      </c>
      <c r="U1545" t="s">
        <v>1826</v>
      </c>
      <c r="W1545">
        <v>0</v>
      </c>
      <c r="X1545">
        <v>0</v>
      </c>
      <c r="AH1545">
        <v>5</v>
      </c>
      <c r="AM1545" t="s">
        <v>129</v>
      </c>
      <c r="AN1545" t="s">
        <v>130</v>
      </c>
      <c r="AP1545" t="s">
        <v>41</v>
      </c>
      <c r="AZ1545" t="s">
        <v>51</v>
      </c>
      <c r="BA1545" t="s">
        <v>52</v>
      </c>
      <c r="BM1545" t="s">
        <v>64</v>
      </c>
    </row>
    <row r="1546" spans="1:70" x14ac:dyDescent="0.2">
      <c r="A1546" t="s">
        <v>5446</v>
      </c>
      <c r="B1546" t="s">
        <v>4773</v>
      </c>
      <c r="C1546" t="s">
        <v>5746</v>
      </c>
      <c r="D1546" t="s">
        <v>4094</v>
      </c>
      <c r="E1546" t="s">
        <v>5747</v>
      </c>
      <c r="F1546" t="s">
        <v>118</v>
      </c>
      <c r="G1546" t="str">
        <f>HYPERLINK("https://www.youtube.com/watch?v=XCtxDrX5LP0&amp;lc=UgzTDrXfK4Qzy0seqnV4AaABAg.9Q0-xqHijww9Q0VI_d2SXw")</f>
        <v>https://www.youtube.com/watch?v=XCtxDrX5LP0&amp;lc=UgzTDrXfK4Qzy0seqnV4AaABAg.9Q0-xqHijww9Q0VI_d2SXw</v>
      </c>
      <c r="H1546" t="s">
        <v>119</v>
      </c>
      <c r="I1546" t="s">
        <v>4096</v>
      </c>
      <c r="J1546" t="str">
        <f>HYPERLINK("https://www.youtube.com/channel/UCS_hQzqKW9msSt87cX24c8Q")</f>
        <v>https://www.youtube.com/channel/UCS_hQzqKW9msSt87cX24c8Q</v>
      </c>
      <c r="K1546">
        <v>15600</v>
      </c>
      <c r="N1546" t="s">
        <v>248</v>
      </c>
      <c r="O1546" t="s">
        <v>4096</v>
      </c>
      <c r="P1546" t="str">
        <f>HYPERLINK("https://www.youtube.com/channel/UCS_hQzqKW9msSt87cX24c8Q")</f>
        <v>https://www.youtube.com/channel/UCS_hQzqKW9msSt87cX24c8Q</v>
      </c>
      <c r="Q1546">
        <v>15600</v>
      </c>
      <c r="R1546" t="s">
        <v>124</v>
      </c>
      <c r="S1546" t="s">
        <v>125</v>
      </c>
      <c r="W1546">
        <v>0</v>
      </c>
      <c r="X1546">
        <v>0</v>
      </c>
      <c r="AM1546" t="s">
        <v>129</v>
      </c>
      <c r="AN1546" t="s">
        <v>130</v>
      </c>
      <c r="AP1546" t="s">
        <v>41</v>
      </c>
      <c r="AT1546" t="s">
        <v>45</v>
      </c>
      <c r="AZ1546" t="s">
        <v>51</v>
      </c>
      <c r="BB1546" t="s">
        <v>53</v>
      </c>
    </row>
    <row r="1547" spans="1:70" x14ac:dyDescent="0.2">
      <c r="A1547" t="s">
        <v>5446</v>
      </c>
      <c r="B1547" t="s">
        <v>5748</v>
      </c>
      <c r="C1547" t="s">
        <v>5732</v>
      </c>
      <c r="D1547" t="s">
        <v>4609</v>
      </c>
      <c r="E1547" t="s">
        <v>5749</v>
      </c>
      <c r="F1547" t="s">
        <v>118</v>
      </c>
      <c r="G1547" t="str">
        <f>HYPERLINK("https://pikabu.ru/story/trikolor_tv_reklamnyiy_baner_kotoryiy_besitmalenkiy_layfkhak_8353681?cid=206662295")</f>
        <v>https://pikabu.ru/story/trikolor_tv_reklamnyiy_baner_kotoryiy_besitmalenkiy_layfkhak_8353681?cid=206662295</v>
      </c>
      <c r="H1547" t="s">
        <v>119</v>
      </c>
      <c r="I1547" t="s">
        <v>5421</v>
      </c>
      <c r="J1547" t="str">
        <f>HYPERLINK("http://pikabu.ru/profile/BearInTheHole")</f>
        <v>http://pikabu.ru/profile/BearInTheHole</v>
      </c>
      <c r="N1547" t="s">
        <v>402</v>
      </c>
      <c r="O1547" t="s">
        <v>4612</v>
      </c>
      <c r="P1547" t="str">
        <f>HYPERLINK("http://pikabu.ru/profile/Soonk80")</f>
        <v>http://pikabu.ru/profile/Soonk80</v>
      </c>
      <c r="R1547" t="s">
        <v>404</v>
      </c>
      <c r="AM1547" t="s">
        <v>129</v>
      </c>
      <c r="AN1547" t="s">
        <v>130</v>
      </c>
      <c r="AP1547" t="s">
        <v>41</v>
      </c>
      <c r="AZ1547" t="s">
        <v>51</v>
      </c>
      <c r="BA1547" t="s">
        <v>52</v>
      </c>
      <c r="BL1547" t="s">
        <v>63</v>
      </c>
    </row>
    <row r="1548" spans="1:70" x14ac:dyDescent="0.2">
      <c r="A1548" t="s">
        <v>5446</v>
      </c>
      <c r="B1548" t="s">
        <v>1023</v>
      </c>
      <c r="C1548" t="s">
        <v>5750</v>
      </c>
      <c r="D1548" t="s">
        <v>5705</v>
      </c>
      <c r="E1548" t="s">
        <v>5751</v>
      </c>
      <c r="F1548" t="s">
        <v>118</v>
      </c>
      <c r="G1548" t="str">
        <f>HYPERLINK("https://vk.com/wall-18050099_220674?reply=220696")</f>
        <v>https://vk.com/wall-18050099_220674?reply=220696</v>
      </c>
      <c r="H1548" t="s">
        <v>119</v>
      </c>
      <c r="I1548" t="s">
        <v>5707</v>
      </c>
      <c r="J1548" t="str">
        <f>HYPERLINK("http://vk.com/id6534905")</f>
        <v>http://vk.com/id6534905</v>
      </c>
      <c r="K1548">
        <v>468</v>
      </c>
      <c r="L1548" t="s">
        <v>151</v>
      </c>
      <c r="N1548" t="s">
        <v>122</v>
      </c>
      <c r="O1548" t="s">
        <v>5708</v>
      </c>
      <c r="P1548" t="str">
        <f>HYPERLINK("http://vk.com/club18050099")</f>
        <v>http://vk.com/club18050099</v>
      </c>
      <c r="Q1548">
        <v>14518</v>
      </c>
      <c r="R1548" t="s">
        <v>124</v>
      </c>
      <c r="S1548" t="s">
        <v>125</v>
      </c>
      <c r="T1548" t="s">
        <v>137</v>
      </c>
      <c r="U1548" t="s">
        <v>137</v>
      </c>
      <c r="AM1548" t="s">
        <v>129</v>
      </c>
      <c r="AN1548" t="s">
        <v>130</v>
      </c>
      <c r="AP1548" t="s">
        <v>41</v>
      </c>
      <c r="AW1548" t="s">
        <v>48</v>
      </c>
      <c r="AZ1548" t="s">
        <v>51</v>
      </c>
      <c r="BA1548" t="s">
        <v>52</v>
      </c>
    </row>
    <row r="1549" spans="1:70" x14ac:dyDescent="0.2">
      <c r="A1549" t="s">
        <v>5446</v>
      </c>
      <c r="B1549" t="s">
        <v>1023</v>
      </c>
      <c r="C1549" t="s">
        <v>5750</v>
      </c>
      <c r="D1549" t="s">
        <v>5705</v>
      </c>
      <c r="E1549" t="s">
        <v>5752</v>
      </c>
      <c r="F1549" t="s">
        <v>118</v>
      </c>
      <c r="G1549" t="str">
        <f>HYPERLINK("https://vk.com/wall-18050099_220674?reply=220695&amp;thread=220694")</f>
        <v>https://vk.com/wall-18050099_220674?reply=220695&amp;thread=220694</v>
      </c>
      <c r="H1549" t="s">
        <v>119</v>
      </c>
      <c r="I1549" t="s">
        <v>5707</v>
      </c>
      <c r="J1549" t="str">
        <f>HYPERLINK("http://vk.com/id6534905")</f>
        <v>http://vk.com/id6534905</v>
      </c>
      <c r="K1549">
        <v>468</v>
      </c>
      <c r="L1549" t="s">
        <v>151</v>
      </c>
      <c r="N1549" t="s">
        <v>122</v>
      </c>
      <c r="O1549" t="s">
        <v>5708</v>
      </c>
      <c r="P1549" t="str">
        <f>HYPERLINK("http://vk.com/club18050099")</f>
        <v>http://vk.com/club18050099</v>
      </c>
      <c r="Q1549">
        <v>14518</v>
      </c>
      <c r="R1549" t="s">
        <v>124</v>
      </c>
      <c r="S1549" t="s">
        <v>125</v>
      </c>
      <c r="T1549" t="s">
        <v>137</v>
      </c>
      <c r="U1549" t="s">
        <v>137</v>
      </c>
      <c r="AM1549" t="s">
        <v>129</v>
      </c>
      <c r="AN1549" t="s">
        <v>130</v>
      </c>
      <c r="AP1549" t="s">
        <v>41</v>
      </c>
      <c r="AW1549" t="s">
        <v>48</v>
      </c>
      <c r="AZ1549" t="s">
        <v>51</v>
      </c>
      <c r="BA1549" t="s">
        <v>52</v>
      </c>
    </row>
    <row r="1550" spans="1:70" x14ac:dyDescent="0.2">
      <c r="A1550" t="s">
        <v>5446</v>
      </c>
      <c r="B1550" t="s">
        <v>1029</v>
      </c>
      <c r="C1550" t="s">
        <v>5753</v>
      </c>
      <c r="D1550" t="s">
        <v>5338</v>
      </c>
      <c r="E1550" t="s">
        <v>5754</v>
      </c>
      <c r="F1550" t="s">
        <v>118</v>
      </c>
      <c r="G1550" t="str">
        <f>HYPERLINK("https://vk.com/wall-61101621_254723?reply=254726")</f>
        <v>https://vk.com/wall-61101621_254723?reply=254726</v>
      </c>
      <c r="H1550" t="s">
        <v>119</v>
      </c>
      <c r="I1550" t="s">
        <v>733</v>
      </c>
      <c r="J1550" t="str">
        <f>HYPERLINK("http://vk.com/id618635793")</f>
        <v>http://vk.com/id618635793</v>
      </c>
      <c r="K1550">
        <v>18</v>
      </c>
      <c r="L1550" t="s">
        <v>121</v>
      </c>
      <c r="M1550">
        <v>53</v>
      </c>
      <c r="N1550" t="s">
        <v>122</v>
      </c>
      <c r="O1550" t="s">
        <v>160</v>
      </c>
      <c r="P1550" t="str">
        <f>HYPERLINK("http://vk.com/club61101621")</f>
        <v>http://vk.com/club61101621</v>
      </c>
      <c r="Q1550">
        <v>21119</v>
      </c>
      <c r="R1550" t="s">
        <v>124</v>
      </c>
      <c r="S1550" t="s">
        <v>125</v>
      </c>
      <c r="T1550" t="s">
        <v>212</v>
      </c>
      <c r="U1550" t="s">
        <v>734</v>
      </c>
      <c r="AM1550" t="s">
        <v>129</v>
      </c>
      <c r="AN1550" t="s">
        <v>130</v>
      </c>
      <c r="AP1550" t="s">
        <v>41</v>
      </c>
      <c r="AW1550" t="s">
        <v>48</v>
      </c>
      <c r="AZ1550" t="s">
        <v>51</v>
      </c>
      <c r="BA1550" t="s">
        <v>52</v>
      </c>
      <c r="BM1550" t="s">
        <v>64</v>
      </c>
    </row>
    <row r="1551" spans="1:70" x14ac:dyDescent="0.2">
      <c r="A1551" t="s">
        <v>5446</v>
      </c>
      <c r="B1551" t="s">
        <v>1034</v>
      </c>
      <c r="C1551" t="s">
        <v>5755</v>
      </c>
      <c r="D1551" t="s">
        <v>5338</v>
      </c>
      <c r="E1551" t="s">
        <v>5756</v>
      </c>
      <c r="F1551" t="s">
        <v>118</v>
      </c>
      <c r="G1551" t="str">
        <f>HYPERLINK("https://vk.com/wall-61101621_254723?reply=254725")</f>
        <v>https://vk.com/wall-61101621_254723?reply=254725</v>
      </c>
      <c r="H1551" t="s">
        <v>119</v>
      </c>
      <c r="I1551" t="s">
        <v>733</v>
      </c>
      <c r="J1551" t="str">
        <f>HYPERLINK("http://vk.com/id618635793")</f>
        <v>http://vk.com/id618635793</v>
      </c>
      <c r="K1551">
        <v>18</v>
      </c>
      <c r="L1551" t="s">
        <v>121</v>
      </c>
      <c r="M1551">
        <v>53</v>
      </c>
      <c r="N1551" t="s">
        <v>122</v>
      </c>
      <c r="O1551" t="s">
        <v>160</v>
      </c>
      <c r="P1551" t="str">
        <f>HYPERLINK("http://vk.com/club61101621")</f>
        <v>http://vk.com/club61101621</v>
      </c>
      <c r="Q1551">
        <v>21119</v>
      </c>
      <c r="R1551" t="s">
        <v>124</v>
      </c>
      <c r="S1551" t="s">
        <v>125</v>
      </c>
      <c r="T1551" t="s">
        <v>212</v>
      </c>
      <c r="U1551" t="s">
        <v>734</v>
      </c>
      <c r="AM1551" t="s">
        <v>129</v>
      </c>
      <c r="AN1551" t="s">
        <v>130</v>
      </c>
      <c r="AP1551" t="s">
        <v>41</v>
      </c>
      <c r="AU1551" t="s">
        <v>46</v>
      </c>
      <c r="AW1551" t="s">
        <v>48</v>
      </c>
      <c r="AZ1551" t="s">
        <v>51</v>
      </c>
      <c r="BA1551" t="s">
        <v>52</v>
      </c>
    </row>
    <row r="1552" spans="1:70" x14ac:dyDescent="0.2">
      <c r="A1552" t="s">
        <v>5446</v>
      </c>
      <c r="B1552" t="s">
        <v>474</v>
      </c>
      <c r="C1552" t="s">
        <v>5757</v>
      </c>
      <c r="D1552" t="s">
        <v>5338</v>
      </c>
      <c r="E1552" t="s">
        <v>5758</v>
      </c>
      <c r="F1552" t="s">
        <v>118</v>
      </c>
      <c r="G1552" t="str">
        <f>HYPERLINK("https://vk.com/wall-61101621_254723?reply=254724")</f>
        <v>https://vk.com/wall-61101621_254723?reply=254724</v>
      </c>
      <c r="H1552" t="s">
        <v>119</v>
      </c>
      <c r="I1552" t="s">
        <v>733</v>
      </c>
      <c r="J1552" t="str">
        <f>HYPERLINK("http://vk.com/id618635793")</f>
        <v>http://vk.com/id618635793</v>
      </c>
      <c r="K1552">
        <v>18</v>
      </c>
      <c r="L1552" t="s">
        <v>121</v>
      </c>
      <c r="M1552">
        <v>53</v>
      </c>
      <c r="N1552" t="s">
        <v>122</v>
      </c>
      <c r="O1552" t="s">
        <v>160</v>
      </c>
      <c r="P1552" t="str">
        <f>HYPERLINK("http://vk.com/club61101621")</f>
        <v>http://vk.com/club61101621</v>
      </c>
      <c r="Q1552">
        <v>21119</v>
      </c>
      <c r="R1552" t="s">
        <v>124</v>
      </c>
      <c r="S1552" t="s">
        <v>125</v>
      </c>
      <c r="T1552" t="s">
        <v>212</v>
      </c>
      <c r="U1552" t="s">
        <v>734</v>
      </c>
      <c r="AM1552" t="s">
        <v>129</v>
      </c>
      <c r="AN1552" t="s">
        <v>130</v>
      </c>
      <c r="AP1552" t="s">
        <v>41</v>
      </c>
      <c r="AU1552" t="s">
        <v>46</v>
      </c>
      <c r="AW1552" t="s">
        <v>48</v>
      </c>
      <c r="AZ1552" t="s">
        <v>51</v>
      </c>
      <c r="BA1552" t="s">
        <v>52</v>
      </c>
    </row>
    <row r="1553" spans="1:65" x14ac:dyDescent="0.2">
      <c r="A1553" t="s">
        <v>5446</v>
      </c>
      <c r="B1553" t="s">
        <v>4796</v>
      </c>
      <c r="C1553" t="s">
        <v>5759</v>
      </c>
      <c r="D1553" t="s">
        <v>5705</v>
      </c>
      <c r="E1553" t="s">
        <v>5760</v>
      </c>
      <c r="F1553" t="s">
        <v>118</v>
      </c>
      <c r="G1553" t="str">
        <f>HYPERLINK("https://vk.com/wall-18050099_220674?reply=220694")</f>
        <v>https://vk.com/wall-18050099_220674?reply=220694</v>
      </c>
      <c r="H1553" t="s">
        <v>119</v>
      </c>
      <c r="I1553" t="s">
        <v>5714</v>
      </c>
      <c r="J1553" t="str">
        <f>HYPERLINK("http://vk.com/id5676161")</f>
        <v>http://vk.com/id5676161</v>
      </c>
      <c r="K1553">
        <v>139</v>
      </c>
      <c r="L1553" t="s">
        <v>121</v>
      </c>
      <c r="N1553" t="s">
        <v>122</v>
      </c>
      <c r="O1553" t="s">
        <v>5708</v>
      </c>
      <c r="P1553" t="str">
        <f>HYPERLINK("http://vk.com/club18050099")</f>
        <v>http://vk.com/club18050099</v>
      </c>
      <c r="Q1553">
        <v>14518</v>
      </c>
      <c r="R1553" t="s">
        <v>124</v>
      </c>
      <c r="S1553" t="s">
        <v>125</v>
      </c>
      <c r="AM1553" t="s">
        <v>129</v>
      </c>
      <c r="AN1553" t="s">
        <v>130</v>
      </c>
      <c r="AP1553" t="s">
        <v>41</v>
      </c>
      <c r="AZ1553" t="s">
        <v>51</v>
      </c>
      <c r="BA1553" t="s">
        <v>52</v>
      </c>
      <c r="BM1553" t="s">
        <v>64</v>
      </c>
    </row>
    <row r="1554" spans="1:65" x14ac:dyDescent="0.2">
      <c r="A1554" t="s">
        <v>5446</v>
      </c>
      <c r="B1554" t="s">
        <v>5761</v>
      </c>
      <c r="C1554" t="s">
        <v>5762</v>
      </c>
      <c r="D1554" t="s">
        <v>129</v>
      </c>
      <c r="E1554" t="s">
        <v>5763</v>
      </c>
      <c r="F1554" t="s">
        <v>180</v>
      </c>
      <c r="G1554" t="str">
        <f>HYPERLINK("https://vk.com/wall-61101621_254723")</f>
        <v>https://vk.com/wall-61101621_254723</v>
      </c>
      <c r="H1554" t="s">
        <v>119</v>
      </c>
      <c r="I1554" t="s">
        <v>3067</v>
      </c>
      <c r="J1554" t="str">
        <f>HYPERLINK("http://vk.com/id7451579")</f>
        <v>http://vk.com/id7451579</v>
      </c>
      <c r="K1554">
        <v>88</v>
      </c>
      <c r="L1554" t="s">
        <v>151</v>
      </c>
      <c r="N1554" t="s">
        <v>122</v>
      </c>
      <c r="O1554" t="s">
        <v>160</v>
      </c>
      <c r="P1554" t="str">
        <f>HYPERLINK("http://vk.com/club61101621")</f>
        <v>http://vk.com/club61101621</v>
      </c>
      <c r="Q1554">
        <v>21119</v>
      </c>
      <c r="R1554" t="s">
        <v>124</v>
      </c>
      <c r="S1554" t="s">
        <v>125</v>
      </c>
      <c r="T1554" t="s">
        <v>169</v>
      </c>
      <c r="U1554" t="s">
        <v>169</v>
      </c>
      <c r="W1554">
        <v>5</v>
      </c>
      <c r="X1554">
        <v>5</v>
      </c>
      <c r="AE1554">
        <v>5</v>
      </c>
      <c r="AF1554">
        <v>0</v>
      </c>
      <c r="AG1554">
        <v>1945</v>
      </c>
      <c r="AM1554" t="s">
        <v>129</v>
      </c>
      <c r="AN1554" t="s">
        <v>130</v>
      </c>
      <c r="AP1554" t="s">
        <v>41</v>
      </c>
      <c r="AU1554" t="s">
        <v>46</v>
      </c>
      <c r="AW1554" t="s">
        <v>48</v>
      </c>
      <c r="AZ1554" t="s">
        <v>51</v>
      </c>
      <c r="BA1554" t="s">
        <v>52</v>
      </c>
    </row>
    <row r="1555" spans="1:65" x14ac:dyDescent="0.2">
      <c r="A1555" t="s">
        <v>5446</v>
      </c>
      <c r="B1555" t="s">
        <v>5764</v>
      </c>
      <c r="C1555" t="s">
        <v>5765</v>
      </c>
      <c r="D1555" t="s">
        <v>1663</v>
      </c>
      <c r="E1555" t="s">
        <v>5766</v>
      </c>
      <c r="F1555" t="s">
        <v>180</v>
      </c>
      <c r="G1555" t="str">
        <f>HYPERLINK("https://www.google.com/maps/reviews/data=!4m5!14m4!1m3!1m2!1s102058456313902168237!2s0x0:0xf172d25da27f5b80?hl=en-NL")</f>
        <v>https://www.google.com/maps/reviews/data=!4m5!14m4!1m3!1m2!1s102058456313902168237!2s0x0:0xf172d25da27f5b80?hl=en-NL</v>
      </c>
      <c r="H1555" t="s">
        <v>181</v>
      </c>
      <c r="I1555" t="s">
        <v>5767</v>
      </c>
      <c r="J1555" t="str">
        <f>HYPERLINK("https://maps.google.com/maps/contrib/102058456313902168237")</f>
        <v>https://maps.google.com/maps/contrib/102058456313902168237</v>
      </c>
      <c r="L1555" t="s">
        <v>151</v>
      </c>
      <c r="N1555" t="s">
        <v>673</v>
      </c>
      <c r="O1555" t="s">
        <v>1663</v>
      </c>
      <c r="P1555" t="str">
        <f>HYPERLINK("https://maps.google.com/maps/place/data=!3m1!4b1!4m5!3m4!1s0x0:0xf172d25da27f5b80!8m2!3d55.808910!4d38.976930")</f>
        <v>https://maps.google.com/maps/place/data=!3m1!4b1!4m5!3m4!1s0x0:0xf172d25da27f5b80!8m2!3d55.808910!4d38.976930</v>
      </c>
      <c r="R1555" t="s">
        <v>184</v>
      </c>
      <c r="S1555" t="s">
        <v>125</v>
      </c>
      <c r="T1555" t="s">
        <v>153</v>
      </c>
      <c r="U1555" t="s">
        <v>5768</v>
      </c>
      <c r="W1555">
        <v>0</v>
      </c>
      <c r="X1555">
        <v>0</v>
      </c>
      <c r="AH1555">
        <v>5</v>
      </c>
      <c r="AM1555" t="s">
        <v>129</v>
      </c>
      <c r="AN1555" t="s">
        <v>130</v>
      </c>
      <c r="AP1555" t="s">
        <v>41</v>
      </c>
      <c r="AX1555" t="s">
        <v>49</v>
      </c>
      <c r="AZ1555" t="s">
        <v>51</v>
      </c>
      <c r="BA1555" t="s">
        <v>52</v>
      </c>
    </row>
    <row r="1556" spans="1:65" x14ac:dyDescent="0.2">
      <c r="A1556" t="s">
        <v>5446</v>
      </c>
      <c r="B1556" t="s">
        <v>5764</v>
      </c>
      <c r="C1556" t="s">
        <v>5762</v>
      </c>
      <c r="D1556" t="s">
        <v>5253</v>
      </c>
      <c r="E1556" t="s">
        <v>5769</v>
      </c>
      <c r="F1556" t="s">
        <v>118</v>
      </c>
      <c r="G1556" t="str">
        <f>HYPERLINK("https://vk.com/wall-22935147_368494?w=wall-22935147_368494_r368503")</f>
        <v>https://vk.com/wall-22935147_368494?w=wall-22935147_368494_r368503</v>
      </c>
      <c r="H1556" t="s">
        <v>119</v>
      </c>
      <c r="I1556" t="s">
        <v>3125</v>
      </c>
      <c r="J1556" t="str">
        <f>HYPERLINK("http://vk.com/id163176940")</f>
        <v>http://vk.com/id163176940</v>
      </c>
      <c r="K1556">
        <v>20</v>
      </c>
      <c r="L1556" t="s">
        <v>121</v>
      </c>
      <c r="N1556" t="s">
        <v>122</v>
      </c>
      <c r="O1556" t="s">
        <v>1093</v>
      </c>
      <c r="P1556" t="str">
        <f>HYPERLINK("http://vk.com/club22935147")</f>
        <v>http://vk.com/club22935147</v>
      </c>
      <c r="Q1556">
        <v>8943</v>
      </c>
      <c r="R1556" t="s">
        <v>124</v>
      </c>
      <c r="S1556" t="s">
        <v>125</v>
      </c>
      <c r="T1556" t="s">
        <v>1103</v>
      </c>
      <c r="U1556" t="s">
        <v>1104</v>
      </c>
      <c r="W1556">
        <v>0</v>
      </c>
      <c r="X1556">
        <v>0</v>
      </c>
      <c r="AM1556" t="s">
        <v>129</v>
      </c>
      <c r="AN1556" t="s">
        <v>130</v>
      </c>
      <c r="AP1556" t="s">
        <v>41</v>
      </c>
      <c r="AU1556" t="s">
        <v>46</v>
      </c>
      <c r="AZ1556" t="s">
        <v>51</v>
      </c>
      <c r="BA1556" t="s">
        <v>52</v>
      </c>
    </row>
    <row r="1557" spans="1:65" x14ac:dyDescent="0.2">
      <c r="A1557" t="s">
        <v>5446</v>
      </c>
      <c r="B1557" t="s">
        <v>1054</v>
      </c>
      <c r="C1557" t="s">
        <v>5753</v>
      </c>
      <c r="D1557" t="s">
        <v>4609</v>
      </c>
      <c r="E1557" t="s">
        <v>5770</v>
      </c>
      <c r="F1557" t="s">
        <v>118</v>
      </c>
      <c r="G1557" t="str">
        <f>HYPERLINK("https://pikabu.ru/story/trikolor_tv_reklamnyiy_baner_kotoryiy_besitmalenkiy_layfkhak_8353681?cid=206658124")</f>
        <v>https://pikabu.ru/story/trikolor_tv_reklamnyiy_baner_kotoryiy_besitmalenkiy_layfkhak_8353681?cid=206658124</v>
      </c>
      <c r="H1557" t="s">
        <v>119</v>
      </c>
      <c r="I1557" t="s">
        <v>5771</v>
      </c>
      <c r="J1557" t="str">
        <f>HYPERLINK("http://pikabu.ru/profile/HitryGus")</f>
        <v>http://pikabu.ru/profile/HitryGus</v>
      </c>
      <c r="N1557" t="s">
        <v>402</v>
      </c>
      <c r="O1557" t="s">
        <v>4612</v>
      </c>
      <c r="P1557" t="str">
        <f>HYPERLINK("http://pikabu.ru/profile/Soonk80")</f>
        <v>http://pikabu.ru/profile/Soonk80</v>
      </c>
      <c r="R1557" t="s">
        <v>404</v>
      </c>
      <c r="AM1557" t="s">
        <v>129</v>
      </c>
      <c r="AN1557" t="s">
        <v>130</v>
      </c>
      <c r="AP1557" t="s">
        <v>41</v>
      </c>
      <c r="AW1557" t="s">
        <v>48</v>
      </c>
      <c r="AZ1557" t="s">
        <v>51</v>
      </c>
      <c r="BB1557" t="s">
        <v>53</v>
      </c>
    </row>
    <row r="1558" spans="1:65" x14ac:dyDescent="0.2">
      <c r="A1558" t="s">
        <v>5446</v>
      </c>
      <c r="B1558" t="s">
        <v>3853</v>
      </c>
      <c r="C1558" t="s">
        <v>5772</v>
      </c>
      <c r="D1558" t="s">
        <v>5773</v>
      </c>
      <c r="E1558" t="s">
        <v>5774</v>
      </c>
      <c r="F1558" t="s">
        <v>180</v>
      </c>
      <c r="G1558" t="str">
        <f>HYPERLINK("https://market.yandex.ru/product/902901982/reviews?id=134902946")</f>
        <v>https://market.yandex.ru/product/902901982/reviews?id=134902946</v>
      </c>
      <c r="H1558" t="s">
        <v>181</v>
      </c>
      <c r="I1558" t="s">
        <v>5775</v>
      </c>
      <c r="J1558" t="str">
        <f>HYPERLINK("https://market.yandex.ru/user/tr16gkg37px69b54uucpkn9g0r/reviews")</f>
        <v>https://market.yandex.ru/user/tr16gkg37px69b54uucpkn9g0r/reviews</v>
      </c>
      <c r="L1558" t="s">
        <v>151</v>
      </c>
      <c r="N1558" t="s">
        <v>611</v>
      </c>
      <c r="O1558" t="s">
        <v>5773</v>
      </c>
      <c r="P1558" t="str">
        <f>HYPERLINK("https://market.yandex.ru/product/902901982")</f>
        <v>https://market.yandex.ru/product/902901982</v>
      </c>
      <c r="R1558" t="s">
        <v>184</v>
      </c>
      <c r="S1558" t="s">
        <v>125</v>
      </c>
      <c r="T1558" t="s">
        <v>759</v>
      </c>
      <c r="U1558" t="s">
        <v>5776</v>
      </c>
      <c r="W1558">
        <v>0</v>
      </c>
      <c r="X1558">
        <v>0</v>
      </c>
      <c r="AH1558">
        <v>5</v>
      </c>
      <c r="AM1558" t="s">
        <v>129</v>
      </c>
      <c r="AN1558" t="s">
        <v>130</v>
      </c>
      <c r="AP1558" t="s">
        <v>41</v>
      </c>
      <c r="AZ1558" t="s">
        <v>51</v>
      </c>
      <c r="BA1558" t="s">
        <v>52</v>
      </c>
      <c r="BK1558" t="s">
        <v>62</v>
      </c>
    </row>
    <row r="1559" spans="1:65" x14ac:dyDescent="0.2">
      <c r="A1559" t="s">
        <v>5446</v>
      </c>
      <c r="B1559" t="s">
        <v>506</v>
      </c>
      <c r="C1559" t="s">
        <v>5777</v>
      </c>
      <c r="D1559" t="s">
        <v>5778</v>
      </c>
      <c r="E1559" t="s">
        <v>5779</v>
      </c>
      <c r="F1559" t="s">
        <v>180</v>
      </c>
      <c r="G1559" t="str">
        <f>HYPERLINK("https://forum.auto.ru/housing/17522880/#post-17522891")</f>
        <v>https://forum.auto.ru/housing/17522880/#post-17522891</v>
      </c>
      <c r="H1559" t="s">
        <v>119</v>
      </c>
      <c r="I1559" t="s">
        <v>5780</v>
      </c>
      <c r="J1559" t="str">
        <f>HYPERLINK("https://auto.ru/profile/8882346/")</f>
        <v>https://auto.ru/profile/8882346/</v>
      </c>
      <c r="N1559" t="s">
        <v>4534</v>
      </c>
      <c r="O1559" t="s">
        <v>4535</v>
      </c>
      <c r="P1559" t="str">
        <f>HYPERLINK("https://forum.auto.ru/housing/")</f>
        <v>https://forum.auto.ru/housing/</v>
      </c>
      <c r="R1559" t="s">
        <v>295</v>
      </c>
      <c r="S1559" t="s">
        <v>125</v>
      </c>
      <c r="AM1559" t="s">
        <v>129</v>
      </c>
      <c r="AN1559" t="s">
        <v>130</v>
      </c>
      <c r="AP1559" t="s">
        <v>41</v>
      </c>
      <c r="AT1559" t="s">
        <v>45</v>
      </c>
      <c r="AZ1559" t="s">
        <v>51</v>
      </c>
      <c r="BA1559" t="s">
        <v>52</v>
      </c>
      <c r="BL1559" t="s">
        <v>63</v>
      </c>
      <c r="BM1559" t="s">
        <v>64</v>
      </c>
    </row>
    <row r="1560" spans="1:65" x14ac:dyDescent="0.2">
      <c r="A1560" t="s">
        <v>5446</v>
      </c>
      <c r="B1560" t="s">
        <v>4799</v>
      </c>
      <c r="C1560" t="s">
        <v>5781</v>
      </c>
      <c r="D1560" t="s">
        <v>5253</v>
      </c>
      <c r="E1560" t="s">
        <v>5782</v>
      </c>
      <c r="F1560" t="s">
        <v>118</v>
      </c>
      <c r="G1560" t="str">
        <f>HYPERLINK("https://vk.com/wall-22935147_368494?w=wall-22935147_368494_r368502")</f>
        <v>https://vk.com/wall-22935147_368494?w=wall-22935147_368494_r368502</v>
      </c>
      <c r="H1560" t="s">
        <v>119</v>
      </c>
      <c r="I1560" t="s">
        <v>5110</v>
      </c>
      <c r="J1560" t="str">
        <f>HYPERLINK("http://vk.com/id521162897")</f>
        <v>http://vk.com/id521162897</v>
      </c>
      <c r="L1560" t="s">
        <v>121</v>
      </c>
      <c r="N1560" t="s">
        <v>122</v>
      </c>
      <c r="O1560" t="s">
        <v>1093</v>
      </c>
      <c r="P1560" t="str">
        <f>HYPERLINK("http://vk.com/club22935147")</f>
        <v>http://vk.com/club22935147</v>
      </c>
      <c r="Q1560">
        <v>8943</v>
      </c>
      <c r="R1560" t="s">
        <v>124</v>
      </c>
      <c r="S1560" t="s">
        <v>125</v>
      </c>
      <c r="T1560" t="s">
        <v>169</v>
      </c>
      <c r="U1560" t="s">
        <v>169</v>
      </c>
      <c r="W1560">
        <v>0</v>
      </c>
      <c r="X1560">
        <v>0</v>
      </c>
      <c r="AM1560" t="s">
        <v>129</v>
      </c>
      <c r="AN1560" t="s">
        <v>130</v>
      </c>
      <c r="AP1560" t="s">
        <v>41</v>
      </c>
      <c r="AU1560" t="s">
        <v>46</v>
      </c>
      <c r="AZ1560" t="s">
        <v>51</v>
      </c>
      <c r="BA1560" t="s">
        <v>52</v>
      </c>
    </row>
    <row r="1561" spans="1:65" x14ac:dyDescent="0.2">
      <c r="A1561" t="s">
        <v>5446</v>
      </c>
      <c r="B1561" t="s">
        <v>1077</v>
      </c>
      <c r="C1561" t="s">
        <v>5783</v>
      </c>
      <c r="D1561" t="s">
        <v>175</v>
      </c>
      <c r="E1561" t="s">
        <v>5784</v>
      </c>
      <c r="F1561" t="s">
        <v>180</v>
      </c>
      <c r="G1561" t="str">
        <f>HYPERLINK("https://yandex.ru/maps/org/1378063179#CYrjFA4a6AgLPL5YZ9UDsS9lEhT3xM")</f>
        <v>https://yandex.ru/maps/org/1378063179#CYrjFA4a6AgLPL5YZ9UDsS9lEhT3xM</v>
      </c>
      <c r="H1561" t="s">
        <v>181</v>
      </c>
      <c r="I1561" t="s">
        <v>5785</v>
      </c>
      <c r="J1561" t="str">
        <f>HYPERLINK("https://yandex.ru/user/c1d96xtrvjwv28z74a0qhrheyc")</f>
        <v>https://yandex.ru/user/c1d96xtrvjwv28z74a0qhrheyc</v>
      </c>
      <c r="N1561" t="s">
        <v>236</v>
      </c>
      <c r="O1561" t="s">
        <v>175</v>
      </c>
      <c r="P1561" t="str">
        <f>HYPERLINK("https://yandex.ru/maps/org/1378063179")</f>
        <v>https://yandex.ru/maps/org/1378063179</v>
      </c>
      <c r="R1561" t="s">
        <v>184</v>
      </c>
      <c r="S1561" t="s">
        <v>125</v>
      </c>
      <c r="T1561" t="s">
        <v>153</v>
      </c>
      <c r="U1561" t="s">
        <v>5768</v>
      </c>
      <c r="W1561">
        <v>0</v>
      </c>
      <c r="X1561">
        <v>0</v>
      </c>
      <c r="AH1561">
        <v>5</v>
      </c>
      <c r="AM1561" t="s">
        <v>129</v>
      </c>
      <c r="AN1561" t="s">
        <v>130</v>
      </c>
      <c r="AP1561" t="s">
        <v>41</v>
      </c>
      <c r="AX1561" t="s">
        <v>49</v>
      </c>
      <c r="AZ1561" t="s">
        <v>51</v>
      </c>
      <c r="BD1561" t="s">
        <v>55</v>
      </c>
    </row>
    <row r="1562" spans="1:65" x14ac:dyDescent="0.2">
      <c r="A1562" t="s">
        <v>5446</v>
      </c>
      <c r="B1562" t="s">
        <v>4821</v>
      </c>
      <c r="C1562" t="s">
        <v>5786</v>
      </c>
      <c r="D1562" t="s">
        <v>5253</v>
      </c>
      <c r="E1562" t="s">
        <v>5787</v>
      </c>
      <c r="F1562" t="s">
        <v>118</v>
      </c>
      <c r="G1562" t="str">
        <f>HYPERLINK("https://vk.com/wall-22935147_368494?w=wall-22935147_368494_r368500")</f>
        <v>https://vk.com/wall-22935147_368494?w=wall-22935147_368494_r368500</v>
      </c>
      <c r="H1562" t="s">
        <v>119</v>
      </c>
      <c r="I1562" t="s">
        <v>3125</v>
      </c>
      <c r="J1562" t="str">
        <f>HYPERLINK("http://vk.com/id163176940")</f>
        <v>http://vk.com/id163176940</v>
      </c>
      <c r="K1562">
        <v>20</v>
      </c>
      <c r="L1562" t="s">
        <v>121</v>
      </c>
      <c r="N1562" t="s">
        <v>122</v>
      </c>
      <c r="O1562" t="s">
        <v>1093</v>
      </c>
      <c r="P1562" t="str">
        <f>HYPERLINK("http://vk.com/club22935147")</f>
        <v>http://vk.com/club22935147</v>
      </c>
      <c r="Q1562">
        <v>8943</v>
      </c>
      <c r="R1562" t="s">
        <v>124</v>
      </c>
      <c r="S1562" t="s">
        <v>125</v>
      </c>
      <c r="T1562" t="s">
        <v>1103</v>
      </c>
      <c r="U1562" t="s">
        <v>1104</v>
      </c>
      <c r="W1562">
        <v>0</v>
      </c>
      <c r="X1562">
        <v>0</v>
      </c>
      <c r="AM1562" t="s">
        <v>129</v>
      </c>
      <c r="AN1562" t="s">
        <v>130</v>
      </c>
      <c r="AP1562" t="s">
        <v>41</v>
      </c>
      <c r="AU1562" t="s">
        <v>46</v>
      </c>
      <c r="AZ1562" t="s">
        <v>51</v>
      </c>
      <c r="BA1562" t="s">
        <v>52</v>
      </c>
    </row>
    <row r="1563" spans="1:65" x14ac:dyDescent="0.2">
      <c r="A1563" t="s">
        <v>5446</v>
      </c>
      <c r="B1563" t="s">
        <v>5788</v>
      </c>
      <c r="C1563" t="s">
        <v>5789</v>
      </c>
      <c r="D1563" t="s">
        <v>4330</v>
      </c>
      <c r="E1563" t="s">
        <v>5790</v>
      </c>
      <c r="F1563" t="s">
        <v>180</v>
      </c>
      <c r="G1563" t="str">
        <f>HYPERLINK("https://www.ozon.ru/context/detail/id/218706300/#60711345")</f>
        <v>https://www.ozon.ru/context/detail/id/218706300/#60711345</v>
      </c>
      <c r="H1563" t="s">
        <v>119</v>
      </c>
      <c r="I1563" t="s">
        <v>5791</v>
      </c>
      <c r="J1563" t="str">
        <f>HYPERLINK("https://www.ozon.ru/context/client_opinion/ClientGuid/427f3b8c-53b2-4b34-a075-589b74cc0746/")</f>
        <v>https://www.ozon.ru/context/client_opinion/ClientGuid/427f3b8c-53b2-4b34-a075-589b74cc0746/</v>
      </c>
      <c r="L1563" t="s">
        <v>151</v>
      </c>
      <c r="N1563" t="s">
        <v>183</v>
      </c>
      <c r="O1563" t="s">
        <v>4330</v>
      </c>
      <c r="P1563" t="str">
        <f>HYPERLINK("https://www.ozon.ru/context/detail/id/218706300/")</f>
        <v>https://www.ozon.ru/context/detail/id/218706300/</v>
      </c>
      <c r="R1563" t="s">
        <v>184</v>
      </c>
      <c r="S1563" t="s">
        <v>125</v>
      </c>
      <c r="W1563">
        <v>0</v>
      </c>
      <c r="X1563">
        <v>0</v>
      </c>
      <c r="AH1563">
        <v>2</v>
      </c>
      <c r="AM1563" t="s">
        <v>129</v>
      </c>
      <c r="AN1563" t="s">
        <v>130</v>
      </c>
      <c r="AP1563" t="s">
        <v>41</v>
      </c>
      <c r="AT1563" t="s">
        <v>45</v>
      </c>
      <c r="AZ1563" t="s">
        <v>51</v>
      </c>
      <c r="BL1563" t="s">
        <v>63</v>
      </c>
    </row>
    <row r="1564" spans="1:65" x14ac:dyDescent="0.2">
      <c r="A1564" t="s">
        <v>5446</v>
      </c>
      <c r="B1564" t="s">
        <v>529</v>
      </c>
      <c r="C1564" t="s">
        <v>5792</v>
      </c>
      <c r="D1564" t="s">
        <v>5793</v>
      </c>
      <c r="E1564" t="s">
        <v>5794</v>
      </c>
      <c r="F1564" t="s">
        <v>180</v>
      </c>
      <c r="G1564" t="str">
        <f>HYPERLINK("https://market.yandex.ru/product/661329649/reviews?id=134900875")</f>
        <v>https://market.yandex.ru/product/661329649/reviews?id=134900875</v>
      </c>
      <c r="H1564" t="s">
        <v>119</v>
      </c>
      <c r="I1564" t="s">
        <v>1330</v>
      </c>
      <c r="J1564" t="str">
        <f>HYPERLINK("https://market.yandex.ru/user/kpqxkp8fft5vb233x4wawcvmyg/reviews")</f>
        <v>https://market.yandex.ru/user/kpqxkp8fft5vb233x4wawcvmyg/reviews</v>
      </c>
      <c r="L1564" t="s">
        <v>121</v>
      </c>
      <c r="N1564" t="s">
        <v>611</v>
      </c>
      <c r="O1564" t="s">
        <v>5793</v>
      </c>
      <c r="P1564" t="str">
        <f>HYPERLINK("https://market.yandex.ru/product/661329649")</f>
        <v>https://market.yandex.ru/product/661329649</v>
      </c>
      <c r="R1564" t="s">
        <v>184</v>
      </c>
      <c r="S1564" t="s">
        <v>125</v>
      </c>
      <c r="T1564" t="s">
        <v>169</v>
      </c>
      <c r="U1564" t="s">
        <v>169</v>
      </c>
      <c r="W1564">
        <v>0</v>
      </c>
      <c r="X1564">
        <v>0</v>
      </c>
      <c r="AH1564">
        <v>2</v>
      </c>
      <c r="AJ1564" t="s">
        <v>129</v>
      </c>
      <c r="AK1564" t="s">
        <v>129</v>
      </c>
      <c r="AL1564" t="str">
        <f>HYPERLINK("https://avatars.mds.yandex.net/get-market-ugc/329447/2a0000017ac34f45c9e19af0d0a1cd2abace/1920-1920")</f>
        <v>https://avatars.mds.yandex.net/get-market-ugc/329447/2a0000017ac34f45c9e19af0d0a1cd2abace/1920-1920</v>
      </c>
      <c r="AM1564" t="s">
        <v>129</v>
      </c>
      <c r="AN1564" t="s">
        <v>130</v>
      </c>
      <c r="AP1564" t="s">
        <v>41</v>
      </c>
      <c r="AZ1564" t="s">
        <v>51</v>
      </c>
      <c r="BA1564" t="s">
        <v>52</v>
      </c>
      <c r="BK1564" t="s">
        <v>62</v>
      </c>
    </row>
    <row r="1565" spans="1:65" x14ac:dyDescent="0.2">
      <c r="A1565" t="s">
        <v>5446</v>
      </c>
      <c r="B1565" t="s">
        <v>5795</v>
      </c>
      <c r="C1565" t="s">
        <v>5796</v>
      </c>
      <c r="D1565" t="s">
        <v>5797</v>
      </c>
      <c r="E1565" t="s">
        <v>5798</v>
      </c>
      <c r="F1565" t="s">
        <v>118</v>
      </c>
      <c r="G1565" t="str">
        <f>HYPERLINK("https://vk.com/wall-112407477_30611?reply=30644")</f>
        <v>https://vk.com/wall-112407477_30611?reply=30644</v>
      </c>
      <c r="H1565" t="s">
        <v>119</v>
      </c>
      <c r="I1565" t="s">
        <v>5799</v>
      </c>
      <c r="J1565" t="str">
        <f>HYPERLINK("http://vk.com/id30840944")</f>
        <v>http://vk.com/id30840944</v>
      </c>
      <c r="K1565">
        <v>1063</v>
      </c>
      <c r="L1565" t="s">
        <v>151</v>
      </c>
      <c r="M1565">
        <v>53</v>
      </c>
      <c r="N1565" t="s">
        <v>122</v>
      </c>
      <c r="O1565" t="s">
        <v>5800</v>
      </c>
      <c r="P1565" t="str">
        <f>HYPERLINK("http://vk.com/club112407477")</f>
        <v>http://vk.com/club112407477</v>
      </c>
      <c r="Q1565">
        <v>10175</v>
      </c>
      <c r="R1565" t="s">
        <v>124</v>
      </c>
      <c r="S1565" t="s">
        <v>125</v>
      </c>
      <c r="T1565" t="s">
        <v>570</v>
      </c>
      <c r="U1565" t="s">
        <v>5018</v>
      </c>
      <c r="AM1565" t="s">
        <v>129</v>
      </c>
      <c r="AN1565" t="s">
        <v>130</v>
      </c>
      <c r="AP1565" t="s">
        <v>41</v>
      </c>
      <c r="AZ1565" t="s">
        <v>51</v>
      </c>
      <c r="BA1565" t="s">
        <v>52</v>
      </c>
      <c r="BM1565" t="s">
        <v>64</v>
      </c>
    </row>
    <row r="1566" spans="1:65" x14ac:dyDescent="0.2">
      <c r="A1566" t="s">
        <v>5446</v>
      </c>
      <c r="B1566" t="s">
        <v>1655</v>
      </c>
      <c r="C1566" t="s">
        <v>5801</v>
      </c>
      <c r="D1566" t="s">
        <v>5253</v>
      </c>
      <c r="E1566" t="s">
        <v>5802</v>
      </c>
      <c r="F1566" t="s">
        <v>118</v>
      </c>
      <c r="G1566" t="str">
        <f>HYPERLINK("https://vk.com/wall-22935147_368494?reply=368499")</f>
        <v>https://vk.com/wall-22935147_368494?reply=368499</v>
      </c>
      <c r="H1566" t="s">
        <v>119</v>
      </c>
      <c r="I1566" t="s">
        <v>5110</v>
      </c>
      <c r="J1566" t="str">
        <f>HYPERLINK("http://vk.com/id521162897")</f>
        <v>http://vk.com/id521162897</v>
      </c>
      <c r="L1566" t="s">
        <v>121</v>
      </c>
      <c r="N1566" t="s">
        <v>122</v>
      </c>
      <c r="O1566" t="s">
        <v>1093</v>
      </c>
      <c r="P1566" t="str">
        <f>HYPERLINK("http://vk.com/club22935147")</f>
        <v>http://vk.com/club22935147</v>
      </c>
      <c r="Q1566">
        <v>8943</v>
      </c>
      <c r="R1566" t="s">
        <v>124</v>
      </c>
      <c r="S1566" t="s">
        <v>125</v>
      </c>
      <c r="T1566" t="s">
        <v>169</v>
      </c>
      <c r="U1566" t="s">
        <v>169</v>
      </c>
      <c r="W1566">
        <v>0</v>
      </c>
      <c r="X1566">
        <v>0</v>
      </c>
      <c r="AM1566" t="s">
        <v>129</v>
      </c>
      <c r="AN1566" t="s">
        <v>130</v>
      </c>
      <c r="AP1566" t="s">
        <v>41</v>
      </c>
      <c r="AU1566" t="s">
        <v>46</v>
      </c>
      <c r="AZ1566" t="s">
        <v>51</v>
      </c>
      <c r="BA1566" t="s">
        <v>52</v>
      </c>
    </row>
    <row r="1567" spans="1:65" x14ac:dyDescent="0.2">
      <c r="A1567" t="s">
        <v>5446</v>
      </c>
      <c r="B1567" t="s">
        <v>5803</v>
      </c>
      <c r="C1567" t="s">
        <v>5804</v>
      </c>
      <c r="D1567" t="s">
        <v>175</v>
      </c>
      <c r="E1567" t="s">
        <v>5805</v>
      </c>
      <c r="F1567" t="s">
        <v>180</v>
      </c>
      <c r="G1567" t="str">
        <f>HYPERLINK("https://yandex.ru/maps/org/194323713751#IBvFYfKmEsK2SwtjsI07eI-5RqlYMT1M")</f>
        <v>https://yandex.ru/maps/org/194323713751#IBvFYfKmEsK2SwtjsI07eI-5RqlYMT1M</v>
      </c>
      <c r="H1567" t="s">
        <v>181</v>
      </c>
      <c r="I1567" t="s">
        <v>5806</v>
      </c>
      <c r="J1567" t="str">
        <f>HYPERLINK("https://yandex.ru/user/kupdrg4w0xkntebhd5vwn4vtj0")</f>
        <v>https://yandex.ru/user/kupdrg4w0xkntebhd5vwn4vtj0</v>
      </c>
      <c r="L1567" t="s">
        <v>121</v>
      </c>
      <c r="N1567" t="s">
        <v>236</v>
      </c>
      <c r="O1567" t="s">
        <v>175</v>
      </c>
      <c r="P1567" t="str">
        <f>HYPERLINK("https://yandex.ru/maps/org/194323713751")</f>
        <v>https://yandex.ru/maps/org/194323713751</v>
      </c>
      <c r="R1567" t="s">
        <v>184</v>
      </c>
      <c r="S1567" t="s">
        <v>125</v>
      </c>
      <c r="T1567" t="s">
        <v>372</v>
      </c>
      <c r="U1567" t="s">
        <v>5807</v>
      </c>
      <c r="W1567">
        <v>0</v>
      </c>
      <c r="X1567">
        <v>0</v>
      </c>
      <c r="AH1567">
        <v>5</v>
      </c>
      <c r="AM1567" t="s">
        <v>129</v>
      </c>
      <c r="AN1567" t="s">
        <v>130</v>
      </c>
      <c r="AP1567" t="s">
        <v>41</v>
      </c>
      <c r="AY1567" t="s">
        <v>50</v>
      </c>
      <c r="AZ1567" t="s">
        <v>51</v>
      </c>
      <c r="BA1567" t="s">
        <v>52</v>
      </c>
    </row>
    <row r="1568" spans="1:65" x14ac:dyDescent="0.2">
      <c r="A1568" t="s">
        <v>5446</v>
      </c>
      <c r="B1568" t="s">
        <v>2125</v>
      </c>
      <c r="C1568" t="s">
        <v>5808</v>
      </c>
      <c r="D1568" t="s">
        <v>5809</v>
      </c>
      <c r="E1568" t="s">
        <v>5810</v>
      </c>
      <c r="F1568" t="s">
        <v>118</v>
      </c>
      <c r="G1568" t="str">
        <f>HYPERLINK("https://vk.com/wall-65297270_1198614?reply=1198673")</f>
        <v>https://vk.com/wall-65297270_1198614?reply=1198673</v>
      </c>
      <c r="H1568" t="s">
        <v>119</v>
      </c>
      <c r="I1568" t="s">
        <v>5811</v>
      </c>
      <c r="J1568" t="str">
        <f>HYPERLINK("http://vk.com/id475092602")</f>
        <v>http://vk.com/id475092602</v>
      </c>
      <c r="K1568">
        <v>504</v>
      </c>
      <c r="L1568" t="s">
        <v>121</v>
      </c>
      <c r="N1568" t="s">
        <v>122</v>
      </c>
      <c r="O1568" t="s">
        <v>5812</v>
      </c>
      <c r="P1568" t="str">
        <f>HYPERLINK("http://vk.com/club65297270")</f>
        <v>http://vk.com/club65297270</v>
      </c>
      <c r="Q1568">
        <v>24850</v>
      </c>
      <c r="R1568" t="s">
        <v>124</v>
      </c>
      <c r="S1568" t="s">
        <v>125</v>
      </c>
      <c r="T1568" t="s">
        <v>1343</v>
      </c>
      <c r="U1568" t="s">
        <v>1344</v>
      </c>
      <c r="AM1568" t="s">
        <v>129</v>
      </c>
      <c r="AN1568" t="s">
        <v>130</v>
      </c>
      <c r="AP1568" t="s">
        <v>41</v>
      </c>
      <c r="AZ1568" t="s">
        <v>51</v>
      </c>
      <c r="BA1568" t="s">
        <v>52</v>
      </c>
    </row>
    <row r="1569" spans="1:100" x14ac:dyDescent="0.2">
      <c r="A1569" t="s">
        <v>5446</v>
      </c>
      <c r="B1569" t="s">
        <v>559</v>
      </c>
      <c r="C1569" t="s">
        <v>5813</v>
      </c>
      <c r="D1569" t="s">
        <v>4609</v>
      </c>
      <c r="E1569" t="s">
        <v>5814</v>
      </c>
      <c r="F1569" t="s">
        <v>118</v>
      </c>
      <c r="G1569" t="str">
        <f>HYPERLINK("https://pikabu.ru/story/trikolor_tv_reklamnyiy_baner_kotoryiy_besitmalenkiy_layfkhak_8353681?cid=206650295")</f>
        <v>https://pikabu.ru/story/trikolor_tv_reklamnyiy_baner_kotoryiy_besitmalenkiy_layfkhak_8353681?cid=206650295</v>
      </c>
      <c r="H1569" t="s">
        <v>228</v>
      </c>
      <c r="I1569" t="s">
        <v>5815</v>
      </c>
      <c r="J1569" t="str">
        <f>HYPERLINK("http://pikabu.ru/profile/908090")</f>
        <v>http://pikabu.ru/profile/908090</v>
      </c>
      <c r="N1569" t="s">
        <v>402</v>
      </c>
      <c r="O1569" t="s">
        <v>4612</v>
      </c>
      <c r="P1569" t="str">
        <f>HYPERLINK("http://pikabu.ru/profile/Soonk80")</f>
        <v>http://pikabu.ru/profile/Soonk80</v>
      </c>
      <c r="R1569" t="s">
        <v>404</v>
      </c>
      <c r="AM1569" t="s">
        <v>129</v>
      </c>
      <c r="AN1569" t="s">
        <v>130</v>
      </c>
      <c r="AP1569" t="s">
        <v>41</v>
      </c>
      <c r="AZ1569" t="s">
        <v>51</v>
      </c>
      <c r="BD1569" t="s">
        <v>55</v>
      </c>
    </row>
    <row r="1570" spans="1:100" x14ac:dyDescent="0.2">
      <c r="A1570" t="s">
        <v>5446</v>
      </c>
      <c r="B1570" t="s">
        <v>562</v>
      </c>
      <c r="C1570" t="s">
        <v>5816</v>
      </c>
      <c r="D1570" t="s">
        <v>5551</v>
      </c>
      <c r="E1570" t="s">
        <v>5817</v>
      </c>
      <c r="F1570" t="s">
        <v>118</v>
      </c>
      <c r="G1570" t="str">
        <f>HYPERLINK("https://vk.com/wall-22935147_368493?reply=368498")</f>
        <v>https://vk.com/wall-22935147_368493?reply=368498</v>
      </c>
      <c r="H1570" t="s">
        <v>181</v>
      </c>
      <c r="I1570" t="s">
        <v>3125</v>
      </c>
      <c r="J1570" t="str">
        <f>HYPERLINK("http://vk.com/id163176940")</f>
        <v>http://vk.com/id163176940</v>
      </c>
      <c r="K1570">
        <v>20</v>
      </c>
      <c r="L1570" t="s">
        <v>121</v>
      </c>
      <c r="N1570" t="s">
        <v>122</v>
      </c>
      <c r="O1570" t="s">
        <v>1093</v>
      </c>
      <c r="P1570" t="str">
        <f>HYPERLINK("http://vk.com/club22935147")</f>
        <v>http://vk.com/club22935147</v>
      </c>
      <c r="Q1570">
        <v>8943</v>
      </c>
      <c r="R1570" t="s">
        <v>124</v>
      </c>
      <c r="S1570" t="s">
        <v>125</v>
      </c>
      <c r="T1570" t="s">
        <v>1103</v>
      </c>
      <c r="U1570" t="s">
        <v>1104</v>
      </c>
      <c r="W1570">
        <v>0</v>
      </c>
      <c r="X1570">
        <v>0</v>
      </c>
      <c r="AM1570" t="s">
        <v>129</v>
      </c>
      <c r="AN1570" t="s">
        <v>130</v>
      </c>
      <c r="AP1570" t="s">
        <v>41</v>
      </c>
      <c r="AZ1570" t="s">
        <v>51</v>
      </c>
      <c r="BB1570" t="s">
        <v>53</v>
      </c>
      <c r="BL1570" t="s">
        <v>63</v>
      </c>
    </row>
    <row r="1571" spans="1:100" x14ac:dyDescent="0.2">
      <c r="A1571" t="s">
        <v>5446</v>
      </c>
      <c r="B1571" t="s">
        <v>565</v>
      </c>
      <c r="C1571" t="s">
        <v>5816</v>
      </c>
      <c r="D1571" t="s">
        <v>5551</v>
      </c>
      <c r="E1571" t="s">
        <v>5818</v>
      </c>
      <c r="F1571" t="s">
        <v>118</v>
      </c>
      <c r="G1571" t="str">
        <f>HYPERLINK("https://vk.com/wall-22935147_368493?reply=368497")</f>
        <v>https://vk.com/wall-22935147_368493?reply=368497</v>
      </c>
      <c r="H1571" t="s">
        <v>181</v>
      </c>
      <c r="I1571" t="s">
        <v>3125</v>
      </c>
      <c r="J1571" t="str">
        <f>HYPERLINK("http://vk.com/id163176940")</f>
        <v>http://vk.com/id163176940</v>
      </c>
      <c r="K1571">
        <v>20</v>
      </c>
      <c r="L1571" t="s">
        <v>121</v>
      </c>
      <c r="N1571" t="s">
        <v>122</v>
      </c>
      <c r="O1571" t="s">
        <v>1093</v>
      </c>
      <c r="P1571" t="str">
        <f>HYPERLINK("http://vk.com/club22935147")</f>
        <v>http://vk.com/club22935147</v>
      </c>
      <c r="Q1571">
        <v>8943</v>
      </c>
      <c r="R1571" t="s">
        <v>124</v>
      </c>
      <c r="S1571" t="s">
        <v>125</v>
      </c>
      <c r="T1571" t="s">
        <v>1103</v>
      </c>
      <c r="U1571" t="s">
        <v>1104</v>
      </c>
      <c r="W1571">
        <v>0</v>
      </c>
      <c r="X1571">
        <v>0</v>
      </c>
      <c r="AM1571" t="s">
        <v>129</v>
      </c>
      <c r="AN1571" t="s">
        <v>130</v>
      </c>
      <c r="AP1571" t="s">
        <v>41</v>
      </c>
      <c r="AZ1571" t="s">
        <v>51</v>
      </c>
      <c r="BA1571" t="s">
        <v>52</v>
      </c>
      <c r="BL1571" t="s">
        <v>63</v>
      </c>
    </row>
    <row r="1572" spans="1:100" x14ac:dyDescent="0.2">
      <c r="A1572" t="s">
        <v>5446</v>
      </c>
      <c r="B1572" t="s">
        <v>1686</v>
      </c>
      <c r="C1572" t="s">
        <v>5819</v>
      </c>
      <c r="D1572" t="s">
        <v>5551</v>
      </c>
      <c r="E1572" t="s">
        <v>5820</v>
      </c>
      <c r="F1572" t="s">
        <v>118</v>
      </c>
      <c r="G1572" t="str">
        <f>HYPERLINK("https://vk.com/wall-22935147_368493?reply=368496")</f>
        <v>https://vk.com/wall-22935147_368493?reply=368496</v>
      </c>
      <c r="H1572" t="s">
        <v>119</v>
      </c>
      <c r="I1572" t="s">
        <v>3125</v>
      </c>
      <c r="J1572" t="str">
        <f>HYPERLINK("http://vk.com/id163176940")</f>
        <v>http://vk.com/id163176940</v>
      </c>
      <c r="K1572">
        <v>20</v>
      </c>
      <c r="L1572" t="s">
        <v>121</v>
      </c>
      <c r="N1572" t="s">
        <v>122</v>
      </c>
      <c r="O1572" t="s">
        <v>1093</v>
      </c>
      <c r="P1572" t="str">
        <f>HYPERLINK("http://vk.com/club22935147")</f>
        <v>http://vk.com/club22935147</v>
      </c>
      <c r="Q1572">
        <v>8943</v>
      </c>
      <c r="R1572" t="s">
        <v>124</v>
      </c>
      <c r="S1572" t="s">
        <v>125</v>
      </c>
      <c r="T1572" t="s">
        <v>1103</v>
      </c>
      <c r="U1572" t="s">
        <v>1104</v>
      </c>
      <c r="AM1572" t="s">
        <v>129</v>
      </c>
      <c r="AN1572" t="s">
        <v>130</v>
      </c>
      <c r="AP1572" t="s">
        <v>41</v>
      </c>
      <c r="AZ1572" t="s">
        <v>51</v>
      </c>
      <c r="BA1572" t="s">
        <v>52</v>
      </c>
      <c r="BL1572" t="s">
        <v>63</v>
      </c>
      <c r="BM1572" t="s">
        <v>64</v>
      </c>
    </row>
    <row r="1573" spans="1:100" x14ac:dyDescent="0.2">
      <c r="A1573" t="s">
        <v>5446</v>
      </c>
      <c r="B1573" t="s">
        <v>5821</v>
      </c>
      <c r="C1573" t="s">
        <v>5822</v>
      </c>
      <c r="D1573" t="s">
        <v>5551</v>
      </c>
      <c r="E1573" t="s">
        <v>5823</v>
      </c>
      <c r="F1573" t="s">
        <v>118</v>
      </c>
      <c r="G1573" t="str">
        <f>HYPERLINK("https://vk.com/wall-22935147_368493?reply=368495")</f>
        <v>https://vk.com/wall-22935147_368493?reply=368495</v>
      </c>
      <c r="H1573" t="s">
        <v>119</v>
      </c>
      <c r="I1573" t="s">
        <v>3125</v>
      </c>
      <c r="J1573" t="str">
        <f>HYPERLINK("http://vk.com/id163176940")</f>
        <v>http://vk.com/id163176940</v>
      </c>
      <c r="K1573">
        <v>20</v>
      </c>
      <c r="L1573" t="s">
        <v>121</v>
      </c>
      <c r="N1573" t="s">
        <v>122</v>
      </c>
      <c r="O1573" t="s">
        <v>1093</v>
      </c>
      <c r="P1573" t="str">
        <f>HYPERLINK("http://vk.com/club22935147")</f>
        <v>http://vk.com/club22935147</v>
      </c>
      <c r="Q1573">
        <v>8943</v>
      </c>
      <c r="R1573" t="s">
        <v>124</v>
      </c>
      <c r="S1573" t="s">
        <v>125</v>
      </c>
      <c r="T1573" t="s">
        <v>1103</v>
      </c>
      <c r="U1573" t="s">
        <v>1104</v>
      </c>
      <c r="W1573">
        <v>0</v>
      </c>
      <c r="X1573">
        <v>0</v>
      </c>
      <c r="AM1573" t="s">
        <v>129</v>
      </c>
      <c r="AN1573" t="s">
        <v>130</v>
      </c>
      <c r="AP1573" t="s">
        <v>41</v>
      </c>
      <c r="AZ1573" t="s">
        <v>51</v>
      </c>
      <c r="BA1573" t="s">
        <v>52</v>
      </c>
      <c r="BL1573" t="s">
        <v>63</v>
      </c>
    </row>
    <row r="1574" spans="1:100" x14ac:dyDescent="0.2">
      <c r="A1574" t="s">
        <v>5446</v>
      </c>
      <c r="B1574" t="s">
        <v>5821</v>
      </c>
      <c r="C1574" t="s">
        <v>5824</v>
      </c>
      <c r="D1574" t="s">
        <v>4454</v>
      </c>
      <c r="E1574" t="s">
        <v>5825</v>
      </c>
      <c r="F1574" t="s">
        <v>180</v>
      </c>
      <c r="G1574" t="str">
        <f>HYPERLINK("https://www.wildberries.ru/catalog/19655320/detail.aspx?targetUrl=ES#Comments")</f>
        <v>https://www.wildberries.ru/catalog/19655320/detail.aspx?targetUrl=ES#Comments</v>
      </c>
      <c r="H1574" t="s">
        <v>181</v>
      </c>
      <c r="I1574" t="s">
        <v>5826</v>
      </c>
      <c r="J1574" t="str">
        <f>HYPERLINK("https://www.wildberries.ru/profile/w7TDssOkw7PCu8K0wrPCuMK4wrPCtMKywrc=")</f>
        <v>https://www.wildberries.ru/profile/w7TDssOkw7PCu8K0wrPCuMK4wrPCtMKywrc=</v>
      </c>
      <c r="L1574" t="s">
        <v>121</v>
      </c>
      <c r="N1574" t="s">
        <v>534</v>
      </c>
      <c r="O1574" t="s">
        <v>4454</v>
      </c>
      <c r="P1574" t="str">
        <f>HYPERLINK("https://www.wildberries.ru/catalog/14544176/detail.aspx")</f>
        <v>https://www.wildberries.ru/catalog/14544176/detail.aspx</v>
      </c>
      <c r="R1574" t="s">
        <v>184</v>
      </c>
      <c r="S1574" t="s">
        <v>125</v>
      </c>
      <c r="W1574">
        <v>0</v>
      </c>
      <c r="X1574">
        <v>0</v>
      </c>
      <c r="AH1574">
        <v>5</v>
      </c>
      <c r="AJ1574" t="s">
        <v>5827</v>
      </c>
      <c r="AK1574" t="s">
        <v>129</v>
      </c>
      <c r="AL1574" t="str">
        <f>HYPERLINK("http://feedbackphotos.wbstatic.net/feedbacks/1454/14544176/82acdb77-a1c0-4672-b650-d9ebeb691a0a_fs.jpg")</f>
        <v>http://feedbackphotos.wbstatic.net/feedbacks/1454/14544176/82acdb77-a1c0-4672-b650-d9ebeb691a0a_fs.jpg</v>
      </c>
      <c r="AM1574" t="s">
        <v>129</v>
      </c>
      <c r="AN1574" t="s">
        <v>130</v>
      </c>
      <c r="AP1574" t="s">
        <v>41</v>
      </c>
      <c r="AT1574" t="s">
        <v>45</v>
      </c>
      <c r="AZ1574" t="s">
        <v>51</v>
      </c>
      <c r="BA1574" t="s">
        <v>52</v>
      </c>
      <c r="BL1574" t="s">
        <v>63</v>
      </c>
    </row>
    <row r="1575" spans="1:100" x14ac:dyDescent="0.2">
      <c r="A1575" t="s">
        <v>5446</v>
      </c>
      <c r="B1575" t="s">
        <v>3196</v>
      </c>
      <c r="C1575" t="s">
        <v>5828</v>
      </c>
      <c r="D1575" t="s">
        <v>204</v>
      </c>
      <c r="E1575" t="s">
        <v>1221</v>
      </c>
      <c r="F1575" t="s">
        <v>180</v>
      </c>
      <c r="G1575" t="str">
        <f>HYPERLINK("https://play.google.com/store/apps/details?id=ru.iflex.android.a3colortv&amp;reviewId=gp:AOqpTOFALSmcfphLhGhG8ZJPC7QR2-VDRgHJkcK4STCu8ttD2Ssy6c0Lmu7Q3T6xfb5EDnvBq42bJIuDZpPZ4A")</f>
        <v>https://play.google.com/store/apps/details?id=ru.iflex.android.a3colortv&amp;reviewId=gp:AOqpTOFALSmcfphLhGhG8ZJPC7QR2-VDRgHJkcK4STCu8ttD2Ssy6c0Lmu7Q3T6xfb5EDnvBq42bJIuDZpPZ4A</v>
      </c>
      <c r="H1575" t="s">
        <v>181</v>
      </c>
      <c r="I1575" t="s">
        <v>5829</v>
      </c>
      <c r="J1575" t="str">
        <f>HYPERLINK("https://plus.google.com/109248451217704824742")</f>
        <v>https://plus.google.com/109248451217704824742</v>
      </c>
      <c r="K1575">
        <v>0</v>
      </c>
      <c r="L1575" t="s">
        <v>121</v>
      </c>
      <c r="N1575" t="s">
        <v>207</v>
      </c>
      <c r="O1575" t="s">
        <v>204</v>
      </c>
      <c r="P1575" t="str">
        <f>HYPERLINK("https://play.google.com/store/apps/details?id=ru.iflex.android.a3colortv&amp;hl=ru")</f>
        <v>https://play.google.com/store/apps/details?id=ru.iflex.android.a3colortv&amp;hl=ru</v>
      </c>
      <c r="R1575" t="s">
        <v>184</v>
      </c>
      <c r="S1575" t="s">
        <v>125</v>
      </c>
      <c r="W1575">
        <v>0</v>
      </c>
      <c r="X1575">
        <v>0</v>
      </c>
      <c r="AH1575">
        <v>5</v>
      </c>
      <c r="AM1575" t="s">
        <v>129</v>
      </c>
      <c r="AN1575" t="s">
        <v>130</v>
      </c>
      <c r="AP1575" t="s">
        <v>41</v>
      </c>
      <c r="AZ1575" t="s">
        <v>51</v>
      </c>
      <c r="BA1575" t="s">
        <v>52</v>
      </c>
      <c r="BQ1575" t="s">
        <v>68</v>
      </c>
    </row>
    <row r="1576" spans="1:100" x14ac:dyDescent="0.2">
      <c r="A1576" t="s">
        <v>5446</v>
      </c>
      <c r="B1576" t="s">
        <v>5830</v>
      </c>
      <c r="C1576" t="s">
        <v>5831</v>
      </c>
      <c r="D1576" t="s">
        <v>129</v>
      </c>
      <c r="E1576" t="s">
        <v>5253</v>
      </c>
      <c r="F1576" t="s">
        <v>180</v>
      </c>
      <c r="G1576" t="str">
        <f>HYPERLINK("https://vk.com/wall-22935147_368494")</f>
        <v>https://vk.com/wall-22935147_368494</v>
      </c>
      <c r="H1576" t="s">
        <v>181</v>
      </c>
      <c r="I1576" t="s">
        <v>5832</v>
      </c>
      <c r="J1576" t="str">
        <f>HYPERLINK("http://vk.com/id36753456")</f>
        <v>http://vk.com/id36753456</v>
      </c>
      <c r="K1576">
        <v>280</v>
      </c>
      <c r="L1576" t="s">
        <v>121</v>
      </c>
      <c r="N1576" t="s">
        <v>122</v>
      </c>
      <c r="O1576" t="s">
        <v>1093</v>
      </c>
      <c r="P1576" t="str">
        <f>HYPERLINK("http://vk.com/club22935147")</f>
        <v>http://vk.com/club22935147</v>
      </c>
      <c r="Q1576">
        <v>8943</v>
      </c>
      <c r="R1576" t="s">
        <v>124</v>
      </c>
      <c r="S1576" t="s">
        <v>125</v>
      </c>
      <c r="T1576" t="s">
        <v>372</v>
      </c>
      <c r="U1576" t="s">
        <v>5833</v>
      </c>
      <c r="W1576">
        <v>22</v>
      </c>
      <c r="X1576">
        <v>22</v>
      </c>
      <c r="AE1576">
        <v>29</v>
      </c>
      <c r="AF1576">
        <v>1</v>
      </c>
      <c r="AG1576">
        <v>1805</v>
      </c>
      <c r="AJ1576" t="s">
        <v>5834</v>
      </c>
      <c r="AK1576" t="s">
        <v>5835</v>
      </c>
      <c r="AL1576" t="str">
        <f>HYPERLINK("https://sun9-51.userapi.com/impg/xuq1-k3sJrbhn-qRlZuh05wJzNi1skMDyy13KA/AjJ4udZzzS8.jpg?size=2560x1440&amp;quality=96&amp;sign=aaacd433d41ec6362ae7f663dafb1e6c&amp;c_uniq_tag=SgQQHp3LUeRgbKCbzWiNmcQ69IOsDnaYTAn_HRMuTyE&amp;type=album")</f>
        <v>https://sun9-51.userapi.com/impg/xuq1-k3sJrbhn-qRlZuh05wJzNi1skMDyy13KA/AjJ4udZzzS8.jpg?size=2560x1440&amp;quality=96&amp;sign=aaacd433d41ec6362ae7f663dafb1e6c&amp;c_uniq_tag=SgQQHp3LUeRgbKCbzWiNmcQ69IOsDnaYTAn_HRMuTyE&amp;type=album</v>
      </c>
      <c r="AM1576" t="s">
        <v>129</v>
      </c>
      <c r="AN1576" t="s">
        <v>130</v>
      </c>
      <c r="AP1576" t="s">
        <v>41</v>
      </c>
      <c r="AU1576" t="s">
        <v>46</v>
      </c>
      <c r="AZ1576" t="s">
        <v>51</v>
      </c>
      <c r="BA1576" t="s">
        <v>52</v>
      </c>
    </row>
    <row r="1577" spans="1:100" x14ac:dyDescent="0.2">
      <c r="A1577" t="s">
        <v>5446</v>
      </c>
      <c r="B1577" t="s">
        <v>2765</v>
      </c>
      <c r="C1577" t="s">
        <v>5836</v>
      </c>
      <c r="D1577" t="s">
        <v>4609</v>
      </c>
      <c r="E1577" t="s">
        <v>5837</v>
      </c>
      <c r="F1577" t="s">
        <v>118</v>
      </c>
      <c r="G1577" t="str">
        <f>HYPERLINK("https://pikabu.ru/story/trikolor_tv_reklamnyiy_baner_kotoryiy_besitmalenkiy_layfkhak_8353681?cid=206639256")</f>
        <v>https://pikabu.ru/story/trikolor_tv_reklamnyiy_baner_kotoryiy_besitmalenkiy_layfkhak_8353681?cid=206639256</v>
      </c>
      <c r="H1577" t="s">
        <v>228</v>
      </c>
      <c r="I1577" t="s">
        <v>4840</v>
      </c>
      <c r="J1577" t="str">
        <f>HYPERLINK("http://pikabu.ru/profile/5yoda5")</f>
        <v>http://pikabu.ru/profile/5yoda5</v>
      </c>
      <c r="N1577" t="s">
        <v>402</v>
      </c>
      <c r="O1577" t="s">
        <v>4612</v>
      </c>
      <c r="P1577" t="str">
        <f>HYPERLINK("http://pikabu.ru/profile/Soonk80")</f>
        <v>http://pikabu.ru/profile/Soonk80</v>
      </c>
      <c r="R1577" t="s">
        <v>404</v>
      </c>
      <c r="AM1577" t="s">
        <v>129</v>
      </c>
      <c r="AN1577" t="s">
        <v>130</v>
      </c>
      <c r="AP1577" t="s">
        <v>41</v>
      </c>
      <c r="AT1577" t="s">
        <v>45</v>
      </c>
      <c r="AW1577" t="s">
        <v>48</v>
      </c>
      <c r="AZ1577" t="s">
        <v>51</v>
      </c>
      <c r="BA1577" t="s">
        <v>52</v>
      </c>
      <c r="BL1577" t="s">
        <v>63</v>
      </c>
      <c r="CV1577" t="s">
        <v>99</v>
      </c>
    </row>
    <row r="1578" spans="1:100" x14ac:dyDescent="0.2">
      <c r="A1578" t="s">
        <v>5446</v>
      </c>
      <c r="B1578" t="s">
        <v>2235</v>
      </c>
      <c r="C1578" t="s">
        <v>5838</v>
      </c>
      <c r="D1578" t="s">
        <v>5839</v>
      </c>
      <c r="E1578" t="s">
        <v>5840</v>
      </c>
      <c r="F1578" t="s">
        <v>180</v>
      </c>
      <c r="G1578" t="str">
        <f>HYPERLINK("https://otvet.mail.ru/answer/1994176809")</f>
        <v>https://otvet.mail.ru/answer/1994176809</v>
      </c>
      <c r="H1578" t="s">
        <v>119</v>
      </c>
      <c r="I1578" t="s">
        <v>5841</v>
      </c>
      <c r="J1578" t="str">
        <f>HYPERLINK("http://otvet.mail.ru/profile/id88234716")</f>
        <v>http://otvet.mail.ru/profile/id88234716</v>
      </c>
      <c r="N1578" t="s">
        <v>690</v>
      </c>
      <c r="O1578" t="s">
        <v>5842</v>
      </c>
      <c r="P1578" t="str">
        <f>HYPERLINK("https://otvet.mail.ru/telecom/")</f>
        <v>https://otvet.mail.ru/telecom/</v>
      </c>
      <c r="R1578" t="s">
        <v>295</v>
      </c>
      <c r="S1578" t="s">
        <v>125</v>
      </c>
      <c r="AJ1578" t="s">
        <v>1183</v>
      </c>
      <c r="AK1578" t="s">
        <v>129</v>
      </c>
      <c r="AL1578" t="str">
        <f>HYPERLINK("https://otvet.imgsmail.ru/download/88234716_edef884663b6eb1f883d89edfa2a7b6a_800.png")</f>
        <v>https://otvet.imgsmail.ru/download/88234716_edef884663b6eb1f883d89edfa2a7b6a_800.png</v>
      </c>
      <c r="AM1578" t="s">
        <v>129</v>
      </c>
      <c r="AN1578" t="s">
        <v>130</v>
      </c>
      <c r="AP1578" t="s">
        <v>41</v>
      </c>
      <c r="AT1578" t="s">
        <v>45</v>
      </c>
      <c r="AZ1578" t="s">
        <v>51</v>
      </c>
      <c r="BA1578" t="s">
        <v>52</v>
      </c>
      <c r="BM1578" t="s">
        <v>64</v>
      </c>
    </row>
    <row r="1579" spans="1:100" x14ac:dyDescent="0.2">
      <c r="A1579" t="s">
        <v>5446</v>
      </c>
      <c r="B1579" t="s">
        <v>2243</v>
      </c>
      <c r="C1579" t="s">
        <v>5843</v>
      </c>
      <c r="D1579" t="s">
        <v>1648</v>
      </c>
      <c r="E1579" t="s">
        <v>5844</v>
      </c>
      <c r="F1579" t="s">
        <v>180</v>
      </c>
      <c r="G1579" t="str">
        <f>HYPERLINK("https://www.wildberries.ru/catalog/26550113/detail.aspx?targetUrl=ES#Comments")</f>
        <v>https://www.wildberries.ru/catalog/26550113/detail.aspx?targetUrl=ES#Comments</v>
      </c>
      <c r="H1579" t="s">
        <v>181</v>
      </c>
      <c r="I1579" t="s">
        <v>3082</v>
      </c>
      <c r="J1579" t="str">
        <f>HYPERLINK("https://www.wildberries.ru/profile/w7TDssOkw7PCu8KzwrLCsMK4wrnCtsK3wrk=")</f>
        <v>https://www.wildberries.ru/profile/w7TDssOkw7PCu8KzwrLCsMK4wrnCtsK3wrk=</v>
      </c>
      <c r="L1579" t="s">
        <v>151</v>
      </c>
      <c r="N1579" t="s">
        <v>534</v>
      </c>
      <c r="O1579" t="s">
        <v>1648</v>
      </c>
      <c r="P1579" t="str">
        <f>HYPERLINK("https://www.wildberries.ru/catalog/19471768/detail.aspx")</f>
        <v>https://www.wildberries.ru/catalog/19471768/detail.aspx</v>
      </c>
      <c r="R1579" t="s">
        <v>184</v>
      </c>
      <c r="S1579" t="s">
        <v>125</v>
      </c>
      <c r="W1579">
        <v>0</v>
      </c>
      <c r="X1579">
        <v>0</v>
      </c>
      <c r="AH1579">
        <v>5</v>
      </c>
      <c r="AM1579" t="s">
        <v>129</v>
      </c>
      <c r="AN1579" t="s">
        <v>130</v>
      </c>
      <c r="AP1579" t="s">
        <v>41</v>
      </c>
      <c r="AT1579" t="s">
        <v>45</v>
      </c>
      <c r="AZ1579" t="s">
        <v>51</v>
      </c>
      <c r="BA1579" t="s">
        <v>52</v>
      </c>
    </row>
    <row r="1580" spans="1:100" x14ac:dyDescent="0.2">
      <c r="A1580" t="s">
        <v>5446</v>
      </c>
      <c r="B1580" t="s">
        <v>5387</v>
      </c>
      <c r="C1580" t="s">
        <v>5845</v>
      </c>
      <c r="D1580" t="s">
        <v>5846</v>
      </c>
      <c r="E1580" t="s">
        <v>5847</v>
      </c>
      <c r="F1580" t="s">
        <v>180</v>
      </c>
      <c r="G1580" t="str">
        <f>HYPERLINK("https://www.ozon.ru/context/detail/id/213584898/#60632164")</f>
        <v>https://www.ozon.ru/context/detail/id/213584898/#60632164</v>
      </c>
      <c r="H1580" t="s">
        <v>181</v>
      </c>
      <c r="I1580" t="s">
        <v>5848</v>
      </c>
      <c r="J1580" t="str">
        <f>HYPERLINK("https://www.ozon.ru/context/client_opinion/ClientGuid/ae7b8333-4fed-4247-b779-6d0089887f92/")</f>
        <v>https://www.ozon.ru/context/client_opinion/ClientGuid/ae7b8333-4fed-4247-b779-6d0089887f92/</v>
      </c>
      <c r="L1580" t="s">
        <v>151</v>
      </c>
      <c r="N1580" t="s">
        <v>183</v>
      </c>
      <c r="O1580" t="s">
        <v>5846</v>
      </c>
      <c r="P1580" t="str">
        <f>HYPERLINK("https://www.ozon.ru/context/detail/id/213584898/")</f>
        <v>https://www.ozon.ru/context/detail/id/213584898/</v>
      </c>
      <c r="R1580" t="s">
        <v>184</v>
      </c>
      <c r="S1580" t="s">
        <v>125</v>
      </c>
      <c r="W1580">
        <v>0</v>
      </c>
      <c r="X1580">
        <v>0</v>
      </c>
      <c r="AH1580">
        <v>5</v>
      </c>
      <c r="AJ1580" t="s">
        <v>129</v>
      </c>
      <c r="AK1580" t="s">
        <v>129</v>
      </c>
      <c r="AL1580" t="str">
        <f>HYPERLINK("https://cdn1.ozone.ru/s3/rp-photo-4/a438632b-2273-4332-9fc1-f11fccfe3f5a.jpeg")</f>
        <v>https://cdn1.ozone.ru/s3/rp-photo-4/a438632b-2273-4332-9fc1-f11fccfe3f5a.jpeg</v>
      </c>
      <c r="AM1580" t="s">
        <v>129</v>
      </c>
      <c r="AN1580" t="s">
        <v>130</v>
      </c>
      <c r="AP1580" t="s">
        <v>41</v>
      </c>
      <c r="AT1580" t="s">
        <v>45</v>
      </c>
      <c r="AZ1580" t="s">
        <v>51</v>
      </c>
      <c r="BA1580" t="s">
        <v>52</v>
      </c>
      <c r="BL1580" t="s">
        <v>63</v>
      </c>
    </row>
    <row r="1581" spans="1:100" x14ac:dyDescent="0.2">
      <c r="A1581" t="s">
        <v>5446</v>
      </c>
      <c r="B1581" t="s">
        <v>5849</v>
      </c>
      <c r="C1581" t="s">
        <v>5850</v>
      </c>
      <c r="D1581" t="s">
        <v>204</v>
      </c>
      <c r="E1581" t="s">
        <v>5851</v>
      </c>
      <c r="F1581" t="s">
        <v>180</v>
      </c>
      <c r="G1581" t="str">
        <f>HYPERLINK("https://play.google.com/store/apps/details?id=ru.iflex.android.a3colortv&amp;reviewId=gp:AOqpTOEAm1-ge6iWCD9XOGdvc5p3TaG84iHLyGHfHJ3yhCxUA_2F7fg2d9rFF_dIEffrlkZMZ9pTPLMdky7E_Q")</f>
        <v>https://play.google.com/store/apps/details?id=ru.iflex.android.a3colortv&amp;reviewId=gp:AOqpTOEAm1-ge6iWCD9XOGdvc5p3TaG84iHLyGHfHJ3yhCxUA_2F7fg2d9rFF_dIEffrlkZMZ9pTPLMdky7E_Q</v>
      </c>
      <c r="H1581" t="s">
        <v>228</v>
      </c>
      <c r="I1581" t="s">
        <v>5852</v>
      </c>
      <c r="J1581" t="str">
        <f>HYPERLINK("https://plus.google.com/100228709979767876719")</f>
        <v>https://plus.google.com/100228709979767876719</v>
      </c>
      <c r="N1581" t="s">
        <v>207</v>
      </c>
      <c r="O1581" t="s">
        <v>204</v>
      </c>
      <c r="P1581" t="str">
        <f>HYPERLINK("https://play.google.com/store/apps/details?id=ru.iflex.android.a3colortv&amp;hl=ru")</f>
        <v>https://play.google.com/store/apps/details?id=ru.iflex.android.a3colortv&amp;hl=ru</v>
      </c>
      <c r="R1581" t="s">
        <v>184</v>
      </c>
      <c r="S1581" t="s">
        <v>125</v>
      </c>
      <c r="W1581">
        <v>0</v>
      </c>
      <c r="X1581">
        <v>0</v>
      </c>
      <c r="AH1581">
        <v>1</v>
      </c>
      <c r="AM1581" t="s">
        <v>129</v>
      </c>
      <c r="AN1581" t="s">
        <v>130</v>
      </c>
      <c r="AP1581" t="s">
        <v>41</v>
      </c>
      <c r="AZ1581" t="s">
        <v>51</v>
      </c>
      <c r="BA1581" t="s">
        <v>52</v>
      </c>
      <c r="BQ1581" t="s">
        <v>68</v>
      </c>
    </row>
    <row r="1582" spans="1:100" x14ac:dyDescent="0.2">
      <c r="A1582" t="s">
        <v>5446</v>
      </c>
      <c r="B1582" t="s">
        <v>5853</v>
      </c>
      <c r="C1582" t="s">
        <v>5854</v>
      </c>
      <c r="D1582" t="s">
        <v>5855</v>
      </c>
      <c r="E1582" t="s">
        <v>5856</v>
      </c>
      <c r="F1582" t="s">
        <v>118</v>
      </c>
      <c r="G1582" t="str">
        <f>HYPERLINK("https://vk.com/wall-69841908_130891?reply=130919")</f>
        <v>https://vk.com/wall-69841908_130891?reply=130919</v>
      </c>
      <c r="H1582" t="s">
        <v>119</v>
      </c>
      <c r="I1582" t="s">
        <v>5857</v>
      </c>
      <c r="J1582" t="str">
        <f>HYPERLINK("http://vk.com/id362523884")</f>
        <v>http://vk.com/id362523884</v>
      </c>
      <c r="K1582">
        <v>8</v>
      </c>
      <c r="L1582" t="s">
        <v>121</v>
      </c>
      <c r="N1582" t="s">
        <v>122</v>
      </c>
      <c r="O1582" t="s">
        <v>5858</v>
      </c>
      <c r="P1582" t="str">
        <f>HYPERLINK("http://vk.com/club69841908")</f>
        <v>http://vk.com/club69841908</v>
      </c>
      <c r="Q1582">
        <v>10591</v>
      </c>
      <c r="R1582" t="s">
        <v>124</v>
      </c>
      <c r="S1582" t="s">
        <v>125</v>
      </c>
      <c r="AM1582" t="s">
        <v>129</v>
      </c>
      <c r="AN1582" t="s">
        <v>130</v>
      </c>
      <c r="AP1582" t="s">
        <v>41</v>
      </c>
      <c r="AU1582" t="s">
        <v>46</v>
      </c>
      <c r="AW1582" t="s">
        <v>48</v>
      </c>
      <c r="AZ1582" t="s">
        <v>51</v>
      </c>
      <c r="BB1582" t="s">
        <v>53</v>
      </c>
    </row>
    <row r="1583" spans="1:100" x14ac:dyDescent="0.2">
      <c r="A1583" t="s">
        <v>5446</v>
      </c>
      <c r="B1583" t="s">
        <v>5410</v>
      </c>
      <c r="C1583" t="s">
        <v>5859</v>
      </c>
      <c r="D1583" t="s">
        <v>5397</v>
      </c>
      <c r="E1583" t="s">
        <v>5860</v>
      </c>
      <c r="F1583" t="s">
        <v>118</v>
      </c>
      <c r="G1583" t="str">
        <f>HYPERLINK("https://vk.com/wall-22935147_368479?reply=368490")</f>
        <v>https://vk.com/wall-22935147_368479?reply=368490</v>
      </c>
      <c r="H1583" t="s">
        <v>119</v>
      </c>
      <c r="I1583" t="s">
        <v>4327</v>
      </c>
      <c r="J1583" t="str">
        <f>HYPERLINK("http://vk.com/id365342892")</f>
        <v>http://vk.com/id365342892</v>
      </c>
      <c r="K1583">
        <v>11</v>
      </c>
      <c r="L1583" t="s">
        <v>121</v>
      </c>
      <c r="N1583" t="s">
        <v>122</v>
      </c>
      <c r="O1583" t="s">
        <v>1093</v>
      </c>
      <c r="P1583" t="str">
        <f>HYPERLINK("http://vk.com/club22935147")</f>
        <v>http://vk.com/club22935147</v>
      </c>
      <c r="Q1583">
        <v>8943</v>
      </c>
      <c r="R1583" t="s">
        <v>124</v>
      </c>
      <c r="S1583" t="s">
        <v>125</v>
      </c>
      <c r="T1583" t="s">
        <v>364</v>
      </c>
      <c r="U1583" t="s">
        <v>4328</v>
      </c>
      <c r="W1583">
        <v>0</v>
      </c>
      <c r="X1583">
        <v>0</v>
      </c>
      <c r="AM1583" t="s">
        <v>129</v>
      </c>
      <c r="AN1583" t="s">
        <v>130</v>
      </c>
      <c r="AP1583" t="s">
        <v>41</v>
      </c>
      <c r="AU1583" t="s">
        <v>46</v>
      </c>
      <c r="AW1583" t="s">
        <v>48</v>
      </c>
      <c r="AZ1583" t="s">
        <v>51</v>
      </c>
      <c r="BA1583" t="s">
        <v>52</v>
      </c>
    </row>
    <row r="1584" spans="1:100" x14ac:dyDescent="0.2">
      <c r="A1584" t="s">
        <v>5446</v>
      </c>
      <c r="B1584" t="s">
        <v>5861</v>
      </c>
      <c r="C1584" t="s">
        <v>5862</v>
      </c>
      <c r="D1584" t="s">
        <v>5863</v>
      </c>
      <c r="E1584" t="s">
        <v>5864</v>
      </c>
      <c r="F1584" t="s">
        <v>118</v>
      </c>
      <c r="G1584" t="str">
        <f>HYPERLINK("https://vk.com/wall-27863223_291773?w=wall-27863223_291773_r291964")</f>
        <v>https://vk.com/wall-27863223_291773?w=wall-27863223_291773_r291964</v>
      </c>
      <c r="H1584" t="s">
        <v>119</v>
      </c>
      <c r="I1584" t="s">
        <v>5865</v>
      </c>
      <c r="J1584" t="str">
        <f>HYPERLINK("http://vk.com/id33187106")</f>
        <v>http://vk.com/id33187106</v>
      </c>
      <c r="K1584">
        <v>91</v>
      </c>
      <c r="L1584" t="s">
        <v>121</v>
      </c>
      <c r="N1584" t="s">
        <v>122</v>
      </c>
      <c r="O1584" t="s">
        <v>175</v>
      </c>
      <c r="P1584" t="str">
        <f>HYPERLINK("http://vk.com/club27863223")</f>
        <v>http://vk.com/club27863223</v>
      </c>
      <c r="Q1584">
        <v>134698</v>
      </c>
      <c r="R1584" t="s">
        <v>124</v>
      </c>
      <c r="S1584" t="s">
        <v>125</v>
      </c>
      <c r="W1584">
        <v>0</v>
      </c>
      <c r="X1584">
        <v>0</v>
      </c>
      <c r="AM1584" t="s">
        <v>129</v>
      </c>
      <c r="AN1584" t="s">
        <v>130</v>
      </c>
      <c r="AP1584" t="s">
        <v>41</v>
      </c>
      <c r="AZ1584" t="s">
        <v>51</v>
      </c>
      <c r="BA1584" t="s">
        <v>52</v>
      </c>
      <c r="BL1584" t="s">
        <v>63</v>
      </c>
    </row>
    <row r="1585" spans="1:77" x14ac:dyDescent="0.2">
      <c r="A1585" t="s">
        <v>5446</v>
      </c>
      <c r="B1585" t="s">
        <v>5866</v>
      </c>
      <c r="C1585" t="s">
        <v>5867</v>
      </c>
      <c r="D1585" t="s">
        <v>5868</v>
      </c>
      <c r="E1585" t="s">
        <v>2260</v>
      </c>
      <c r="F1585" t="s">
        <v>118</v>
      </c>
      <c r="G1585" t="str">
        <f>HYPERLINK("https://www.facebook.com/story.php?story_fbid=4100910333308049&amp;id=100001673691225&amp;comment_id=4101124126620003&amp;reply_comment_id=4101865069879242")</f>
        <v>https://www.facebook.com/story.php?story_fbid=4100910333308049&amp;id=100001673691225&amp;comment_id=4101124126620003&amp;reply_comment_id=4101865069879242</v>
      </c>
      <c r="H1585" t="s">
        <v>119</v>
      </c>
      <c r="I1585" t="s">
        <v>695</v>
      </c>
      <c r="J1585" t="str">
        <f>HYPERLINK("https://www.facebook.com/100002360413124")</f>
        <v>https://www.facebook.com/100002360413124</v>
      </c>
      <c r="K1585">
        <v>5211</v>
      </c>
      <c r="L1585" t="s">
        <v>121</v>
      </c>
      <c r="N1585" t="s">
        <v>305</v>
      </c>
      <c r="O1585" t="s">
        <v>5869</v>
      </c>
      <c r="P1585" t="str">
        <f>HYPERLINK("https://www.facebook.com/100001673691225")</f>
        <v>https://www.facebook.com/100001673691225</v>
      </c>
      <c r="Q1585">
        <v>4870</v>
      </c>
      <c r="R1585" t="s">
        <v>124</v>
      </c>
      <c r="S1585" t="s">
        <v>125</v>
      </c>
      <c r="T1585" t="s">
        <v>372</v>
      </c>
      <c r="U1585" t="s">
        <v>373</v>
      </c>
      <c r="W1585">
        <v>0</v>
      </c>
      <c r="X1585">
        <v>0</v>
      </c>
      <c r="AE1585">
        <v>0</v>
      </c>
      <c r="AM1585" t="s">
        <v>129</v>
      </c>
      <c r="AN1585" t="s">
        <v>130</v>
      </c>
      <c r="AP1585" t="s">
        <v>41</v>
      </c>
      <c r="AU1585" t="s">
        <v>46</v>
      </c>
      <c r="AZ1585" t="s">
        <v>51</v>
      </c>
      <c r="BA1585" t="s">
        <v>52</v>
      </c>
      <c r="BY1585" t="s">
        <v>76</v>
      </c>
    </row>
    <row r="1586" spans="1:77" x14ac:dyDescent="0.2">
      <c r="A1586" t="s">
        <v>5446</v>
      </c>
      <c r="B1586" t="s">
        <v>5870</v>
      </c>
      <c r="C1586" t="s">
        <v>5871</v>
      </c>
      <c r="D1586" t="s">
        <v>5872</v>
      </c>
      <c r="E1586" t="s">
        <v>5873</v>
      </c>
      <c r="F1586" t="s">
        <v>118</v>
      </c>
      <c r="G1586" t="str">
        <f>HYPERLINK("https://www.facebook.com/groups/478742892281643/permalink/1977498265739424/?comment_id=1977742202381697")</f>
        <v>https://www.facebook.com/groups/478742892281643/permalink/1977498265739424/?comment_id=1977742202381697</v>
      </c>
      <c r="H1586" t="s">
        <v>119</v>
      </c>
      <c r="I1586" t="s">
        <v>5874</v>
      </c>
      <c r="J1586" t="str">
        <f>HYPERLINK("https://www.facebook.com/100004077272411")</f>
        <v>https://www.facebook.com/100004077272411</v>
      </c>
      <c r="K1586">
        <v>0</v>
      </c>
      <c r="N1586" t="s">
        <v>305</v>
      </c>
      <c r="O1586" t="s">
        <v>5875</v>
      </c>
      <c r="P1586" t="str">
        <f>HYPERLINK("https://www.facebook.com/478742892281643")</f>
        <v>https://www.facebook.com/478742892281643</v>
      </c>
      <c r="Q1586">
        <v>90117</v>
      </c>
      <c r="R1586" t="s">
        <v>124</v>
      </c>
      <c r="W1586">
        <v>0</v>
      </c>
      <c r="X1586">
        <v>0</v>
      </c>
      <c r="AE1586">
        <v>0</v>
      </c>
      <c r="AM1586" t="s">
        <v>129</v>
      </c>
      <c r="AN1586" t="s">
        <v>130</v>
      </c>
      <c r="AP1586" t="s">
        <v>41</v>
      </c>
      <c r="AZ1586" t="s">
        <v>51</v>
      </c>
      <c r="BA1586" t="s">
        <v>52</v>
      </c>
    </row>
    <row r="1587" spans="1:77" x14ac:dyDescent="0.2">
      <c r="A1587" t="s">
        <v>5446</v>
      </c>
      <c r="B1587" t="s">
        <v>5876</v>
      </c>
      <c r="C1587" t="s">
        <v>5877</v>
      </c>
      <c r="D1587" t="s">
        <v>4697</v>
      </c>
      <c r="E1587" t="s">
        <v>5878</v>
      </c>
      <c r="F1587" t="s">
        <v>118</v>
      </c>
      <c r="G1587" t="str">
        <f>HYPERLINK("https://vk.com/wall-186674927_12274?reply=12281")</f>
        <v>https://vk.com/wall-186674927_12274?reply=12281</v>
      </c>
      <c r="H1587" t="s">
        <v>119</v>
      </c>
      <c r="I1587" t="s">
        <v>5879</v>
      </c>
      <c r="J1587" t="str">
        <f>HYPERLINK("http://vk.com/id560082845")</f>
        <v>http://vk.com/id560082845</v>
      </c>
      <c r="L1587" t="s">
        <v>121</v>
      </c>
      <c r="M1587">
        <v>38</v>
      </c>
      <c r="N1587" t="s">
        <v>122</v>
      </c>
      <c r="O1587" t="s">
        <v>358</v>
      </c>
      <c r="P1587" t="str">
        <f>HYPERLINK("http://vk.com/club186674927")</f>
        <v>http://vk.com/club186674927</v>
      </c>
      <c r="Q1587">
        <v>706</v>
      </c>
      <c r="R1587" t="s">
        <v>124</v>
      </c>
      <c r="S1587" t="s">
        <v>125</v>
      </c>
      <c r="T1587" t="s">
        <v>169</v>
      </c>
      <c r="U1587" t="s">
        <v>169</v>
      </c>
      <c r="AM1587" t="s">
        <v>129</v>
      </c>
      <c r="AN1587" t="s">
        <v>130</v>
      </c>
      <c r="AP1587" t="s">
        <v>41</v>
      </c>
      <c r="AY1587" t="s">
        <v>50</v>
      </c>
      <c r="AZ1587" t="s">
        <v>51</v>
      </c>
      <c r="BA1587" t="s">
        <v>52</v>
      </c>
    </row>
    <row r="1588" spans="1:77" x14ac:dyDescent="0.2">
      <c r="A1588" t="s">
        <v>5446</v>
      </c>
      <c r="B1588" t="s">
        <v>5880</v>
      </c>
      <c r="C1588" t="s">
        <v>5838</v>
      </c>
      <c r="D1588" t="s">
        <v>5839</v>
      </c>
      <c r="E1588" t="s">
        <v>5881</v>
      </c>
      <c r="F1588" t="s">
        <v>180</v>
      </c>
      <c r="G1588" t="str">
        <f>HYPERLINK("https://otvet.mail.ru/answer/1994163249/cid-331266191/")</f>
        <v>https://otvet.mail.ru/answer/1994163249/cid-331266191/</v>
      </c>
      <c r="H1588" t="s">
        <v>119</v>
      </c>
      <c r="I1588" t="s">
        <v>5882</v>
      </c>
      <c r="J1588" t="str">
        <f>HYPERLINK("http://otvet.mail.ru/profile/id283265146")</f>
        <v>http://otvet.mail.ru/profile/id283265146</v>
      </c>
      <c r="N1588" t="s">
        <v>690</v>
      </c>
      <c r="O1588" t="s">
        <v>5842</v>
      </c>
      <c r="P1588" t="str">
        <f>HYPERLINK("https://otvet.mail.ru/telecom/")</f>
        <v>https://otvet.mail.ru/telecom/</v>
      </c>
      <c r="R1588" t="s">
        <v>295</v>
      </c>
      <c r="S1588" t="s">
        <v>125</v>
      </c>
      <c r="AM1588" t="s">
        <v>129</v>
      </c>
      <c r="AN1588" t="s">
        <v>130</v>
      </c>
      <c r="AP1588" t="s">
        <v>41</v>
      </c>
      <c r="AZ1588" t="s">
        <v>51</v>
      </c>
      <c r="BA1588" t="s">
        <v>52</v>
      </c>
      <c r="BM1588" t="s">
        <v>64</v>
      </c>
    </row>
    <row r="1589" spans="1:77" x14ac:dyDescent="0.2">
      <c r="A1589" t="s">
        <v>5446</v>
      </c>
      <c r="B1589" t="s">
        <v>5883</v>
      </c>
      <c r="C1589" t="s">
        <v>5838</v>
      </c>
      <c r="D1589" t="s">
        <v>5839</v>
      </c>
      <c r="E1589" t="s">
        <v>5884</v>
      </c>
      <c r="F1589" t="s">
        <v>180</v>
      </c>
      <c r="G1589" t="str">
        <f>HYPERLINK("https://otvet.mail.ru/answer/1994163249/cid-331266063/")</f>
        <v>https://otvet.mail.ru/answer/1994163249/cid-331266063/</v>
      </c>
      <c r="H1589" t="s">
        <v>228</v>
      </c>
      <c r="I1589" t="s">
        <v>5882</v>
      </c>
      <c r="J1589" t="str">
        <f>HYPERLINK("http://otvet.mail.ru/profile/id283265146")</f>
        <v>http://otvet.mail.ru/profile/id283265146</v>
      </c>
      <c r="N1589" t="s">
        <v>690</v>
      </c>
      <c r="O1589" t="s">
        <v>5842</v>
      </c>
      <c r="P1589" t="str">
        <f>HYPERLINK("https://otvet.mail.ru/telecom/")</f>
        <v>https://otvet.mail.ru/telecom/</v>
      </c>
      <c r="R1589" t="s">
        <v>295</v>
      </c>
      <c r="S1589" t="s">
        <v>125</v>
      </c>
      <c r="AM1589" t="s">
        <v>129</v>
      </c>
      <c r="AN1589" t="s">
        <v>130</v>
      </c>
      <c r="AP1589" t="s">
        <v>41</v>
      </c>
      <c r="AY1589" t="s">
        <v>50</v>
      </c>
      <c r="AZ1589" t="s">
        <v>51</v>
      </c>
      <c r="BB1589" t="s">
        <v>53</v>
      </c>
    </row>
    <row r="1590" spans="1:77" x14ac:dyDescent="0.2">
      <c r="A1590" t="s">
        <v>5446</v>
      </c>
      <c r="B1590" t="s">
        <v>5885</v>
      </c>
      <c r="C1590" t="s">
        <v>5838</v>
      </c>
      <c r="D1590" t="s">
        <v>5839</v>
      </c>
      <c r="E1590" t="s">
        <v>5886</v>
      </c>
      <c r="F1590" t="s">
        <v>180</v>
      </c>
      <c r="G1590" t="str">
        <f>HYPERLINK("https://otvet.mail.ru/answer/1994163249/cid-331266005/")</f>
        <v>https://otvet.mail.ru/answer/1994163249/cid-331266005/</v>
      </c>
      <c r="H1590" t="s">
        <v>119</v>
      </c>
      <c r="I1590" t="s">
        <v>5882</v>
      </c>
      <c r="J1590" t="str">
        <f>HYPERLINK("http://otvet.mail.ru/profile/id283265146")</f>
        <v>http://otvet.mail.ru/profile/id283265146</v>
      </c>
      <c r="N1590" t="s">
        <v>690</v>
      </c>
      <c r="O1590" t="s">
        <v>5842</v>
      </c>
      <c r="P1590" t="str">
        <f>HYPERLINK("https://otvet.mail.ru/telecom/")</f>
        <v>https://otvet.mail.ru/telecom/</v>
      </c>
      <c r="R1590" t="s">
        <v>295</v>
      </c>
      <c r="S1590" t="s">
        <v>125</v>
      </c>
      <c r="AM1590" t="s">
        <v>129</v>
      </c>
      <c r="AN1590" t="s">
        <v>130</v>
      </c>
      <c r="AP1590" t="s">
        <v>41</v>
      </c>
      <c r="AW1590" t="s">
        <v>48</v>
      </c>
      <c r="AY1590" t="s">
        <v>50</v>
      </c>
      <c r="AZ1590" t="s">
        <v>51</v>
      </c>
      <c r="BA1590" t="s">
        <v>52</v>
      </c>
    </row>
    <row r="1591" spans="1:77" x14ac:dyDescent="0.2">
      <c r="A1591" t="s">
        <v>5446</v>
      </c>
      <c r="B1591" t="s">
        <v>1196</v>
      </c>
      <c r="C1591" t="s">
        <v>5838</v>
      </c>
      <c r="D1591" t="s">
        <v>5839</v>
      </c>
      <c r="E1591" t="s">
        <v>5887</v>
      </c>
      <c r="F1591" t="s">
        <v>180</v>
      </c>
      <c r="G1591" t="str">
        <f>HYPERLINK("https://otvet.mail.ru/answer/1994163249/cid-331265895/")</f>
        <v>https://otvet.mail.ru/answer/1994163249/cid-331265895/</v>
      </c>
      <c r="H1591" t="s">
        <v>119</v>
      </c>
      <c r="I1591" t="s">
        <v>5888</v>
      </c>
      <c r="J1591" t="str">
        <f>HYPERLINK("http://otvet.mail.ru/profile/id240821115")</f>
        <v>http://otvet.mail.ru/profile/id240821115</v>
      </c>
      <c r="L1591" t="s">
        <v>121</v>
      </c>
      <c r="N1591" t="s">
        <v>690</v>
      </c>
      <c r="O1591" t="s">
        <v>5842</v>
      </c>
      <c r="P1591" t="str">
        <f>HYPERLINK("https://otvet.mail.ru/telecom/")</f>
        <v>https://otvet.mail.ru/telecom/</v>
      </c>
      <c r="R1591" t="s">
        <v>295</v>
      </c>
      <c r="S1591" t="s">
        <v>125</v>
      </c>
      <c r="AM1591" t="s">
        <v>129</v>
      </c>
      <c r="AN1591" t="s">
        <v>130</v>
      </c>
      <c r="AP1591" t="s">
        <v>41</v>
      </c>
      <c r="AT1591" t="s">
        <v>45</v>
      </c>
      <c r="AZ1591" t="s">
        <v>51</v>
      </c>
      <c r="BB1591" t="s">
        <v>53</v>
      </c>
    </row>
    <row r="1592" spans="1:77" x14ac:dyDescent="0.2">
      <c r="A1592" t="s">
        <v>5446</v>
      </c>
      <c r="B1592" t="s">
        <v>5889</v>
      </c>
      <c r="C1592" t="s">
        <v>5838</v>
      </c>
      <c r="D1592" t="s">
        <v>5839</v>
      </c>
      <c r="E1592" t="s">
        <v>5890</v>
      </c>
      <c r="F1592" t="s">
        <v>180</v>
      </c>
      <c r="G1592" t="str">
        <f>HYPERLINK("https://otvet.mail.ru/question/225604717")</f>
        <v>https://otvet.mail.ru/question/225604717</v>
      </c>
      <c r="H1592" t="s">
        <v>119</v>
      </c>
      <c r="I1592" t="s">
        <v>5888</v>
      </c>
      <c r="J1592" t="str">
        <f>HYPERLINK("http://otvet.mail.ru/profile/id240821115")</f>
        <v>http://otvet.mail.ru/profile/id240821115</v>
      </c>
      <c r="L1592" t="s">
        <v>121</v>
      </c>
      <c r="N1592" t="s">
        <v>690</v>
      </c>
      <c r="O1592" t="s">
        <v>5842</v>
      </c>
      <c r="P1592" t="str">
        <f>HYPERLINK("https://otvet.mail.ru/telecom/")</f>
        <v>https://otvet.mail.ru/telecom/</v>
      </c>
      <c r="R1592" t="s">
        <v>295</v>
      </c>
      <c r="S1592" t="s">
        <v>125</v>
      </c>
      <c r="AM1592" t="s">
        <v>129</v>
      </c>
      <c r="AN1592" t="s">
        <v>130</v>
      </c>
      <c r="AP1592" t="s">
        <v>41</v>
      </c>
      <c r="AW1592" t="s">
        <v>48</v>
      </c>
      <c r="AZ1592" t="s">
        <v>51</v>
      </c>
      <c r="BA1592" t="s">
        <v>52</v>
      </c>
      <c r="BL1592" t="s">
        <v>63</v>
      </c>
      <c r="BM1592" t="s">
        <v>64</v>
      </c>
    </row>
    <row r="1593" spans="1:77" x14ac:dyDescent="0.2">
      <c r="A1593" t="s">
        <v>5446</v>
      </c>
      <c r="B1593" t="s">
        <v>5891</v>
      </c>
      <c r="C1593" t="s">
        <v>5892</v>
      </c>
      <c r="D1593" t="s">
        <v>5893</v>
      </c>
      <c r="E1593" t="s">
        <v>5894</v>
      </c>
      <c r="F1593" t="s">
        <v>180</v>
      </c>
      <c r="G1593" t="str">
        <f>HYPERLINK("https://0552ua.com/ukraina/item/66307-1626802687")</f>
        <v>https://0552ua.com/ukraina/item/66307-1626802687</v>
      </c>
      <c r="H1593" t="s">
        <v>119</v>
      </c>
      <c r="N1593" t="s">
        <v>5895</v>
      </c>
      <c r="R1593" t="s">
        <v>785</v>
      </c>
      <c r="AJ1593" t="s">
        <v>5896</v>
      </c>
      <c r="AK1593" t="s">
        <v>5897</v>
      </c>
      <c r="AL1593" t="str">
        <f>HYPERLINK("https://kompromat.wiki/images/thumb/7/73/Shamalov02-1.jpg/300px-Shamalov02-1.jpg")</f>
        <v>https://kompromat.wiki/images/thumb/7/73/Shamalov02-1.jpg/300px-Shamalov02-1.jpg</v>
      </c>
      <c r="AM1593" t="s">
        <v>129</v>
      </c>
      <c r="AN1593" t="s">
        <v>130</v>
      </c>
      <c r="AV1593" t="s">
        <v>47</v>
      </c>
    </row>
    <row r="1594" spans="1:77" x14ac:dyDescent="0.2">
      <c r="A1594" t="s">
        <v>5446</v>
      </c>
      <c r="B1594" t="s">
        <v>4969</v>
      </c>
      <c r="C1594" t="s">
        <v>5898</v>
      </c>
      <c r="D1594" t="s">
        <v>5397</v>
      </c>
      <c r="E1594" t="s">
        <v>5899</v>
      </c>
      <c r="F1594" t="s">
        <v>118</v>
      </c>
      <c r="G1594" t="str">
        <f>HYPERLINK("https://vk.com/wall-22935147_368479?reply=368488")</f>
        <v>https://vk.com/wall-22935147_368479?reply=368488</v>
      </c>
      <c r="H1594" t="s">
        <v>119</v>
      </c>
      <c r="I1594" t="s">
        <v>1580</v>
      </c>
      <c r="J1594" t="str">
        <f>HYPERLINK("http://vk.com/id412163002")</f>
        <v>http://vk.com/id412163002</v>
      </c>
      <c r="K1594">
        <v>38</v>
      </c>
      <c r="L1594" t="s">
        <v>121</v>
      </c>
      <c r="N1594" t="s">
        <v>122</v>
      </c>
      <c r="O1594" t="s">
        <v>1093</v>
      </c>
      <c r="P1594" t="str">
        <f>HYPERLINK("http://vk.com/club22935147")</f>
        <v>http://vk.com/club22935147</v>
      </c>
      <c r="Q1594">
        <v>8943</v>
      </c>
      <c r="R1594" t="s">
        <v>124</v>
      </c>
      <c r="S1594" t="s">
        <v>125</v>
      </c>
      <c r="T1594" t="s">
        <v>1466</v>
      </c>
      <c r="U1594" t="s">
        <v>1467</v>
      </c>
      <c r="W1594">
        <v>0</v>
      </c>
      <c r="X1594">
        <v>0</v>
      </c>
      <c r="AM1594" t="s">
        <v>129</v>
      </c>
      <c r="AN1594" t="s">
        <v>130</v>
      </c>
      <c r="AP1594" t="s">
        <v>41</v>
      </c>
      <c r="AT1594" t="s">
        <v>45</v>
      </c>
      <c r="AW1594" t="s">
        <v>48</v>
      </c>
      <c r="AZ1594" t="s">
        <v>51</v>
      </c>
      <c r="BA1594" t="s">
        <v>52</v>
      </c>
      <c r="BM1594" t="s">
        <v>64</v>
      </c>
    </row>
    <row r="1595" spans="1:77" x14ac:dyDescent="0.2">
      <c r="A1595" t="s">
        <v>5446</v>
      </c>
      <c r="B1595" t="s">
        <v>5900</v>
      </c>
      <c r="C1595" t="s">
        <v>5901</v>
      </c>
      <c r="D1595" t="s">
        <v>2001</v>
      </c>
      <c r="E1595" t="s">
        <v>5902</v>
      </c>
      <c r="F1595" t="s">
        <v>118</v>
      </c>
      <c r="G1595" t="str">
        <f>HYPERLINK("https://vk.com/wall-27863223_291925?reply=291962")</f>
        <v>https://vk.com/wall-27863223_291925?reply=291962</v>
      </c>
      <c r="H1595" t="s">
        <v>228</v>
      </c>
      <c r="I1595" t="s">
        <v>5903</v>
      </c>
      <c r="J1595" t="str">
        <f>HYPERLINK("http://vk.com/id186379237")</f>
        <v>http://vk.com/id186379237</v>
      </c>
      <c r="K1595">
        <v>141</v>
      </c>
      <c r="L1595" t="s">
        <v>121</v>
      </c>
      <c r="N1595" t="s">
        <v>122</v>
      </c>
      <c r="O1595" t="s">
        <v>175</v>
      </c>
      <c r="P1595" t="str">
        <f>HYPERLINK("http://vk.com/club27863223")</f>
        <v>http://vk.com/club27863223</v>
      </c>
      <c r="Q1595">
        <v>134698</v>
      </c>
      <c r="R1595" t="s">
        <v>124</v>
      </c>
      <c r="S1595" t="s">
        <v>125</v>
      </c>
      <c r="T1595" t="s">
        <v>5146</v>
      </c>
      <c r="U1595" t="s">
        <v>5726</v>
      </c>
      <c r="W1595">
        <v>0</v>
      </c>
      <c r="X1595">
        <v>0</v>
      </c>
      <c r="AM1595" t="s">
        <v>129</v>
      </c>
      <c r="AN1595" t="s">
        <v>130</v>
      </c>
      <c r="AP1595" t="s">
        <v>41</v>
      </c>
      <c r="AZ1595" t="s">
        <v>51</v>
      </c>
      <c r="BA1595" t="s">
        <v>52</v>
      </c>
      <c r="BL1595" t="s">
        <v>63</v>
      </c>
    </row>
    <row r="1596" spans="1:77" x14ac:dyDescent="0.2">
      <c r="A1596" t="s">
        <v>5446</v>
      </c>
      <c r="B1596" t="s">
        <v>5904</v>
      </c>
      <c r="C1596" t="s">
        <v>5905</v>
      </c>
      <c r="D1596" t="s">
        <v>2001</v>
      </c>
      <c r="E1596" t="s">
        <v>5906</v>
      </c>
      <c r="F1596" t="s">
        <v>118</v>
      </c>
      <c r="G1596" t="str">
        <f>HYPERLINK("https://vk.com/wall-27863223_291925?reply=291961")</f>
        <v>https://vk.com/wall-27863223_291925?reply=291961</v>
      </c>
      <c r="H1596" t="s">
        <v>228</v>
      </c>
      <c r="I1596" t="s">
        <v>5903</v>
      </c>
      <c r="J1596" t="str">
        <f>HYPERLINK("http://vk.com/id186379237")</f>
        <v>http://vk.com/id186379237</v>
      </c>
      <c r="K1596">
        <v>141</v>
      </c>
      <c r="L1596" t="s">
        <v>121</v>
      </c>
      <c r="N1596" t="s">
        <v>122</v>
      </c>
      <c r="O1596" t="s">
        <v>175</v>
      </c>
      <c r="P1596" t="str">
        <f>HYPERLINK("http://vk.com/club27863223")</f>
        <v>http://vk.com/club27863223</v>
      </c>
      <c r="Q1596">
        <v>134698</v>
      </c>
      <c r="R1596" t="s">
        <v>124</v>
      </c>
      <c r="S1596" t="s">
        <v>125</v>
      </c>
      <c r="T1596" t="s">
        <v>5146</v>
      </c>
      <c r="U1596" t="s">
        <v>5726</v>
      </c>
      <c r="AM1596" t="s">
        <v>129</v>
      </c>
      <c r="AN1596" t="s">
        <v>130</v>
      </c>
      <c r="AP1596" t="s">
        <v>41</v>
      </c>
      <c r="AY1596" t="s">
        <v>50</v>
      </c>
      <c r="AZ1596" t="s">
        <v>51</v>
      </c>
      <c r="BA1596" t="s">
        <v>52</v>
      </c>
    </row>
    <row r="1597" spans="1:77" x14ac:dyDescent="0.2">
      <c r="A1597" t="s">
        <v>5446</v>
      </c>
      <c r="B1597" t="s">
        <v>5907</v>
      </c>
      <c r="C1597" t="s">
        <v>5908</v>
      </c>
      <c r="D1597" t="s">
        <v>5397</v>
      </c>
      <c r="E1597" t="s">
        <v>5909</v>
      </c>
      <c r="F1597" t="s">
        <v>118</v>
      </c>
      <c r="G1597" t="str">
        <f>HYPERLINK("https://vk.com/wall-22935147_368479?reply=368487")</f>
        <v>https://vk.com/wall-22935147_368479?reply=368487</v>
      </c>
      <c r="H1597" t="s">
        <v>119</v>
      </c>
      <c r="I1597" t="s">
        <v>5910</v>
      </c>
      <c r="J1597" t="str">
        <f>HYPERLINK("http://vk.com/id132180057")</f>
        <v>http://vk.com/id132180057</v>
      </c>
      <c r="K1597">
        <v>528</v>
      </c>
      <c r="L1597" t="s">
        <v>151</v>
      </c>
      <c r="M1597">
        <v>32</v>
      </c>
      <c r="N1597" t="s">
        <v>122</v>
      </c>
      <c r="O1597" t="s">
        <v>1093</v>
      </c>
      <c r="P1597" t="str">
        <f>HYPERLINK("http://vk.com/club22935147")</f>
        <v>http://vk.com/club22935147</v>
      </c>
      <c r="Q1597">
        <v>8943</v>
      </c>
      <c r="R1597" t="s">
        <v>124</v>
      </c>
      <c r="S1597" t="s">
        <v>125</v>
      </c>
      <c r="T1597" t="s">
        <v>1275</v>
      </c>
      <c r="U1597" t="s">
        <v>1276</v>
      </c>
      <c r="W1597">
        <v>0</v>
      </c>
      <c r="X1597">
        <v>0</v>
      </c>
      <c r="AM1597" t="s">
        <v>129</v>
      </c>
      <c r="AN1597" t="s">
        <v>130</v>
      </c>
      <c r="AP1597" t="s">
        <v>41</v>
      </c>
      <c r="AT1597" t="s">
        <v>45</v>
      </c>
      <c r="AZ1597" t="s">
        <v>51</v>
      </c>
      <c r="BA1597" t="s">
        <v>52</v>
      </c>
      <c r="BL1597" t="s">
        <v>63</v>
      </c>
    </row>
    <row r="1598" spans="1:77" x14ac:dyDescent="0.2">
      <c r="A1598" t="s">
        <v>5446</v>
      </c>
      <c r="B1598" t="s">
        <v>5907</v>
      </c>
      <c r="C1598" t="s">
        <v>5911</v>
      </c>
      <c r="D1598" t="s">
        <v>5912</v>
      </c>
      <c r="E1598" t="s">
        <v>5913</v>
      </c>
      <c r="F1598" t="s">
        <v>118</v>
      </c>
      <c r="G1598" t="str">
        <f>HYPERLINK("https://vk.com/wall-56803564_122232?reply=122237&amp;thread=122236")</f>
        <v>https://vk.com/wall-56803564_122232?reply=122237&amp;thread=122236</v>
      </c>
      <c r="H1598" t="s">
        <v>181</v>
      </c>
      <c r="I1598" t="s">
        <v>5914</v>
      </c>
      <c r="J1598" t="str">
        <f>HYPERLINK("http://vk.com/id63102777")</f>
        <v>http://vk.com/id63102777</v>
      </c>
      <c r="K1598">
        <v>630</v>
      </c>
      <c r="L1598" t="s">
        <v>151</v>
      </c>
      <c r="N1598" t="s">
        <v>122</v>
      </c>
      <c r="O1598" t="s">
        <v>5915</v>
      </c>
      <c r="P1598" t="str">
        <f>HYPERLINK("http://vk.com/club56803564")</f>
        <v>http://vk.com/club56803564</v>
      </c>
      <c r="Q1598">
        <v>10013</v>
      </c>
      <c r="R1598" t="s">
        <v>124</v>
      </c>
      <c r="S1598" t="s">
        <v>125</v>
      </c>
      <c r="T1598" t="s">
        <v>5146</v>
      </c>
      <c r="U1598" t="s">
        <v>5147</v>
      </c>
      <c r="AM1598" t="s">
        <v>129</v>
      </c>
      <c r="AN1598" t="s">
        <v>130</v>
      </c>
      <c r="AP1598" t="s">
        <v>41</v>
      </c>
      <c r="AZ1598" t="s">
        <v>51</v>
      </c>
      <c r="BA1598" t="s">
        <v>52</v>
      </c>
    </row>
    <row r="1599" spans="1:77" x14ac:dyDescent="0.2">
      <c r="A1599" t="s">
        <v>5446</v>
      </c>
      <c r="B1599" t="s">
        <v>5916</v>
      </c>
      <c r="C1599" t="s">
        <v>5917</v>
      </c>
      <c r="D1599" t="s">
        <v>922</v>
      </c>
      <c r="E1599" t="s">
        <v>5918</v>
      </c>
      <c r="F1599" t="s">
        <v>180</v>
      </c>
      <c r="G1599" t="str">
        <f>HYPERLINK("https://www.wildberries.ru/catalog/21220605/detail.aspx?targetUrl=ES#Comments")</f>
        <v>https://www.wildberries.ru/catalog/21220605/detail.aspx?targetUrl=ES#Comments</v>
      </c>
      <c r="H1599" t="s">
        <v>181</v>
      </c>
      <c r="I1599" t="s">
        <v>5919</v>
      </c>
      <c r="J1599" t="str">
        <f>HYPERLINK("https://www.wildberries.ru/profile/w7TDssOkw7PCu8K3wrbCtMK0wrjCtcKx")</f>
        <v>https://www.wildberries.ru/profile/w7TDssOkw7PCu8K3wrbCtMK0wrjCtcKx</v>
      </c>
      <c r="L1599" t="s">
        <v>151</v>
      </c>
      <c r="N1599" t="s">
        <v>534</v>
      </c>
      <c r="O1599" t="s">
        <v>922</v>
      </c>
      <c r="P1599" t="str">
        <f>HYPERLINK("https://www.wildberries.ru/catalog/15142010/detail.aspx")</f>
        <v>https://www.wildberries.ru/catalog/15142010/detail.aspx</v>
      </c>
      <c r="R1599" t="s">
        <v>184</v>
      </c>
      <c r="S1599" t="s">
        <v>125</v>
      </c>
      <c r="W1599">
        <v>0</v>
      </c>
      <c r="X1599">
        <v>0</v>
      </c>
      <c r="AH1599">
        <v>5</v>
      </c>
      <c r="AM1599" t="s">
        <v>129</v>
      </c>
      <c r="AN1599" t="s">
        <v>130</v>
      </c>
      <c r="AP1599" t="s">
        <v>41</v>
      </c>
      <c r="AZ1599" t="s">
        <v>51</v>
      </c>
      <c r="BA1599" t="s">
        <v>52</v>
      </c>
      <c r="BK1599" t="s">
        <v>62</v>
      </c>
      <c r="BL1599" t="s">
        <v>63</v>
      </c>
    </row>
    <row r="1600" spans="1:77" x14ac:dyDescent="0.2">
      <c r="A1600" t="s">
        <v>5920</v>
      </c>
      <c r="B1600" t="s">
        <v>5459</v>
      </c>
      <c r="C1600" t="s">
        <v>5921</v>
      </c>
      <c r="D1600" t="s">
        <v>5922</v>
      </c>
      <c r="E1600" t="s">
        <v>5923</v>
      </c>
      <c r="F1600" t="s">
        <v>118</v>
      </c>
      <c r="G1600" t="str">
        <f>HYPERLINK("https://vk.com/wall-61101621_254705?w=wall-61101621_254705_r254720")</f>
        <v>https://vk.com/wall-61101621_254705?w=wall-61101621_254705_r254720</v>
      </c>
      <c r="H1600" t="s">
        <v>119</v>
      </c>
      <c r="I1600" t="s">
        <v>5027</v>
      </c>
      <c r="J1600" t="str">
        <f>HYPERLINK("http://vk.com/id12132513")</f>
        <v>http://vk.com/id12132513</v>
      </c>
      <c r="K1600">
        <v>350</v>
      </c>
      <c r="L1600" t="s">
        <v>121</v>
      </c>
      <c r="N1600" t="s">
        <v>122</v>
      </c>
      <c r="O1600" t="s">
        <v>160</v>
      </c>
      <c r="P1600" t="str">
        <f>HYPERLINK("http://vk.com/club61101621")</f>
        <v>http://vk.com/club61101621</v>
      </c>
      <c r="Q1600">
        <v>21119</v>
      </c>
      <c r="R1600" t="s">
        <v>124</v>
      </c>
      <c r="S1600" t="s">
        <v>125</v>
      </c>
      <c r="T1600" t="s">
        <v>372</v>
      </c>
      <c r="U1600" t="s">
        <v>5028</v>
      </c>
      <c r="W1600">
        <v>0</v>
      </c>
      <c r="X1600">
        <v>0</v>
      </c>
      <c r="AM1600" t="s">
        <v>129</v>
      </c>
      <c r="AN1600" t="s">
        <v>130</v>
      </c>
      <c r="AP1600" t="s">
        <v>41</v>
      </c>
      <c r="AZ1600" t="s">
        <v>51</v>
      </c>
      <c r="BA1600" t="s">
        <v>52</v>
      </c>
      <c r="BL1600" t="s">
        <v>63</v>
      </c>
    </row>
    <row r="1601" spans="1:70" x14ac:dyDescent="0.2">
      <c r="A1601" t="s">
        <v>5920</v>
      </c>
      <c r="B1601" t="s">
        <v>2296</v>
      </c>
      <c r="C1601" t="s">
        <v>5924</v>
      </c>
      <c r="D1601" t="s">
        <v>4609</v>
      </c>
      <c r="E1601" t="s">
        <v>5925</v>
      </c>
      <c r="F1601" t="s">
        <v>118</v>
      </c>
      <c r="G1601" t="str">
        <f>HYPERLINK("https://pikabu.ru/story/trikolor_tv_reklamnyiy_baner_kotoryiy_besitmalenkiy_layfkhak_8353681?cid=206612211")</f>
        <v>https://pikabu.ru/story/trikolor_tv_reklamnyiy_baner_kotoryiy_besitmalenkiy_layfkhak_8353681?cid=206612211</v>
      </c>
      <c r="H1601" t="s">
        <v>119</v>
      </c>
      <c r="I1601" t="s">
        <v>5926</v>
      </c>
      <c r="J1601" t="str">
        <f>HYPERLINK("http://pikabu.ru/profile/Deribas31")</f>
        <v>http://pikabu.ru/profile/Deribas31</v>
      </c>
      <c r="N1601" t="s">
        <v>402</v>
      </c>
      <c r="O1601" t="s">
        <v>4612</v>
      </c>
      <c r="P1601" t="str">
        <f>HYPERLINK("http://pikabu.ru/profile/Soonk80")</f>
        <v>http://pikabu.ru/profile/Soonk80</v>
      </c>
      <c r="R1601" t="s">
        <v>404</v>
      </c>
      <c r="AM1601" t="s">
        <v>129</v>
      </c>
      <c r="AN1601" t="s">
        <v>130</v>
      </c>
      <c r="AP1601" t="s">
        <v>41</v>
      </c>
      <c r="AZ1601" t="s">
        <v>51</v>
      </c>
      <c r="BA1601" t="s">
        <v>52</v>
      </c>
    </row>
    <row r="1602" spans="1:70" x14ac:dyDescent="0.2">
      <c r="A1602" t="s">
        <v>5920</v>
      </c>
      <c r="B1602" t="s">
        <v>4566</v>
      </c>
      <c r="C1602" t="s">
        <v>5927</v>
      </c>
      <c r="D1602" t="s">
        <v>4609</v>
      </c>
      <c r="E1602" t="s">
        <v>5928</v>
      </c>
      <c r="F1602" t="s">
        <v>118</v>
      </c>
      <c r="G1602" t="str">
        <f>HYPERLINK("https://pikabu.ru/story/trikolor_tv_reklamnyiy_baner_kotoryiy_besitmalenkiy_layfkhak_8353681?cid=206610775")</f>
        <v>https://pikabu.ru/story/trikolor_tv_reklamnyiy_baner_kotoryiy_besitmalenkiy_layfkhak_8353681?cid=206610775</v>
      </c>
      <c r="H1602" t="s">
        <v>119</v>
      </c>
      <c r="I1602" t="s">
        <v>5458</v>
      </c>
      <c r="J1602" t="str">
        <f>HYPERLINK("http://pikabu.ru/profile/baibuga")</f>
        <v>http://pikabu.ru/profile/baibuga</v>
      </c>
      <c r="N1602" t="s">
        <v>402</v>
      </c>
      <c r="O1602" t="s">
        <v>4612</v>
      </c>
      <c r="P1602" t="str">
        <f>HYPERLINK("http://pikabu.ru/profile/Soonk80")</f>
        <v>http://pikabu.ru/profile/Soonk80</v>
      </c>
      <c r="R1602" t="s">
        <v>404</v>
      </c>
      <c r="AM1602" t="s">
        <v>129</v>
      </c>
      <c r="AN1602" t="s">
        <v>130</v>
      </c>
      <c r="AP1602" t="s">
        <v>41</v>
      </c>
      <c r="AT1602" t="s">
        <v>45</v>
      </c>
      <c r="AZ1602" t="s">
        <v>51</v>
      </c>
      <c r="BA1602" t="s">
        <v>52</v>
      </c>
      <c r="BL1602" t="s">
        <v>63</v>
      </c>
    </row>
    <row r="1603" spans="1:70" x14ac:dyDescent="0.2">
      <c r="A1603" t="s">
        <v>5920</v>
      </c>
      <c r="B1603" t="s">
        <v>791</v>
      </c>
      <c r="C1603" t="s">
        <v>5929</v>
      </c>
      <c r="D1603" t="s">
        <v>4493</v>
      </c>
      <c r="E1603" t="s">
        <v>5930</v>
      </c>
      <c r="F1603" t="s">
        <v>118</v>
      </c>
      <c r="G1603" t="str">
        <f>HYPERLINK("https://www.youtube.com/watch?v=1SBIbJI3czM&amp;lc=UgwQvVpTKYAmcgd2It94AaABAg")</f>
        <v>https://www.youtube.com/watch?v=1SBIbJI3czM&amp;lc=UgwQvVpTKYAmcgd2It94AaABAg</v>
      </c>
      <c r="H1603" t="s">
        <v>119</v>
      </c>
      <c r="I1603" t="s">
        <v>5931</v>
      </c>
      <c r="J1603" t="str">
        <f>HYPERLINK("https://www.youtube.com/channel/UCek5impxRubCUkGn_oraC_w")</f>
        <v>https://www.youtube.com/channel/UCek5impxRubCUkGn_oraC_w</v>
      </c>
      <c r="K1603">
        <v>10</v>
      </c>
      <c r="N1603" t="s">
        <v>248</v>
      </c>
      <c r="O1603" t="s">
        <v>4496</v>
      </c>
      <c r="P1603" t="str">
        <f>HYPERLINK("https://www.youtube.com/channel/UCIKsOvms5_CYAzWTRbiHWpQ")</f>
        <v>https://www.youtube.com/channel/UCIKsOvms5_CYAzWTRbiHWpQ</v>
      </c>
      <c r="Q1603">
        <v>7990</v>
      </c>
      <c r="R1603" t="s">
        <v>124</v>
      </c>
      <c r="S1603" t="s">
        <v>125</v>
      </c>
      <c r="W1603">
        <v>0</v>
      </c>
      <c r="X1603">
        <v>0</v>
      </c>
      <c r="AE1603">
        <v>1</v>
      </c>
      <c r="AM1603" t="s">
        <v>129</v>
      </c>
      <c r="AN1603" t="s">
        <v>130</v>
      </c>
      <c r="AP1603" t="s">
        <v>41</v>
      </c>
      <c r="AT1603" t="s">
        <v>45</v>
      </c>
      <c r="AU1603" t="s">
        <v>46</v>
      </c>
      <c r="AZ1603" t="s">
        <v>51</v>
      </c>
      <c r="BA1603" t="s">
        <v>52</v>
      </c>
    </row>
    <row r="1604" spans="1:70" x14ac:dyDescent="0.2">
      <c r="A1604" t="s">
        <v>5920</v>
      </c>
      <c r="B1604" t="s">
        <v>2311</v>
      </c>
      <c r="C1604" t="s">
        <v>5932</v>
      </c>
      <c r="D1604" t="s">
        <v>4094</v>
      </c>
      <c r="E1604" t="s">
        <v>5933</v>
      </c>
      <c r="F1604" t="s">
        <v>118</v>
      </c>
      <c r="G1604" t="str">
        <f>HYPERLINK("https://www.youtube.com/watch?v=XCtxDrX5LP0&amp;lc=UgwdpIlYQI9Z69_icj54AaABAg.9Pza2u5-DWP9Pzp9QdyvgA")</f>
        <v>https://www.youtube.com/watch?v=XCtxDrX5LP0&amp;lc=UgwdpIlYQI9Z69_icj54AaABAg.9Pza2u5-DWP9Pzp9QdyvgA</v>
      </c>
      <c r="H1604" t="s">
        <v>228</v>
      </c>
      <c r="I1604" t="s">
        <v>4096</v>
      </c>
      <c r="J1604" t="str">
        <f>HYPERLINK("https://www.youtube.com/channel/UCS_hQzqKW9msSt87cX24c8Q")</f>
        <v>https://www.youtube.com/channel/UCS_hQzqKW9msSt87cX24c8Q</v>
      </c>
      <c r="K1604">
        <v>15600</v>
      </c>
      <c r="N1604" t="s">
        <v>248</v>
      </c>
      <c r="O1604" t="s">
        <v>4096</v>
      </c>
      <c r="P1604" t="str">
        <f>HYPERLINK("https://www.youtube.com/channel/UCS_hQzqKW9msSt87cX24c8Q")</f>
        <v>https://www.youtube.com/channel/UCS_hQzqKW9msSt87cX24c8Q</v>
      </c>
      <c r="Q1604">
        <v>15600</v>
      </c>
      <c r="R1604" t="s">
        <v>124</v>
      </c>
      <c r="S1604" t="s">
        <v>125</v>
      </c>
      <c r="W1604">
        <v>0</v>
      </c>
      <c r="X1604">
        <v>0</v>
      </c>
      <c r="AM1604" t="s">
        <v>129</v>
      </c>
      <c r="AN1604" t="s">
        <v>130</v>
      </c>
      <c r="AP1604" t="s">
        <v>41</v>
      </c>
      <c r="AZ1604" t="s">
        <v>51</v>
      </c>
      <c r="BA1604" t="s">
        <v>52</v>
      </c>
    </row>
    <row r="1605" spans="1:70" x14ac:dyDescent="0.2">
      <c r="A1605" t="s">
        <v>5920</v>
      </c>
      <c r="B1605" t="s">
        <v>4092</v>
      </c>
      <c r="C1605" t="s">
        <v>5934</v>
      </c>
      <c r="D1605" t="s">
        <v>5397</v>
      </c>
      <c r="E1605" t="s">
        <v>5935</v>
      </c>
      <c r="F1605" t="s">
        <v>118</v>
      </c>
      <c r="G1605" t="str">
        <f>HYPERLINK("https://vk.com/wall-22935147_368479?reply=368484")</f>
        <v>https://vk.com/wall-22935147_368479?reply=368484</v>
      </c>
      <c r="H1605" t="s">
        <v>119</v>
      </c>
      <c r="I1605" t="s">
        <v>5936</v>
      </c>
      <c r="J1605" t="str">
        <f>HYPERLINK("http://vk.com/id277110920")</f>
        <v>http://vk.com/id277110920</v>
      </c>
      <c r="K1605">
        <v>46</v>
      </c>
      <c r="L1605" t="s">
        <v>151</v>
      </c>
      <c r="N1605" t="s">
        <v>122</v>
      </c>
      <c r="O1605" t="s">
        <v>1093</v>
      </c>
      <c r="P1605" t="str">
        <f>HYPERLINK("http://vk.com/club22935147")</f>
        <v>http://vk.com/club22935147</v>
      </c>
      <c r="Q1605">
        <v>8943</v>
      </c>
      <c r="R1605" t="s">
        <v>124</v>
      </c>
      <c r="S1605" t="s">
        <v>125</v>
      </c>
      <c r="T1605" t="s">
        <v>1365</v>
      </c>
      <c r="U1605" t="s">
        <v>1366</v>
      </c>
      <c r="W1605">
        <v>0</v>
      </c>
      <c r="X1605">
        <v>0</v>
      </c>
      <c r="AM1605" t="s">
        <v>129</v>
      </c>
      <c r="AN1605" t="s">
        <v>130</v>
      </c>
      <c r="AP1605" t="s">
        <v>41</v>
      </c>
      <c r="AZ1605" t="s">
        <v>51</v>
      </c>
      <c r="BA1605" t="s">
        <v>52</v>
      </c>
      <c r="BL1605" t="s">
        <v>63</v>
      </c>
    </row>
    <row r="1606" spans="1:70" x14ac:dyDescent="0.2">
      <c r="A1606" t="s">
        <v>5920</v>
      </c>
      <c r="B1606" t="s">
        <v>3624</v>
      </c>
      <c r="C1606" t="s">
        <v>5937</v>
      </c>
      <c r="D1606" t="s">
        <v>4609</v>
      </c>
      <c r="E1606" t="s">
        <v>5938</v>
      </c>
      <c r="F1606" t="s">
        <v>180</v>
      </c>
      <c r="G1606" t="str">
        <f>HYPERLINK("https://pikabu.ru/story/trikolor_tv_reklamnyiy_baner_kotoryiy_besitmalenkiy_layfkhak_8353681")</f>
        <v>https://pikabu.ru/story/trikolor_tv_reklamnyiy_baner_kotoryiy_besitmalenkiy_layfkhak_8353681</v>
      </c>
      <c r="H1606" t="s">
        <v>228</v>
      </c>
      <c r="I1606" t="s">
        <v>4612</v>
      </c>
      <c r="J1606" t="str">
        <f>HYPERLINK("http://pikabu.ru/profile/Soonk80")</f>
        <v>http://pikabu.ru/profile/Soonk80</v>
      </c>
      <c r="N1606" t="s">
        <v>402</v>
      </c>
      <c r="O1606" t="s">
        <v>4612</v>
      </c>
      <c r="P1606" t="str">
        <f>HYPERLINK("http://pikabu.ru/profile/Soonk80")</f>
        <v>http://pikabu.ru/profile/Soonk80</v>
      </c>
      <c r="R1606" t="s">
        <v>404</v>
      </c>
      <c r="AE1606">
        <v>0</v>
      </c>
      <c r="AM1606" t="s">
        <v>129</v>
      </c>
      <c r="AN1606" t="s">
        <v>130</v>
      </c>
      <c r="AP1606" t="s">
        <v>41</v>
      </c>
      <c r="AU1606" t="s">
        <v>46</v>
      </c>
      <c r="AZ1606" t="s">
        <v>51</v>
      </c>
      <c r="BA1606" t="s">
        <v>52</v>
      </c>
      <c r="BR1606" t="s">
        <v>69</v>
      </c>
    </row>
    <row r="1607" spans="1:70" x14ac:dyDescent="0.2">
      <c r="A1607" t="s">
        <v>5920</v>
      </c>
      <c r="B1607" t="s">
        <v>1297</v>
      </c>
      <c r="C1607" t="s">
        <v>5937</v>
      </c>
      <c r="D1607" t="s">
        <v>5397</v>
      </c>
      <c r="E1607" t="s">
        <v>5939</v>
      </c>
      <c r="F1607" t="s">
        <v>118</v>
      </c>
      <c r="G1607" t="str">
        <f>HYPERLINK("https://vk.com/wall-22935147_368479?reply=368483")</f>
        <v>https://vk.com/wall-22935147_368479?reply=368483</v>
      </c>
      <c r="H1607" t="s">
        <v>119</v>
      </c>
      <c r="I1607" t="s">
        <v>5940</v>
      </c>
      <c r="J1607" t="str">
        <f>HYPERLINK("http://vk.com/id41061593")</f>
        <v>http://vk.com/id41061593</v>
      </c>
      <c r="K1607">
        <v>222</v>
      </c>
      <c r="L1607" t="s">
        <v>121</v>
      </c>
      <c r="M1607">
        <v>31</v>
      </c>
      <c r="N1607" t="s">
        <v>122</v>
      </c>
      <c r="O1607" t="s">
        <v>1093</v>
      </c>
      <c r="P1607" t="str">
        <f>HYPERLINK("http://vk.com/club22935147")</f>
        <v>http://vk.com/club22935147</v>
      </c>
      <c r="Q1607">
        <v>8943</v>
      </c>
      <c r="R1607" t="s">
        <v>124</v>
      </c>
      <c r="S1607" t="s">
        <v>125</v>
      </c>
      <c r="T1607" t="s">
        <v>523</v>
      </c>
      <c r="U1607" t="s">
        <v>5941</v>
      </c>
      <c r="W1607">
        <v>0</v>
      </c>
      <c r="X1607">
        <v>0</v>
      </c>
      <c r="AM1607" t="s">
        <v>129</v>
      </c>
      <c r="AN1607" t="s">
        <v>130</v>
      </c>
      <c r="AP1607" t="s">
        <v>41</v>
      </c>
      <c r="AW1607" t="s">
        <v>48</v>
      </c>
      <c r="AZ1607" t="s">
        <v>51</v>
      </c>
      <c r="BA1607" t="s">
        <v>52</v>
      </c>
      <c r="BM1607" t="s">
        <v>64</v>
      </c>
    </row>
    <row r="1608" spans="1:70" x14ac:dyDescent="0.2">
      <c r="A1608" t="s">
        <v>5920</v>
      </c>
      <c r="B1608" t="s">
        <v>1297</v>
      </c>
      <c r="C1608" t="s">
        <v>5937</v>
      </c>
      <c r="D1608" t="s">
        <v>5397</v>
      </c>
      <c r="E1608" t="s">
        <v>5942</v>
      </c>
      <c r="F1608" t="s">
        <v>118</v>
      </c>
      <c r="G1608" t="str">
        <f>HYPERLINK("https://vk.com/wall-22935147_368479?reply=368482")</f>
        <v>https://vk.com/wall-22935147_368479?reply=368482</v>
      </c>
      <c r="H1608" t="s">
        <v>119</v>
      </c>
      <c r="I1608" t="s">
        <v>5940</v>
      </c>
      <c r="J1608" t="str">
        <f>HYPERLINK("http://vk.com/id41061593")</f>
        <v>http://vk.com/id41061593</v>
      </c>
      <c r="K1608">
        <v>222</v>
      </c>
      <c r="L1608" t="s">
        <v>121</v>
      </c>
      <c r="M1608">
        <v>31</v>
      </c>
      <c r="N1608" t="s">
        <v>122</v>
      </c>
      <c r="O1608" t="s">
        <v>1093</v>
      </c>
      <c r="P1608" t="str">
        <f>HYPERLINK("http://vk.com/club22935147")</f>
        <v>http://vk.com/club22935147</v>
      </c>
      <c r="Q1608">
        <v>8943</v>
      </c>
      <c r="R1608" t="s">
        <v>124</v>
      </c>
      <c r="S1608" t="s">
        <v>125</v>
      </c>
      <c r="T1608" t="s">
        <v>523</v>
      </c>
      <c r="U1608" t="s">
        <v>5941</v>
      </c>
      <c r="W1608">
        <v>0</v>
      </c>
      <c r="X1608">
        <v>0</v>
      </c>
      <c r="AM1608" t="s">
        <v>129</v>
      </c>
      <c r="AN1608" t="s">
        <v>130</v>
      </c>
      <c r="AP1608" t="s">
        <v>41</v>
      </c>
      <c r="AT1608" t="s">
        <v>45</v>
      </c>
      <c r="AZ1608" t="s">
        <v>51</v>
      </c>
      <c r="BA1608" t="s">
        <v>52</v>
      </c>
    </row>
    <row r="1609" spans="1:70" x14ac:dyDescent="0.2">
      <c r="A1609" t="s">
        <v>5920</v>
      </c>
      <c r="B1609" t="s">
        <v>1301</v>
      </c>
      <c r="C1609" t="s">
        <v>5937</v>
      </c>
      <c r="D1609" t="s">
        <v>5397</v>
      </c>
      <c r="E1609" t="s">
        <v>5943</v>
      </c>
      <c r="F1609" t="s">
        <v>118</v>
      </c>
      <c r="G1609" t="str">
        <f>HYPERLINK("https://vk.com/wall-22935147_368479?reply=368480")</f>
        <v>https://vk.com/wall-22935147_368479?reply=368480</v>
      </c>
      <c r="H1609" t="s">
        <v>119</v>
      </c>
      <c r="I1609" t="s">
        <v>5944</v>
      </c>
      <c r="J1609" t="str">
        <f>HYPERLINK("http://vk.com/id53370501")</f>
        <v>http://vk.com/id53370501</v>
      </c>
      <c r="K1609">
        <v>1072</v>
      </c>
      <c r="L1609" t="s">
        <v>121</v>
      </c>
      <c r="N1609" t="s">
        <v>122</v>
      </c>
      <c r="O1609" t="s">
        <v>1093</v>
      </c>
      <c r="P1609" t="str">
        <f>HYPERLINK("http://vk.com/club22935147")</f>
        <v>http://vk.com/club22935147</v>
      </c>
      <c r="Q1609">
        <v>8943</v>
      </c>
      <c r="R1609" t="s">
        <v>124</v>
      </c>
      <c r="S1609" t="s">
        <v>125</v>
      </c>
      <c r="W1609">
        <v>1</v>
      </c>
      <c r="X1609">
        <v>1</v>
      </c>
      <c r="AM1609" t="s">
        <v>129</v>
      </c>
      <c r="AN1609" t="s">
        <v>130</v>
      </c>
      <c r="AP1609" t="s">
        <v>41</v>
      </c>
      <c r="AT1609" t="s">
        <v>45</v>
      </c>
      <c r="AZ1609" t="s">
        <v>51</v>
      </c>
      <c r="BA1609" t="s">
        <v>52</v>
      </c>
      <c r="BL1609" t="s">
        <v>63</v>
      </c>
      <c r="BM1609" t="s">
        <v>64</v>
      </c>
    </row>
    <row r="1610" spans="1:70" x14ac:dyDescent="0.2">
      <c r="A1610" t="s">
        <v>5920</v>
      </c>
      <c r="B1610" t="s">
        <v>1306</v>
      </c>
      <c r="C1610" t="s">
        <v>5937</v>
      </c>
      <c r="D1610" t="s">
        <v>129</v>
      </c>
      <c r="E1610" t="s">
        <v>5945</v>
      </c>
      <c r="F1610" t="s">
        <v>180</v>
      </c>
      <c r="G1610" t="str">
        <f>HYPERLINK("https://vk.com/wall-22935147_368479")</f>
        <v>https://vk.com/wall-22935147_368479</v>
      </c>
      <c r="H1610" t="s">
        <v>119</v>
      </c>
      <c r="I1610" t="s">
        <v>5612</v>
      </c>
      <c r="J1610" t="str">
        <f>HYPERLINK("http://vk.com/id211336396")</f>
        <v>http://vk.com/id211336396</v>
      </c>
      <c r="K1610">
        <v>24</v>
      </c>
      <c r="L1610" t="s">
        <v>121</v>
      </c>
      <c r="M1610">
        <v>50</v>
      </c>
      <c r="N1610" t="s">
        <v>122</v>
      </c>
      <c r="O1610" t="s">
        <v>1093</v>
      </c>
      <c r="P1610" t="str">
        <f>HYPERLINK("http://vk.com/club22935147")</f>
        <v>http://vk.com/club22935147</v>
      </c>
      <c r="Q1610">
        <v>8943</v>
      </c>
      <c r="R1610" t="s">
        <v>124</v>
      </c>
      <c r="S1610" t="s">
        <v>125</v>
      </c>
      <c r="T1610" t="s">
        <v>2225</v>
      </c>
      <c r="U1610" t="s">
        <v>2861</v>
      </c>
      <c r="W1610">
        <v>7</v>
      </c>
      <c r="X1610">
        <v>7</v>
      </c>
      <c r="AE1610">
        <v>11</v>
      </c>
      <c r="AF1610">
        <v>0</v>
      </c>
      <c r="AG1610">
        <v>1401</v>
      </c>
      <c r="AM1610" t="s">
        <v>129</v>
      </c>
      <c r="AN1610" t="s">
        <v>130</v>
      </c>
      <c r="AP1610" t="s">
        <v>41</v>
      </c>
      <c r="AW1610" t="s">
        <v>48</v>
      </c>
      <c r="AZ1610" t="s">
        <v>51</v>
      </c>
      <c r="BA1610" t="s">
        <v>52</v>
      </c>
      <c r="BL1610" t="s">
        <v>63</v>
      </c>
    </row>
    <row r="1611" spans="1:70" x14ac:dyDescent="0.2">
      <c r="A1611" t="s">
        <v>5920</v>
      </c>
      <c r="B1611" t="s">
        <v>2912</v>
      </c>
      <c r="C1611" t="s">
        <v>5946</v>
      </c>
      <c r="D1611" t="s">
        <v>4697</v>
      </c>
      <c r="E1611" t="s">
        <v>5947</v>
      </c>
      <c r="F1611" t="s">
        <v>118</v>
      </c>
      <c r="G1611" t="str">
        <f>HYPERLINK("https://vk.com/wall-186674927_12274?reply=12280")</f>
        <v>https://vk.com/wall-186674927_12274?reply=12280</v>
      </c>
      <c r="H1611" t="s">
        <v>119</v>
      </c>
      <c r="I1611" t="s">
        <v>5948</v>
      </c>
      <c r="J1611" t="str">
        <f>HYPERLINK("http://vk.com/id635378190")</f>
        <v>http://vk.com/id635378190</v>
      </c>
      <c r="K1611">
        <v>8</v>
      </c>
      <c r="L1611" t="s">
        <v>121</v>
      </c>
      <c r="M1611">
        <v>22</v>
      </c>
      <c r="N1611" t="s">
        <v>122</v>
      </c>
      <c r="O1611" t="s">
        <v>358</v>
      </c>
      <c r="P1611" t="str">
        <f>HYPERLINK("http://vk.com/club186674927")</f>
        <v>http://vk.com/club186674927</v>
      </c>
      <c r="Q1611">
        <v>706</v>
      </c>
      <c r="R1611" t="s">
        <v>124</v>
      </c>
      <c r="S1611" t="s">
        <v>125</v>
      </c>
      <c r="T1611" t="s">
        <v>5146</v>
      </c>
      <c r="U1611" t="s">
        <v>5726</v>
      </c>
      <c r="AM1611" t="s">
        <v>129</v>
      </c>
      <c r="AN1611" t="s">
        <v>130</v>
      </c>
      <c r="AP1611" t="s">
        <v>41</v>
      </c>
      <c r="AY1611" t="s">
        <v>50</v>
      </c>
      <c r="AZ1611" t="s">
        <v>51</v>
      </c>
      <c r="BA1611" t="s">
        <v>52</v>
      </c>
    </row>
    <row r="1612" spans="1:70" x14ac:dyDescent="0.2">
      <c r="A1612" t="s">
        <v>5920</v>
      </c>
      <c r="B1612" t="s">
        <v>196</v>
      </c>
      <c r="C1612" t="s">
        <v>5949</v>
      </c>
      <c r="D1612" t="s">
        <v>5950</v>
      </c>
      <c r="E1612" t="s">
        <v>5951</v>
      </c>
      <c r="F1612" t="s">
        <v>180</v>
      </c>
      <c r="G1612" t="str">
        <f>HYPERLINK("https://4pda.to/forum/index.php?showtopic=928862&amp;st=10240#entry108090989")</f>
        <v>https://4pda.to/forum/index.php?showtopic=928862&amp;st=10240#entry108090989</v>
      </c>
      <c r="H1612" t="s">
        <v>119</v>
      </c>
      <c r="I1612" t="s">
        <v>5952</v>
      </c>
      <c r="J1612" t="str">
        <f>HYPERLINK("https://4pda.to/forum/index.php?showuser=4158526")</f>
        <v>https://4pda.to/forum/index.php?showuser=4158526</v>
      </c>
      <c r="N1612" t="s">
        <v>293</v>
      </c>
      <c r="O1612" t="s">
        <v>5953</v>
      </c>
      <c r="P1612" t="str">
        <f>HYPERLINK("https://4pda.to/forum/index.php?showforum=219")</f>
        <v>https://4pda.to/forum/index.php?showforum=219</v>
      </c>
      <c r="R1612" t="s">
        <v>295</v>
      </c>
      <c r="S1612" t="s">
        <v>125</v>
      </c>
      <c r="AM1612" t="s">
        <v>129</v>
      </c>
      <c r="AN1612" t="s">
        <v>130</v>
      </c>
      <c r="AP1612" t="s">
        <v>41</v>
      </c>
      <c r="AU1612" t="s">
        <v>46</v>
      </c>
      <c r="AW1612" t="s">
        <v>48</v>
      </c>
      <c r="AY1612" t="s">
        <v>50</v>
      </c>
      <c r="AZ1612" t="s">
        <v>51</v>
      </c>
      <c r="BB1612" t="s">
        <v>53</v>
      </c>
    </row>
    <row r="1613" spans="1:70" x14ac:dyDescent="0.2">
      <c r="A1613" t="s">
        <v>5920</v>
      </c>
      <c r="B1613" t="s">
        <v>5954</v>
      </c>
      <c r="C1613" t="s">
        <v>5955</v>
      </c>
      <c r="D1613" t="s">
        <v>5922</v>
      </c>
      <c r="E1613" t="s">
        <v>5956</v>
      </c>
      <c r="F1613" t="s">
        <v>118</v>
      </c>
      <c r="G1613" t="str">
        <f>HYPERLINK("https://vk.com/wall-61101621_254705?reply=254719")</f>
        <v>https://vk.com/wall-61101621_254705?reply=254719</v>
      </c>
      <c r="H1613" t="s">
        <v>119</v>
      </c>
      <c r="I1613" t="s">
        <v>733</v>
      </c>
      <c r="J1613" t="str">
        <f>HYPERLINK("http://vk.com/id618635793")</f>
        <v>http://vk.com/id618635793</v>
      </c>
      <c r="K1613">
        <v>18</v>
      </c>
      <c r="L1613" t="s">
        <v>121</v>
      </c>
      <c r="M1613">
        <v>53</v>
      </c>
      <c r="N1613" t="s">
        <v>122</v>
      </c>
      <c r="O1613" t="s">
        <v>160</v>
      </c>
      <c r="P1613" t="str">
        <f>HYPERLINK("http://vk.com/club61101621")</f>
        <v>http://vk.com/club61101621</v>
      </c>
      <c r="Q1613">
        <v>21119</v>
      </c>
      <c r="R1613" t="s">
        <v>124</v>
      </c>
      <c r="S1613" t="s">
        <v>125</v>
      </c>
      <c r="T1613" t="s">
        <v>212</v>
      </c>
      <c r="U1613" t="s">
        <v>734</v>
      </c>
      <c r="AM1613" t="s">
        <v>129</v>
      </c>
      <c r="AN1613" t="s">
        <v>130</v>
      </c>
      <c r="AP1613" t="s">
        <v>41</v>
      </c>
      <c r="AW1613" t="s">
        <v>48</v>
      </c>
      <c r="AZ1613" t="s">
        <v>51</v>
      </c>
      <c r="BA1613" t="s">
        <v>52</v>
      </c>
    </row>
    <row r="1614" spans="1:70" x14ac:dyDescent="0.2">
      <c r="A1614" t="s">
        <v>5920</v>
      </c>
      <c r="B1614" t="s">
        <v>239</v>
      </c>
      <c r="C1614" t="s">
        <v>5957</v>
      </c>
      <c r="D1614" t="s">
        <v>3109</v>
      </c>
      <c r="E1614" t="s">
        <v>5958</v>
      </c>
      <c r="F1614" t="s">
        <v>180</v>
      </c>
      <c r="G1614" t="str">
        <f>HYPERLINK("https://market.yandex.ru/product/965124214/reviews?id=134862644")</f>
        <v>https://market.yandex.ru/product/965124214/reviews?id=134862644</v>
      </c>
      <c r="H1614" t="s">
        <v>181</v>
      </c>
      <c r="I1614" t="s">
        <v>5959</v>
      </c>
      <c r="J1614" t="str">
        <f>HYPERLINK("https://market.yandex.ru/user/ee2857n8wdn3v5ruucpbyd8mcg/reviews")</f>
        <v>https://market.yandex.ru/user/ee2857n8wdn3v5ruucpbyd8mcg/reviews</v>
      </c>
      <c r="L1614" t="s">
        <v>151</v>
      </c>
      <c r="N1614" t="s">
        <v>611</v>
      </c>
      <c r="O1614" t="s">
        <v>3109</v>
      </c>
      <c r="P1614" t="str">
        <f>HYPERLINK("https://market.yandex.ru/product/965124214")</f>
        <v>https://market.yandex.ru/product/965124214</v>
      </c>
      <c r="R1614" t="s">
        <v>184</v>
      </c>
      <c r="S1614" t="s">
        <v>125</v>
      </c>
      <c r="T1614" t="s">
        <v>137</v>
      </c>
      <c r="U1614" t="s">
        <v>137</v>
      </c>
      <c r="W1614">
        <v>0</v>
      </c>
      <c r="X1614">
        <v>0</v>
      </c>
      <c r="AH1614">
        <v>5</v>
      </c>
      <c r="AJ1614" t="s">
        <v>5960</v>
      </c>
      <c r="AK1614" t="s">
        <v>5961</v>
      </c>
      <c r="AL1614" t="str">
        <f>HYPERLINK("https://avatars.mds.yandex.net/get-market-ugc/1527381/2a0000017abfe1e6f955e0083b7e7c7bfac1/1920-1920")</f>
        <v>https://avatars.mds.yandex.net/get-market-ugc/1527381/2a0000017abfe1e6f955e0083b7e7c7bfac1/1920-1920</v>
      </c>
      <c r="AM1614" t="s">
        <v>129</v>
      </c>
      <c r="AN1614" t="s">
        <v>130</v>
      </c>
      <c r="AP1614" t="s">
        <v>41</v>
      </c>
      <c r="AW1614" t="s">
        <v>48</v>
      </c>
      <c r="AZ1614" t="s">
        <v>51</v>
      </c>
      <c r="BA1614" t="s">
        <v>52</v>
      </c>
      <c r="BL1614" t="s">
        <v>63</v>
      </c>
    </row>
    <row r="1615" spans="1:70" x14ac:dyDescent="0.2">
      <c r="A1615" t="s">
        <v>5920</v>
      </c>
      <c r="B1615" t="s">
        <v>1345</v>
      </c>
      <c r="C1615" t="s">
        <v>5962</v>
      </c>
      <c r="D1615" t="s">
        <v>5963</v>
      </c>
      <c r="E1615" t="s">
        <v>5964</v>
      </c>
      <c r="F1615" t="s">
        <v>180</v>
      </c>
      <c r="G1615" t="str">
        <f>HYPERLINK("https://www.ozon.ru/context/detail/id/226513883/#60571792")</f>
        <v>https://www.ozon.ru/context/detail/id/226513883/#60571792</v>
      </c>
      <c r="H1615" t="s">
        <v>181</v>
      </c>
      <c r="I1615" t="s">
        <v>5688</v>
      </c>
      <c r="J1615" t="str">
        <f>HYPERLINK("https://www.ozon.ru/context/client_opinion/ClientGuid/ddb2b375-79e8-423a-b15f-b7e501d0b2e7/")</f>
        <v>https://www.ozon.ru/context/client_opinion/ClientGuid/ddb2b375-79e8-423a-b15f-b7e501d0b2e7/</v>
      </c>
      <c r="L1615" t="s">
        <v>121</v>
      </c>
      <c r="N1615" t="s">
        <v>183</v>
      </c>
      <c r="O1615" t="s">
        <v>5963</v>
      </c>
      <c r="P1615" t="str">
        <f>HYPERLINK("https://www.ozon.ru/context/detail/id/226513883/")</f>
        <v>https://www.ozon.ru/context/detail/id/226513883/</v>
      </c>
      <c r="R1615" t="s">
        <v>184</v>
      </c>
      <c r="S1615" t="s">
        <v>125</v>
      </c>
      <c r="W1615">
        <v>0</v>
      </c>
      <c r="X1615">
        <v>0</v>
      </c>
      <c r="AH1615">
        <v>5</v>
      </c>
      <c r="AM1615" t="s">
        <v>129</v>
      </c>
      <c r="AN1615" t="s">
        <v>130</v>
      </c>
      <c r="AP1615" t="s">
        <v>41</v>
      </c>
      <c r="AT1615" t="s">
        <v>45</v>
      </c>
      <c r="AZ1615" t="s">
        <v>51</v>
      </c>
      <c r="BA1615" t="s">
        <v>52</v>
      </c>
    </row>
    <row r="1616" spans="1:70" x14ac:dyDescent="0.2">
      <c r="A1616" t="s">
        <v>5920</v>
      </c>
      <c r="B1616" t="s">
        <v>5965</v>
      </c>
      <c r="C1616" t="s">
        <v>5966</v>
      </c>
      <c r="D1616" t="s">
        <v>3482</v>
      </c>
      <c r="E1616" t="s">
        <v>5967</v>
      </c>
      <c r="F1616" t="s">
        <v>180</v>
      </c>
      <c r="G1616" t="str">
        <f>HYPERLINK("https://www.ozon.ru/context/detail/id/241174274/#60570118")</f>
        <v>https://www.ozon.ru/context/detail/id/241174274/#60570118</v>
      </c>
      <c r="H1616" t="s">
        <v>181</v>
      </c>
      <c r="I1616" t="s">
        <v>5968</v>
      </c>
      <c r="J1616" t="str">
        <f>HYPERLINK("https://www.ozon.ru/context/client_opinion/ClientGuid/1748db0f-5c13-4627-b13c-4512e2e5e8be/")</f>
        <v>https://www.ozon.ru/context/client_opinion/ClientGuid/1748db0f-5c13-4627-b13c-4512e2e5e8be/</v>
      </c>
      <c r="L1616" t="s">
        <v>151</v>
      </c>
      <c r="N1616" t="s">
        <v>183</v>
      </c>
      <c r="O1616" t="s">
        <v>3482</v>
      </c>
      <c r="P1616" t="str">
        <f>HYPERLINK("https://www.ozon.ru/context/detail/id/241174274/")</f>
        <v>https://www.ozon.ru/context/detail/id/241174274/</v>
      </c>
      <c r="R1616" t="s">
        <v>184</v>
      </c>
      <c r="S1616" t="s">
        <v>125</v>
      </c>
      <c r="W1616">
        <v>0</v>
      </c>
      <c r="X1616">
        <v>0</v>
      </c>
      <c r="AH1616">
        <v>5</v>
      </c>
      <c r="AM1616" t="s">
        <v>129</v>
      </c>
      <c r="AN1616" t="s">
        <v>130</v>
      </c>
      <c r="AP1616" t="s">
        <v>41</v>
      </c>
      <c r="AZ1616" t="s">
        <v>51</v>
      </c>
      <c r="BA1616" t="s">
        <v>52</v>
      </c>
      <c r="BK1616" t="s">
        <v>62</v>
      </c>
      <c r="BL1616" t="s">
        <v>63</v>
      </c>
    </row>
    <row r="1617" spans="1:70" x14ac:dyDescent="0.2">
      <c r="A1617" t="s">
        <v>5920</v>
      </c>
      <c r="B1617" t="s">
        <v>2947</v>
      </c>
      <c r="C1617" t="s">
        <v>5969</v>
      </c>
      <c r="D1617" t="s">
        <v>5970</v>
      </c>
      <c r="E1617" t="s">
        <v>5971</v>
      </c>
      <c r="F1617" t="s">
        <v>118</v>
      </c>
      <c r="G1617" t="str">
        <f>HYPERLINK("https://telegram.me/tv_from_finland/50625")</f>
        <v>https://telegram.me/tv_from_finland/50625</v>
      </c>
      <c r="H1617" t="s">
        <v>119</v>
      </c>
      <c r="I1617" t="s">
        <v>3393</v>
      </c>
      <c r="J1617" t="str">
        <f>HYPERLINK("https://telegram.me/445234488")</f>
        <v>https://telegram.me/445234488</v>
      </c>
      <c r="L1617" t="s">
        <v>121</v>
      </c>
      <c r="N1617" t="s">
        <v>143</v>
      </c>
      <c r="O1617" t="s">
        <v>5972</v>
      </c>
      <c r="P1617" t="str">
        <f>HYPERLINK("https://telegram.me/tv_from_finland")</f>
        <v>https://telegram.me/tv_from_finland</v>
      </c>
      <c r="Q1617">
        <v>2361</v>
      </c>
      <c r="R1617" t="s">
        <v>145</v>
      </c>
      <c r="AM1617" t="s">
        <v>129</v>
      </c>
      <c r="AN1617" t="s">
        <v>130</v>
      </c>
      <c r="AP1617" t="s">
        <v>41</v>
      </c>
      <c r="AZ1617" t="s">
        <v>51</v>
      </c>
      <c r="BA1617" t="s">
        <v>52</v>
      </c>
      <c r="BL1617" t="s">
        <v>63</v>
      </c>
    </row>
    <row r="1618" spans="1:70" x14ac:dyDescent="0.2">
      <c r="A1618" t="s">
        <v>5920</v>
      </c>
      <c r="B1618" t="s">
        <v>838</v>
      </c>
      <c r="C1618" t="s">
        <v>5973</v>
      </c>
      <c r="D1618" t="s">
        <v>204</v>
      </c>
      <c r="E1618" t="s">
        <v>5974</v>
      </c>
      <c r="F1618" t="s">
        <v>180</v>
      </c>
      <c r="G1618" t="str">
        <f>HYPERLINK("https://play.google.com/store/apps/details?id=ru.iflex.android.a3colortv&amp;reviewId=gp:AOqpTOHClcYeNerRA0LSkivhpy2NGdbl5xdFAv8MXFOdXZ4VMthBpifdDkZ5e66NP6wI-2X94ZlsCI17vhzIeg")</f>
        <v>https://play.google.com/store/apps/details?id=ru.iflex.android.a3colortv&amp;reviewId=gp:AOqpTOHClcYeNerRA0LSkivhpy2NGdbl5xdFAv8MXFOdXZ4VMthBpifdDkZ5e66NP6wI-2X94ZlsCI17vhzIeg</v>
      </c>
      <c r="H1618" t="s">
        <v>228</v>
      </c>
      <c r="I1618" t="s">
        <v>5975</v>
      </c>
      <c r="J1618" t="str">
        <f>HYPERLINK("https://plus.google.com/115006594067572108568")</f>
        <v>https://plus.google.com/115006594067572108568</v>
      </c>
      <c r="N1618" t="s">
        <v>207</v>
      </c>
      <c r="O1618" t="s">
        <v>204</v>
      </c>
      <c r="P1618" t="str">
        <f>HYPERLINK("https://play.google.com/store/apps/details?id=ru.iflex.android.a3colortv&amp;hl=ru")</f>
        <v>https://play.google.com/store/apps/details?id=ru.iflex.android.a3colortv&amp;hl=ru</v>
      </c>
      <c r="R1618" t="s">
        <v>184</v>
      </c>
      <c r="S1618" t="s">
        <v>125</v>
      </c>
      <c r="W1618">
        <v>0</v>
      </c>
      <c r="X1618">
        <v>0</v>
      </c>
      <c r="AH1618">
        <v>1</v>
      </c>
      <c r="AM1618" t="s">
        <v>129</v>
      </c>
      <c r="AN1618" t="s">
        <v>130</v>
      </c>
      <c r="AP1618" t="s">
        <v>41</v>
      </c>
      <c r="AZ1618" t="s">
        <v>51</v>
      </c>
      <c r="BA1618" t="s">
        <v>52</v>
      </c>
      <c r="BQ1618" t="s">
        <v>68</v>
      </c>
    </row>
    <row r="1619" spans="1:70" x14ac:dyDescent="0.2">
      <c r="A1619" t="s">
        <v>5920</v>
      </c>
      <c r="B1619" t="s">
        <v>5565</v>
      </c>
      <c r="C1619" t="s">
        <v>5976</v>
      </c>
      <c r="D1619" t="s">
        <v>129</v>
      </c>
      <c r="E1619" t="s">
        <v>5977</v>
      </c>
      <c r="F1619" t="s">
        <v>180</v>
      </c>
      <c r="G1619" t="str">
        <f>HYPERLINK("https://vk.com/wall-96165582_198419")</f>
        <v>https://vk.com/wall-96165582_198419</v>
      </c>
      <c r="H1619" t="s">
        <v>119</v>
      </c>
      <c r="I1619" t="s">
        <v>5978</v>
      </c>
      <c r="J1619" t="str">
        <f>HYPERLINK("http://vk.com/id173426073")</f>
        <v>http://vk.com/id173426073</v>
      </c>
      <c r="K1619">
        <v>372</v>
      </c>
      <c r="L1619" t="s">
        <v>151</v>
      </c>
      <c r="N1619" t="s">
        <v>122</v>
      </c>
      <c r="O1619" t="s">
        <v>5979</v>
      </c>
      <c r="P1619" t="str">
        <f>HYPERLINK("http://vk.com/club96165582")</f>
        <v>http://vk.com/club96165582</v>
      </c>
      <c r="Q1619">
        <v>10894</v>
      </c>
      <c r="R1619" t="s">
        <v>124</v>
      </c>
      <c r="S1619" t="s">
        <v>125</v>
      </c>
      <c r="T1619" t="s">
        <v>364</v>
      </c>
      <c r="U1619" t="s">
        <v>2610</v>
      </c>
      <c r="W1619">
        <v>0</v>
      </c>
      <c r="X1619">
        <v>0</v>
      </c>
      <c r="AE1619">
        <v>3</v>
      </c>
      <c r="AF1619">
        <v>0</v>
      </c>
      <c r="AG1619">
        <v>1145</v>
      </c>
      <c r="AM1619" t="s">
        <v>129</v>
      </c>
      <c r="AN1619" t="s">
        <v>130</v>
      </c>
      <c r="AP1619" t="s">
        <v>41</v>
      </c>
      <c r="AW1619" t="s">
        <v>48</v>
      </c>
      <c r="AZ1619" t="s">
        <v>51</v>
      </c>
      <c r="BA1619" t="s">
        <v>52</v>
      </c>
      <c r="BM1619" t="s">
        <v>64</v>
      </c>
    </row>
    <row r="1620" spans="1:70" x14ac:dyDescent="0.2">
      <c r="A1620" t="s">
        <v>5920</v>
      </c>
      <c r="B1620" t="s">
        <v>5095</v>
      </c>
      <c r="C1620" t="s">
        <v>3024</v>
      </c>
      <c r="D1620" t="s">
        <v>3021</v>
      </c>
      <c r="E1620" t="s">
        <v>3022</v>
      </c>
      <c r="F1620" t="s">
        <v>118</v>
      </c>
      <c r="G1620" t="str">
        <f>HYPERLINK("https://www.wildberries.ru/catalog/10284738/detail.aspx?targetUrl=ES#Comments")</f>
        <v>https://www.wildberries.ru/catalog/10284738/detail.aspx?targetUrl=ES#Comments</v>
      </c>
      <c r="H1620" t="s">
        <v>119</v>
      </c>
      <c r="I1620" t="s">
        <v>3023</v>
      </c>
      <c r="J1620" t="str">
        <f>HYPERLINK("https://www.wildberries.ru/brands/trikolor")</f>
        <v>https://www.wildberries.ru/brands/trikolor</v>
      </c>
      <c r="L1620" t="s">
        <v>340</v>
      </c>
      <c r="N1620" t="s">
        <v>534</v>
      </c>
      <c r="O1620" t="s">
        <v>3021</v>
      </c>
      <c r="P1620" t="str">
        <f>HYPERLINK("https://www.wildberries.ru/catalog/7813912/detail.aspx")</f>
        <v>https://www.wildberries.ru/catalog/7813912/detail.aspx</v>
      </c>
      <c r="R1620" t="s">
        <v>184</v>
      </c>
      <c r="S1620" t="s">
        <v>125</v>
      </c>
      <c r="AM1620" t="s">
        <v>129</v>
      </c>
      <c r="AN1620" t="s">
        <v>130</v>
      </c>
      <c r="BI1620" t="s">
        <v>60</v>
      </c>
    </row>
    <row r="1621" spans="1:70" x14ac:dyDescent="0.2">
      <c r="A1621" t="s">
        <v>5920</v>
      </c>
      <c r="B1621" t="s">
        <v>5095</v>
      </c>
      <c r="C1621" t="s">
        <v>5980</v>
      </c>
      <c r="D1621" t="s">
        <v>3021</v>
      </c>
      <c r="E1621" t="s">
        <v>5981</v>
      </c>
      <c r="F1621" t="s">
        <v>180</v>
      </c>
      <c r="G1621" t="str">
        <f>HYPERLINK("https://www.wildberries.ru/catalog/10284738/detail.aspx?targetUrl=ES#Comments")</f>
        <v>https://www.wildberries.ru/catalog/10284738/detail.aspx?targetUrl=ES#Comments</v>
      </c>
      <c r="H1621" t="s">
        <v>181</v>
      </c>
      <c r="I1621" t="s">
        <v>3452</v>
      </c>
      <c r="J1621" t="str">
        <f>HYPERLINK("https://www.wildberries.ru/profile/w7TDssOkw7PCu8KzwrnCsMKzwrHCs8KywrA=")</f>
        <v>https://www.wildberries.ru/profile/w7TDssOkw7PCu8KzwrnCsMKzwrHCs8KywrA=</v>
      </c>
      <c r="L1621" t="s">
        <v>121</v>
      </c>
      <c r="N1621" t="s">
        <v>534</v>
      </c>
      <c r="O1621" t="s">
        <v>3021</v>
      </c>
      <c r="P1621" t="str">
        <f>HYPERLINK("https://www.wildberries.ru/catalog/7813912/detail.aspx")</f>
        <v>https://www.wildberries.ru/catalog/7813912/detail.aspx</v>
      </c>
      <c r="R1621" t="s">
        <v>184</v>
      </c>
      <c r="S1621" t="s">
        <v>125</v>
      </c>
      <c r="W1621">
        <v>0</v>
      </c>
      <c r="X1621">
        <v>0</v>
      </c>
      <c r="AH1621">
        <v>5</v>
      </c>
      <c r="AM1621" t="s">
        <v>129</v>
      </c>
      <c r="AN1621" t="s">
        <v>130</v>
      </c>
      <c r="AP1621" t="s">
        <v>41</v>
      </c>
      <c r="AU1621" t="s">
        <v>46</v>
      </c>
      <c r="AZ1621" t="s">
        <v>51</v>
      </c>
      <c r="BA1621" t="s">
        <v>52</v>
      </c>
      <c r="BL1621" t="s">
        <v>63</v>
      </c>
    </row>
    <row r="1622" spans="1:70" x14ac:dyDescent="0.2">
      <c r="A1622" t="s">
        <v>5920</v>
      </c>
      <c r="B1622" t="s">
        <v>5982</v>
      </c>
      <c r="C1622" t="s">
        <v>5983</v>
      </c>
      <c r="D1622" t="s">
        <v>4697</v>
      </c>
      <c r="E1622" t="s">
        <v>5984</v>
      </c>
      <c r="F1622" t="s">
        <v>118</v>
      </c>
      <c r="G1622" t="str">
        <f>HYPERLINK("https://vk.com/wall-186674927_12274?reply=12278")</f>
        <v>https://vk.com/wall-186674927_12274?reply=12278</v>
      </c>
      <c r="H1622" t="s">
        <v>228</v>
      </c>
      <c r="I1622" t="s">
        <v>254</v>
      </c>
      <c r="J1622" t="str">
        <f>HYPERLINK("http://vk.com/id286061518")</f>
        <v>http://vk.com/id286061518</v>
      </c>
      <c r="K1622">
        <v>5170</v>
      </c>
      <c r="L1622" t="s">
        <v>121</v>
      </c>
      <c r="M1622">
        <v>34</v>
      </c>
      <c r="N1622" t="s">
        <v>122</v>
      </c>
      <c r="O1622" t="s">
        <v>358</v>
      </c>
      <c r="P1622" t="str">
        <f>HYPERLINK("http://vk.com/club186674927")</f>
        <v>http://vk.com/club186674927</v>
      </c>
      <c r="Q1622">
        <v>706</v>
      </c>
      <c r="R1622" t="s">
        <v>124</v>
      </c>
      <c r="S1622" t="s">
        <v>125</v>
      </c>
      <c r="T1622" t="s">
        <v>256</v>
      </c>
      <c r="U1622" t="s">
        <v>257</v>
      </c>
      <c r="AM1622" t="s">
        <v>129</v>
      </c>
      <c r="AN1622" t="s">
        <v>130</v>
      </c>
      <c r="AP1622" t="s">
        <v>41</v>
      </c>
      <c r="AU1622" t="s">
        <v>46</v>
      </c>
      <c r="AZ1622" t="s">
        <v>51</v>
      </c>
      <c r="BA1622" t="s">
        <v>52</v>
      </c>
    </row>
    <row r="1623" spans="1:70" x14ac:dyDescent="0.2">
      <c r="A1623" t="s">
        <v>5920</v>
      </c>
      <c r="B1623" t="s">
        <v>3394</v>
      </c>
      <c r="C1623" t="s">
        <v>5985</v>
      </c>
      <c r="D1623" t="s">
        <v>5986</v>
      </c>
      <c r="E1623" t="s">
        <v>5987</v>
      </c>
      <c r="F1623" t="s">
        <v>118</v>
      </c>
      <c r="G1623" t="str">
        <f>HYPERLINK("https://vk.com/wall-64845875_1040237?reply=1040239")</f>
        <v>https://vk.com/wall-64845875_1040237?reply=1040239</v>
      </c>
      <c r="H1623" t="s">
        <v>119</v>
      </c>
      <c r="I1623" t="s">
        <v>5988</v>
      </c>
      <c r="J1623" t="str">
        <f>HYPERLINK("http://vk.com/id155588135")</f>
        <v>http://vk.com/id155588135</v>
      </c>
      <c r="K1623">
        <v>81</v>
      </c>
      <c r="L1623" t="s">
        <v>151</v>
      </c>
      <c r="N1623" t="s">
        <v>122</v>
      </c>
      <c r="O1623" t="s">
        <v>5989</v>
      </c>
      <c r="P1623" t="str">
        <f>HYPERLINK("http://vk.com/club64845875")</f>
        <v>http://vk.com/club64845875</v>
      </c>
      <c r="Q1623">
        <v>31717</v>
      </c>
      <c r="R1623" t="s">
        <v>124</v>
      </c>
      <c r="S1623" t="s">
        <v>125</v>
      </c>
      <c r="T1623" t="s">
        <v>1229</v>
      </c>
      <c r="U1623" t="s">
        <v>5990</v>
      </c>
      <c r="AM1623" t="s">
        <v>129</v>
      </c>
      <c r="AN1623" t="s">
        <v>130</v>
      </c>
      <c r="AP1623" t="s">
        <v>41</v>
      </c>
      <c r="AW1623" t="s">
        <v>48</v>
      </c>
      <c r="AZ1623" t="s">
        <v>51</v>
      </c>
      <c r="BA1623" t="s">
        <v>52</v>
      </c>
    </row>
    <row r="1624" spans="1:70" x14ac:dyDescent="0.2">
      <c r="A1624" t="s">
        <v>5920</v>
      </c>
      <c r="B1624" t="s">
        <v>5991</v>
      </c>
      <c r="C1624" t="s">
        <v>5992</v>
      </c>
      <c r="D1624" t="s">
        <v>4373</v>
      </c>
      <c r="E1624" t="s">
        <v>5993</v>
      </c>
      <c r="F1624" t="s">
        <v>118</v>
      </c>
      <c r="G1624" t="str">
        <f>HYPERLINK("https://vk.com/wall-59270260_1299504?reply=1299581&amp;thread=1299579")</f>
        <v>https://vk.com/wall-59270260_1299504?reply=1299581&amp;thread=1299579</v>
      </c>
      <c r="H1624" t="s">
        <v>119</v>
      </c>
      <c r="I1624" t="s">
        <v>4375</v>
      </c>
      <c r="J1624" t="str">
        <f>HYPERLINK("http://vk.com/id649468247")</f>
        <v>http://vk.com/id649468247</v>
      </c>
      <c r="K1624">
        <v>0</v>
      </c>
      <c r="L1624" t="s">
        <v>121</v>
      </c>
      <c r="M1624">
        <v>33</v>
      </c>
      <c r="N1624" t="s">
        <v>122</v>
      </c>
      <c r="O1624" t="s">
        <v>4376</v>
      </c>
      <c r="P1624" t="str">
        <f>HYPERLINK("http://vk.com/club59270260")</f>
        <v>http://vk.com/club59270260</v>
      </c>
      <c r="Q1624">
        <v>200899</v>
      </c>
      <c r="R1624" t="s">
        <v>124</v>
      </c>
      <c r="S1624" t="s">
        <v>125</v>
      </c>
      <c r="T1624" t="s">
        <v>2388</v>
      </c>
      <c r="U1624" t="s">
        <v>4377</v>
      </c>
      <c r="AM1624" t="s">
        <v>129</v>
      </c>
      <c r="AN1624" t="s">
        <v>130</v>
      </c>
      <c r="AP1624" t="s">
        <v>41</v>
      </c>
      <c r="AU1624" t="s">
        <v>46</v>
      </c>
      <c r="AZ1624" t="s">
        <v>51</v>
      </c>
      <c r="BA1624" t="s">
        <v>52</v>
      </c>
    </row>
    <row r="1625" spans="1:70" x14ac:dyDescent="0.2">
      <c r="A1625" t="s">
        <v>5920</v>
      </c>
      <c r="B1625" t="s">
        <v>5130</v>
      </c>
      <c r="C1625" t="s">
        <v>5994</v>
      </c>
      <c r="D1625" t="s">
        <v>5995</v>
      </c>
      <c r="E1625" t="s">
        <v>5996</v>
      </c>
      <c r="F1625" t="s">
        <v>118</v>
      </c>
      <c r="G1625" t="str">
        <f>HYPERLINK("https://telegram.me/TECHNOZON_TELEGRAM/342152")</f>
        <v>https://telegram.me/TECHNOZON_TELEGRAM/342152</v>
      </c>
      <c r="H1625" t="s">
        <v>228</v>
      </c>
      <c r="I1625" t="s">
        <v>5190</v>
      </c>
      <c r="J1625" t="str">
        <f>HYPERLINK("https://telegram.me/nozh72")</f>
        <v>https://telegram.me/nozh72</v>
      </c>
      <c r="N1625" t="s">
        <v>143</v>
      </c>
      <c r="O1625" t="s">
        <v>5185</v>
      </c>
      <c r="P1625" t="str">
        <f>HYPERLINK("https://telegram.me/technozon_telegram")</f>
        <v>https://telegram.me/technozon_telegram</v>
      </c>
      <c r="Q1625">
        <v>8577</v>
      </c>
      <c r="R1625" t="s">
        <v>145</v>
      </c>
      <c r="AM1625" t="s">
        <v>129</v>
      </c>
      <c r="AN1625" t="s">
        <v>130</v>
      </c>
      <c r="AP1625" t="s">
        <v>41</v>
      </c>
      <c r="AU1625" t="s">
        <v>46</v>
      </c>
      <c r="AZ1625" t="s">
        <v>51</v>
      </c>
      <c r="BA1625" t="s">
        <v>52</v>
      </c>
      <c r="BL1625" t="s">
        <v>63</v>
      </c>
      <c r="BR1625" t="s">
        <v>69</v>
      </c>
    </row>
    <row r="1626" spans="1:70" x14ac:dyDescent="0.2">
      <c r="A1626" t="s">
        <v>5920</v>
      </c>
      <c r="B1626" t="s">
        <v>2474</v>
      </c>
      <c r="C1626" t="s">
        <v>5997</v>
      </c>
      <c r="D1626" t="s">
        <v>3941</v>
      </c>
      <c r="E1626" t="s">
        <v>5998</v>
      </c>
      <c r="F1626" t="s">
        <v>118</v>
      </c>
      <c r="G1626" t="str">
        <f>HYPERLINK("https://vk.com/wall-27863223_291839?reply=291957&amp;thread=291861")</f>
        <v>https://vk.com/wall-27863223_291839?reply=291957&amp;thread=291861</v>
      </c>
      <c r="H1626" t="s">
        <v>228</v>
      </c>
      <c r="I1626" t="s">
        <v>5999</v>
      </c>
      <c r="J1626" t="str">
        <f>HYPERLINK("http://vk.com/id482384182")</f>
        <v>http://vk.com/id482384182</v>
      </c>
      <c r="K1626">
        <v>12</v>
      </c>
      <c r="L1626" t="s">
        <v>121</v>
      </c>
      <c r="M1626">
        <v>45</v>
      </c>
      <c r="N1626" t="s">
        <v>122</v>
      </c>
      <c r="O1626" t="s">
        <v>175</v>
      </c>
      <c r="P1626" t="str">
        <f>HYPERLINK("http://vk.com/club27863223")</f>
        <v>http://vk.com/club27863223</v>
      </c>
      <c r="Q1626">
        <v>134698</v>
      </c>
      <c r="R1626" t="s">
        <v>124</v>
      </c>
      <c r="S1626" t="s">
        <v>125</v>
      </c>
      <c r="T1626" t="s">
        <v>494</v>
      </c>
      <c r="U1626" t="s">
        <v>6000</v>
      </c>
      <c r="AM1626" t="s">
        <v>129</v>
      </c>
      <c r="AN1626" t="s">
        <v>130</v>
      </c>
      <c r="AP1626" t="s">
        <v>41</v>
      </c>
      <c r="AU1626" t="s">
        <v>46</v>
      </c>
      <c r="AY1626" t="s">
        <v>50</v>
      </c>
      <c r="AZ1626" t="s">
        <v>51</v>
      </c>
      <c r="BA1626" t="s">
        <v>52</v>
      </c>
    </row>
    <row r="1627" spans="1:70" x14ac:dyDescent="0.2">
      <c r="A1627" t="s">
        <v>5920</v>
      </c>
      <c r="B1627" t="s">
        <v>4716</v>
      </c>
      <c r="C1627" t="s">
        <v>6001</v>
      </c>
      <c r="D1627" t="s">
        <v>3941</v>
      </c>
      <c r="E1627" t="s">
        <v>6002</v>
      </c>
      <c r="F1627" t="s">
        <v>118</v>
      </c>
      <c r="G1627" t="str">
        <f>HYPERLINK("https://vk.com/wall-27863223_291839?reply=291952&amp;thread=291861")</f>
        <v>https://vk.com/wall-27863223_291839?reply=291952&amp;thread=291861</v>
      </c>
      <c r="H1627" t="s">
        <v>228</v>
      </c>
      <c r="I1627" t="s">
        <v>5999</v>
      </c>
      <c r="J1627" t="str">
        <f>HYPERLINK("http://vk.com/id482384182")</f>
        <v>http://vk.com/id482384182</v>
      </c>
      <c r="K1627">
        <v>12</v>
      </c>
      <c r="L1627" t="s">
        <v>121</v>
      </c>
      <c r="M1627">
        <v>45</v>
      </c>
      <c r="N1627" t="s">
        <v>122</v>
      </c>
      <c r="O1627" t="s">
        <v>175</v>
      </c>
      <c r="P1627" t="str">
        <f>HYPERLINK("http://vk.com/club27863223")</f>
        <v>http://vk.com/club27863223</v>
      </c>
      <c r="Q1627">
        <v>134698</v>
      </c>
      <c r="R1627" t="s">
        <v>124</v>
      </c>
      <c r="S1627" t="s">
        <v>125</v>
      </c>
      <c r="T1627" t="s">
        <v>494</v>
      </c>
      <c r="U1627" t="s">
        <v>6000</v>
      </c>
      <c r="AM1627" t="s">
        <v>129</v>
      </c>
      <c r="AN1627" t="s">
        <v>130</v>
      </c>
      <c r="AP1627" t="s">
        <v>41</v>
      </c>
      <c r="AU1627" t="s">
        <v>46</v>
      </c>
      <c r="AY1627" t="s">
        <v>50</v>
      </c>
      <c r="AZ1627" t="s">
        <v>51</v>
      </c>
      <c r="BA1627" t="s">
        <v>52</v>
      </c>
    </row>
    <row r="1628" spans="1:70" x14ac:dyDescent="0.2">
      <c r="A1628" t="s">
        <v>5920</v>
      </c>
      <c r="B1628" t="s">
        <v>5148</v>
      </c>
      <c r="C1628" t="s">
        <v>5994</v>
      </c>
      <c r="D1628" t="s">
        <v>6003</v>
      </c>
      <c r="E1628" t="s">
        <v>6004</v>
      </c>
      <c r="F1628" t="s">
        <v>118</v>
      </c>
      <c r="G1628" t="str">
        <f>HYPERLINK("https://telegram.me/TECHNOZON_TELEGRAM/342138")</f>
        <v>https://telegram.me/TECHNOZON_TELEGRAM/342138</v>
      </c>
      <c r="H1628" t="s">
        <v>228</v>
      </c>
      <c r="I1628" t="s">
        <v>6005</v>
      </c>
      <c r="J1628" t="str">
        <f>HYPERLINK("https://telegram.me/maxxxik68")</f>
        <v>https://telegram.me/maxxxik68</v>
      </c>
      <c r="L1628" t="s">
        <v>121</v>
      </c>
      <c r="N1628" t="s">
        <v>143</v>
      </c>
      <c r="O1628" t="s">
        <v>5185</v>
      </c>
      <c r="P1628" t="str">
        <f>HYPERLINK("https://telegram.me/technozon_telegram")</f>
        <v>https://telegram.me/technozon_telegram</v>
      </c>
      <c r="Q1628">
        <v>8577</v>
      </c>
      <c r="R1628" t="s">
        <v>145</v>
      </c>
      <c r="AM1628" t="s">
        <v>129</v>
      </c>
      <c r="AN1628" t="s">
        <v>130</v>
      </c>
      <c r="AP1628" t="s">
        <v>41</v>
      </c>
      <c r="AY1628" t="s">
        <v>50</v>
      </c>
      <c r="AZ1628" t="s">
        <v>51</v>
      </c>
      <c r="BA1628" t="s">
        <v>52</v>
      </c>
    </row>
    <row r="1629" spans="1:70" x14ac:dyDescent="0.2">
      <c r="A1629" t="s">
        <v>5920</v>
      </c>
      <c r="B1629" t="s">
        <v>2494</v>
      </c>
      <c r="C1629" t="s">
        <v>5994</v>
      </c>
      <c r="D1629" t="s">
        <v>5995</v>
      </c>
      <c r="E1629" t="s">
        <v>6003</v>
      </c>
      <c r="F1629" t="s">
        <v>118</v>
      </c>
      <c r="G1629" t="str">
        <f>HYPERLINK("https://telegram.me/TECHNOZON_TELEGRAM/342137")</f>
        <v>https://telegram.me/TECHNOZON_TELEGRAM/342137</v>
      </c>
      <c r="H1629" t="s">
        <v>119</v>
      </c>
      <c r="I1629" t="s">
        <v>6006</v>
      </c>
      <c r="J1629" t="str">
        <f>HYPERLINK("https://telegram.me/american888")</f>
        <v>https://telegram.me/american888</v>
      </c>
      <c r="L1629" t="s">
        <v>121</v>
      </c>
      <c r="N1629" t="s">
        <v>143</v>
      </c>
      <c r="O1629" t="s">
        <v>5185</v>
      </c>
      <c r="P1629" t="str">
        <f>HYPERLINK("https://telegram.me/technozon_telegram")</f>
        <v>https://telegram.me/technozon_telegram</v>
      </c>
      <c r="Q1629">
        <v>8577</v>
      </c>
      <c r="R1629" t="s">
        <v>145</v>
      </c>
      <c r="AM1629" t="s">
        <v>129</v>
      </c>
      <c r="AN1629" t="s">
        <v>130</v>
      </c>
      <c r="AP1629" t="s">
        <v>41</v>
      </c>
      <c r="AZ1629" t="s">
        <v>51</v>
      </c>
      <c r="BA1629" t="s">
        <v>52</v>
      </c>
      <c r="BM1629" t="s">
        <v>64</v>
      </c>
    </row>
    <row r="1630" spans="1:70" x14ac:dyDescent="0.2">
      <c r="A1630" t="s">
        <v>5920</v>
      </c>
      <c r="B1630" t="s">
        <v>2494</v>
      </c>
      <c r="C1630" t="s">
        <v>5994</v>
      </c>
      <c r="D1630" t="s">
        <v>6007</v>
      </c>
      <c r="E1630" t="s">
        <v>6008</v>
      </c>
      <c r="F1630" t="s">
        <v>118</v>
      </c>
      <c r="G1630" t="str">
        <f>HYPERLINK("https://telegram.me/TECHNOZON_TELEGRAM/342136")</f>
        <v>https://telegram.me/TECHNOZON_TELEGRAM/342136</v>
      </c>
      <c r="H1630" t="s">
        <v>228</v>
      </c>
      <c r="I1630" t="s">
        <v>6009</v>
      </c>
      <c r="J1630" t="str">
        <f>HYPERLINK("https://telegram.me/807234110")</f>
        <v>https://telegram.me/807234110</v>
      </c>
      <c r="L1630" t="s">
        <v>121</v>
      </c>
      <c r="N1630" t="s">
        <v>143</v>
      </c>
      <c r="O1630" t="s">
        <v>5185</v>
      </c>
      <c r="P1630" t="str">
        <f>HYPERLINK("https://telegram.me/technozon_telegram")</f>
        <v>https://telegram.me/technozon_telegram</v>
      </c>
      <c r="Q1630">
        <v>8577</v>
      </c>
      <c r="R1630" t="s">
        <v>145</v>
      </c>
      <c r="AM1630" t="s">
        <v>129</v>
      </c>
      <c r="AN1630" t="s">
        <v>130</v>
      </c>
      <c r="AP1630" t="s">
        <v>41</v>
      </c>
      <c r="AU1630" t="s">
        <v>46</v>
      </c>
      <c r="AY1630" t="s">
        <v>50</v>
      </c>
      <c r="AZ1630" t="s">
        <v>51</v>
      </c>
      <c r="BA1630" t="s">
        <v>52</v>
      </c>
    </row>
    <row r="1631" spans="1:70" x14ac:dyDescent="0.2">
      <c r="A1631" t="s">
        <v>5920</v>
      </c>
      <c r="B1631" t="s">
        <v>374</v>
      </c>
      <c r="C1631" t="s">
        <v>5994</v>
      </c>
      <c r="D1631" t="s">
        <v>6007</v>
      </c>
      <c r="E1631" t="s">
        <v>6010</v>
      </c>
      <c r="F1631" t="s">
        <v>118</v>
      </c>
      <c r="G1631" t="str">
        <f>HYPERLINK("https://telegram.me/TECHNOZON_TELEGRAM/342134")</f>
        <v>https://telegram.me/TECHNOZON_TELEGRAM/342134</v>
      </c>
      <c r="H1631" t="s">
        <v>228</v>
      </c>
      <c r="I1631" t="s">
        <v>6005</v>
      </c>
      <c r="J1631" t="str">
        <f>HYPERLINK("https://telegram.me/maxxxik68")</f>
        <v>https://telegram.me/maxxxik68</v>
      </c>
      <c r="L1631" t="s">
        <v>121</v>
      </c>
      <c r="N1631" t="s">
        <v>143</v>
      </c>
      <c r="O1631" t="s">
        <v>5185</v>
      </c>
      <c r="P1631" t="str">
        <f>HYPERLINK("https://telegram.me/technozon_telegram")</f>
        <v>https://telegram.me/technozon_telegram</v>
      </c>
      <c r="Q1631">
        <v>8577</v>
      </c>
      <c r="R1631" t="s">
        <v>145</v>
      </c>
      <c r="AM1631" t="s">
        <v>129</v>
      </c>
      <c r="AN1631" t="s">
        <v>130</v>
      </c>
      <c r="AP1631" t="s">
        <v>41</v>
      </c>
      <c r="AU1631" t="s">
        <v>46</v>
      </c>
      <c r="AY1631" t="s">
        <v>50</v>
      </c>
      <c r="AZ1631" t="s">
        <v>51</v>
      </c>
      <c r="BA1631" t="s">
        <v>52</v>
      </c>
    </row>
    <row r="1632" spans="1:70" x14ac:dyDescent="0.2">
      <c r="A1632" t="s">
        <v>5920</v>
      </c>
      <c r="B1632" t="s">
        <v>1479</v>
      </c>
      <c r="C1632" t="s">
        <v>6011</v>
      </c>
      <c r="D1632" t="s">
        <v>6012</v>
      </c>
      <c r="E1632" t="s">
        <v>6013</v>
      </c>
      <c r="F1632" t="s">
        <v>180</v>
      </c>
      <c r="G1632" t="str">
        <f>HYPERLINK("https://market.yandex.ru/product/676209206/reviews?id=134850881")</f>
        <v>https://market.yandex.ru/product/676209206/reviews?id=134850881</v>
      </c>
      <c r="H1632" t="s">
        <v>119</v>
      </c>
      <c r="I1632" t="s">
        <v>6014</v>
      </c>
      <c r="J1632" t="str">
        <f>HYPERLINK("https://market.yandex.ru/user/4cuv71ty25bgy6hnk1kxq2dyq4/reviews")</f>
        <v>https://market.yandex.ru/user/4cuv71ty25bgy6hnk1kxq2dyq4/reviews</v>
      </c>
      <c r="L1632" t="s">
        <v>121</v>
      </c>
      <c r="N1632" t="s">
        <v>611</v>
      </c>
      <c r="O1632" t="s">
        <v>6012</v>
      </c>
      <c r="P1632" t="str">
        <f>HYPERLINK("https://market.yandex.ru/product/676209206")</f>
        <v>https://market.yandex.ru/product/676209206</v>
      </c>
      <c r="R1632" t="s">
        <v>184</v>
      </c>
      <c r="S1632" t="s">
        <v>125</v>
      </c>
      <c r="T1632" t="s">
        <v>137</v>
      </c>
      <c r="U1632" t="s">
        <v>137</v>
      </c>
      <c r="W1632">
        <v>0</v>
      </c>
      <c r="X1632">
        <v>0</v>
      </c>
      <c r="AH1632">
        <v>1</v>
      </c>
      <c r="AM1632" t="s">
        <v>129</v>
      </c>
      <c r="AN1632" t="s">
        <v>130</v>
      </c>
      <c r="AP1632" t="s">
        <v>41</v>
      </c>
      <c r="AT1632" t="s">
        <v>45</v>
      </c>
      <c r="AZ1632" t="s">
        <v>51</v>
      </c>
      <c r="BA1632" t="s">
        <v>52</v>
      </c>
    </row>
    <row r="1633" spans="1:100" x14ac:dyDescent="0.2">
      <c r="A1633" t="s">
        <v>5920</v>
      </c>
      <c r="B1633" t="s">
        <v>3778</v>
      </c>
      <c r="C1633" t="s">
        <v>6015</v>
      </c>
      <c r="D1633" t="s">
        <v>6016</v>
      </c>
      <c r="E1633" t="s">
        <v>6017</v>
      </c>
      <c r="F1633" t="s">
        <v>180</v>
      </c>
      <c r="G1633" t="str">
        <f>HYPERLINK("https://telesputnik.ru/materials/companies/news/serialy-videoservisa-premier-stali-dostupny-klientam-trikolora/")</f>
        <v>https://telesputnik.ru/materials/companies/news/serialy-videoservisa-premier-stali-dostupny-klientam-trikolora/</v>
      </c>
      <c r="H1633" t="s">
        <v>119</v>
      </c>
      <c r="N1633" t="s">
        <v>335</v>
      </c>
      <c r="R1633" t="s">
        <v>785</v>
      </c>
      <c r="S1633" t="s">
        <v>125</v>
      </c>
      <c r="AM1633" t="s">
        <v>129</v>
      </c>
      <c r="AN1633" t="s">
        <v>130</v>
      </c>
      <c r="AV1633" t="s">
        <v>47</v>
      </c>
    </row>
    <row r="1634" spans="1:100" x14ac:dyDescent="0.2">
      <c r="A1634" t="s">
        <v>5920</v>
      </c>
      <c r="B1634" t="s">
        <v>3778</v>
      </c>
      <c r="C1634" t="s">
        <v>6018</v>
      </c>
      <c r="D1634" t="s">
        <v>6016</v>
      </c>
      <c r="E1634" t="s">
        <v>6019</v>
      </c>
      <c r="F1634" t="s">
        <v>180</v>
      </c>
      <c r="G1634" t="str">
        <f>HYPERLINK("https://www.telesputnik.ru/materials/companies/news/serialy-videoservisa-premier-stali-dostupny-klientam-trikolora/")</f>
        <v>https://www.telesputnik.ru/materials/companies/news/serialy-videoservisa-premier-stali-dostupny-klientam-trikolora/</v>
      </c>
      <c r="H1634" t="s">
        <v>119</v>
      </c>
      <c r="N1634" t="s">
        <v>335</v>
      </c>
      <c r="R1634" t="s">
        <v>785</v>
      </c>
      <c r="S1634" t="s">
        <v>125</v>
      </c>
      <c r="T1634" t="s">
        <v>487</v>
      </c>
      <c r="U1634" t="s">
        <v>1456</v>
      </c>
      <c r="AJ1634" t="s">
        <v>6020</v>
      </c>
      <c r="AK1634" t="s">
        <v>4658</v>
      </c>
      <c r="AL1634" t="str">
        <f>HYPERLINK("http://www.telesputnik.ru/upload/iblock/dd0/serialy_videoservisa_premier_stali_dostupny_klientam_trikolora.jpg")</f>
        <v>http://www.telesputnik.ru/upload/iblock/dd0/serialy_videoservisa_premier_stali_dostupny_klientam_trikolora.jpg</v>
      </c>
      <c r="AM1634" t="s">
        <v>129</v>
      </c>
      <c r="AN1634" t="s">
        <v>130</v>
      </c>
      <c r="AV1634" t="s">
        <v>47</v>
      </c>
    </row>
    <row r="1635" spans="1:100" x14ac:dyDescent="0.2">
      <c r="A1635" t="s">
        <v>5920</v>
      </c>
      <c r="B1635" t="s">
        <v>6021</v>
      </c>
      <c r="C1635" t="s">
        <v>6022</v>
      </c>
      <c r="D1635" t="s">
        <v>6023</v>
      </c>
      <c r="E1635" t="s">
        <v>6024</v>
      </c>
      <c r="F1635" t="s">
        <v>118</v>
      </c>
      <c r="G1635" t="str">
        <f>HYPERLINK("https://vk.com/wall-7875432_1391009?reply=1391076&amp;thread=1391036")</f>
        <v>https://vk.com/wall-7875432_1391009?reply=1391076&amp;thread=1391036</v>
      </c>
      <c r="H1635" t="s">
        <v>119</v>
      </c>
      <c r="I1635" t="s">
        <v>6025</v>
      </c>
      <c r="J1635" t="str">
        <f>HYPERLINK("http://vk.com/id556187990")</f>
        <v>http://vk.com/id556187990</v>
      </c>
      <c r="K1635">
        <v>162</v>
      </c>
      <c r="L1635" t="s">
        <v>121</v>
      </c>
      <c r="N1635" t="s">
        <v>122</v>
      </c>
      <c r="O1635" t="s">
        <v>6026</v>
      </c>
      <c r="P1635" t="str">
        <f>HYPERLINK("http://vk.com/club7875432")</f>
        <v>http://vk.com/club7875432</v>
      </c>
      <c r="Q1635">
        <v>192030</v>
      </c>
      <c r="R1635" t="s">
        <v>124</v>
      </c>
      <c r="S1635" t="s">
        <v>125</v>
      </c>
      <c r="T1635" t="s">
        <v>989</v>
      </c>
      <c r="U1635" t="s">
        <v>6027</v>
      </c>
      <c r="AM1635" t="s">
        <v>129</v>
      </c>
      <c r="AN1635" t="s">
        <v>130</v>
      </c>
      <c r="AP1635" t="s">
        <v>41</v>
      </c>
      <c r="AZ1635" t="s">
        <v>51</v>
      </c>
      <c r="BA1635" t="s">
        <v>52</v>
      </c>
      <c r="BM1635" t="s">
        <v>64</v>
      </c>
    </row>
    <row r="1636" spans="1:100" x14ac:dyDescent="0.2">
      <c r="A1636" t="s">
        <v>5920</v>
      </c>
      <c r="B1636" t="s">
        <v>6028</v>
      </c>
      <c r="C1636" t="s">
        <v>6029</v>
      </c>
      <c r="D1636" t="s">
        <v>6030</v>
      </c>
      <c r="E1636" t="s">
        <v>6031</v>
      </c>
      <c r="F1636" t="s">
        <v>118</v>
      </c>
      <c r="G1636" t="str">
        <f>HYPERLINK("https://www.facebook.com/groups/BAPHA/permalink/1941912839290070/?comment_id=1942859902528697&amp;reply_comment_id=1942886159192738")</f>
        <v>https://www.facebook.com/groups/BAPHA/permalink/1941912839290070/?comment_id=1942859902528697&amp;reply_comment_id=1942886159192738</v>
      </c>
      <c r="H1636" t="s">
        <v>119</v>
      </c>
      <c r="I1636" t="s">
        <v>6032</v>
      </c>
      <c r="J1636" t="str">
        <f>HYPERLINK("https://www.facebook.com/100025413665766")</f>
        <v>https://www.facebook.com/100025413665766</v>
      </c>
      <c r="K1636">
        <v>75</v>
      </c>
      <c r="L1636" t="s">
        <v>151</v>
      </c>
      <c r="N1636" t="s">
        <v>305</v>
      </c>
      <c r="O1636" t="s">
        <v>6033</v>
      </c>
      <c r="P1636" t="str">
        <f>HYPERLINK("https://www.facebook.com/300397690108268")</f>
        <v>https://www.facebook.com/300397690108268</v>
      </c>
      <c r="Q1636">
        <v>4171</v>
      </c>
      <c r="R1636" t="s">
        <v>124</v>
      </c>
      <c r="S1636" t="s">
        <v>125</v>
      </c>
      <c r="T1636" t="s">
        <v>169</v>
      </c>
      <c r="U1636" t="s">
        <v>169</v>
      </c>
      <c r="W1636">
        <v>0</v>
      </c>
      <c r="X1636">
        <v>0</v>
      </c>
      <c r="AE1636">
        <v>0</v>
      </c>
      <c r="AM1636" t="s">
        <v>129</v>
      </c>
      <c r="AN1636" t="s">
        <v>130</v>
      </c>
      <c r="AP1636" t="s">
        <v>41</v>
      </c>
      <c r="AY1636" t="s">
        <v>50</v>
      </c>
      <c r="AZ1636" t="s">
        <v>51</v>
      </c>
      <c r="BA1636" t="s">
        <v>52</v>
      </c>
      <c r="BL1636" t="s">
        <v>63</v>
      </c>
    </row>
    <row r="1637" spans="1:100" x14ac:dyDescent="0.2">
      <c r="A1637" t="s">
        <v>5920</v>
      </c>
      <c r="B1637" t="s">
        <v>6034</v>
      </c>
      <c r="C1637" t="s">
        <v>6035</v>
      </c>
      <c r="D1637" t="s">
        <v>2001</v>
      </c>
      <c r="E1637" t="s">
        <v>6036</v>
      </c>
      <c r="F1637" t="s">
        <v>118</v>
      </c>
      <c r="G1637" t="str">
        <f>HYPERLINK("https://vk.com/wall-27863223_291925?reply=291950")</f>
        <v>https://vk.com/wall-27863223_291925?reply=291950</v>
      </c>
      <c r="H1637" t="s">
        <v>119</v>
      </c>
      <c r="I1637" t="s">
        <v>5110</v>
      </c>
      <c r="J1637" t="str">
        <f>HYPERLINK("http://vk.com/id521162897")</f>
        <v>http://vk.com/id521162897</v>
      </c>
      <c r="L1637" t="s">
        <v>121</v>
      </c>
      <c r="N1637" t="s">
        <v>122</v>
      </c>
      <c r="O1637" t="s">
        <v>175</v>
      </c>
      <c r="P1637" t="str">
        <f>HYPERLINK("http://vk.com/club27863223")</f>
        <v>http://vk.com/club27863223</v>
      </c>
      <c r="Q1637">
        <v>134698</v>
      </c>
      <c r="R1637" t="s">
        <v>124</v>
      </c>
      <c r="AM1637" t="s">
        <v>129</v>
      </c>
      <c r="AN1637" t="s">
        <v>130</v>
      </c>
      <c r="AP1637" t="s">
        <v>41</v>
      </c>
      <c r="AU1637" t="s">
        <v>46</v>
      </c>
      <c r="AY1637" t="s">
        <v>50</v>
      </c>
      <c r="AZ1637" t="s">
        <v>51</v>
      </c>
      <c r="BA1637" t="s">
        <v>52</v>
      </c>
    </row>
    <row r="1638" spans="1:100" x14ac:dyDescent="0.2">
      <c r="A1638" t="s">
        <v>5920</v>
      </c>
      <c r="B1638" t="s">
        <v>4735</v>
      </c>
      <c r="C1638" t="s">
        <v>5419</v>
      </c>
      <c r="D1638" t="s">
        <v>6037</v>
      </c>
      <c r="E1638" t="s">
        <v>6038</v>
      </c>
      <c r="F1638" t="s">
        <v>180</v>
      </c>
      <c r="G1638" t="str">
        <f>HYPERLINK("https://www.ozon.ru/context/detail/id/230093287/#60519662")</f>
        <v>https://www.ozon.ru/context/detail/id/230093287/#60519662</v>
      </c>
      <c r="H1638" t="s">
        <v>181</v>
      </c>
      <c r="I1638" t="s">
        <v>4433</v>
      </c>
      <c r="J1638" t="str">
        <f>HYPERLINK("https://www.ozon.ru/context/client_opinion/ClientGuid/eb55bff9-3db8-4256-bb4d-86a18a731f92/")</f>
        <v>https://www.ozon.ru/context/client_opinion/ClientGuid/eb55bff9-3db8-4256-bb4d-86a18a731f92/</v>
      </c>
      <c r="L1638" t="s">
        <v>121</v>
      </c>
      <c r="N1638" t="s">
        <v>183</v>
      </c>
      <c r="O1638" t="s">
        <v>6037</v>
      </c>
      <c r="P1638" t="str">
        <f>HYPERLINK("https://www.ozon.ru/context/detail/id/230093287/")</f>
        <v>https://www.ozon.ru/context/detail/id/230093287/</v>
      </c>
      <c r="R1638" t="s">
        <v>184</v>
      </c>
      <c r="S1638" t="s">
        <v>125</v>
      </c>
      <c r="W1638">
        <v>0</v>
      </c>
      <c r="X1638">
        <v>0</v>
      </c>
      <c r="AH1638">
        <v>5</v>
      </c>
      <c r="AM1638" t="s">
        <v>129</v>
      </c>
      <c r="AN1638" t="s">
        <v>130</v>
      </c>
      <c r="AP1638" t="s">
        <v>41</v>
      </c>
      <c r="AT1638" t="s">
        <v>45</v>
      </c>
      <c r="AU1638" t="s">
        <v>46</v>
      </c>
      <c r="AY1638" t="s">
        <v>50</v>
      </c>
      <c r="AZ1638" t="s">
        <v>51</v>
      </c>
      <c r="BA1638" t="s">
        <v>52</v>
      </c>
      <c r="BO1638" t="s">
        <v>66</v>
      </c>
    </row>
    <row r="1639" spans="1:100" x14ac:dyDescent="0.2">
      <c r="A1639" t="s">
        <v>5920</v>
      </c>
      <c r="B1639" t="s">
        <v>405</v>
      </c>
      <c r="C1639" t="s">
        <v>6039</v>
      </c>
      <c r="D1639" t="s">
        <v>6016</v>
      </c>
      <c r="E1639" t="s">
        <v>6040</v>
      </c>
      <c r="F1639" t="s">
        <v>180</v>
      </c>
      <c r="G1639" t="str">
        <f>HYPERLINK("https://releases.ict-online.ru/news/n198249/")</f>
        <v>https://releases.ict-online.ru/news/n198249/</v>
      </c>
      <c r="H1639" t="s">
        <v>119</v>
      </c>
      <c r="N1639" t="s">
        <v>1051</v>
      </c>
      <c r="R1639" t="s">
        <v>785</v>
      </c>
      <c r="S1639" t="s">
        <v>125</v>
      </c>
      <c r="AL1639" t="str">
        <f>HYPERLINK("https://releases.ict-online.ru/files/lid_image198249.jpg")</f>
        <v>https://releases.ict-online.ru/files/lid_image198249.jpg</v>
      </c>
      <c r="AM1639" t="s">
        <v>129</v>
      </c>
      <c r="AN1639" t="s">
        <v>130</v>
      </c>
      <c r="AV1639" t="s">
        <v>47</v>
      </c>
    </row>
    <row r="1640" spans="1:100" x14ac:dyDescent="0.2">
      <c r="A1640" t="s">
        <v>5920</v>
      </c>
      <c r="B1640" t="s">
        <v>1993</v>
      </c>
      <c r="C1640" t="s">
        <v>6041</v>
      </c>
      <c r="D1640" t="s">
        <v>3261</v>
      </c>
      <c r="E1640" t="s">
        <v>6042</v>
      </c>
      <c r="F1640" t="s">
        <v>180</v>
      </c>
      <c r="G1640" t="str">
        <f>HYPERLINK("https://www.wildberries.ru/catalog/5691258/detail.aspx?targetUrl=ES#Comments")</f>
        <v>https://www.wildberries.ru/catalog/5691258/detail.aspx?targetUrl=ES#Comments</v>
      </c>
      <c r="H1640" t="s">
        <v>181</v>
      </c>
      <c r="I1640" t="s">
        <v>6043</v>
      </c>
      <c r="J1640" t="str">
        <f>HYPERLINK("https://www.wildberries.ru/profile/w7TDssOkw7PCu8KywrDCs8K5wrjCs8Kwwrg=")</f>
        <v>https://www.wildberries.ru/profile/w7TDssOkw7PCu8KywrDCs8K5wrjCs8Kwwrg=</v>
      </c>
      <c r="L1640" t="s">
        <v>151</v>
      </c>
      <c r="N1640" t="s">
        <v>534</v>
      </c>
      <c r="O1640" t="s">
        <v>3261</v>
      </c>
      <c r="P1640" t="str">
        <f>HYPERLINK("https://www.wildberries.ru/catalog/4570035/detail.aspx")</f>
        <v>https://www.wildberries.ru/catalog/4570035/detail.aspx</v>
      </c>
      <c r="R1640" t="s">
        <v>184</v>
      </c>
      <c r="S1640" t="s">
        <v>125</v>
      </c>
      <c r="W1640">
        <v>0</v>
      </c>
      <c r="X1640">
        <v>0</v>
      </c>
      <c r="AH1640">
        <v>5</v>
      </c>
      <c r="AM1640" t="s">
        <v>129</v>
      </c>
      <c r="AN1640" t="s">
        <v>130</v>
      </c>
      <c r="AP1640" t="s">
        <v>41</v>
      </c>
      <c r="AZ1640" t="s">
        <v>51</v>
      </c>
      <c r="BA1640" t="s">
        <v>52</v>
      </c>
      <c r="BK1640" t="s">
        <v>62</v>
      </c>
      <c r="BL1640" t="s">
        <v>63</v>
      </c>
    </row>
    <row r="1641" spans="1:100" x14ac:dyDescent="0.2">
      <c r="A1641" t="s">
        <v>5920</v>
      </c>
      <c r="B1641" t="s">
        <v>3076</v>
      </c>
      <c r="C1641" t="s">
        <v>6044</v>
      </c>
      <c r="D1641" t="s">
        <v>6045</v>
      </c>
      <c r="E1641" t="s">
        <v>6046</v>
      </c>
      <c r="F1641" t="s">
        <v>118</v>
      </c>
      <c r="G1641" t="str">
        <f>HYPERLINK("https://vk.com/topic-46943829_38691077?post=1591")</f>
        <v>https://vk.com/topic-46943829_38691077?post=1591</v>
      </c>
      <c r="H1641" t="s">
        <v>228</v>
      </c>
      <c r="I1641" t="s">
        <v>6047</v>
      </c>
      <c r="J1641" t="str">
        <f>HYPERLINK("http://vk.com/id494642915")</f>
        <v>http://vk.com/id494642915</v>
      </c>
      <c r="K1641">
        <v>17</v>
      </c>
      <c r="L1641" t="s">
        <v>151</v>
      </c>
      <c r="M1641">
        <v>52</v>
      </c>
      <c r="N1641" t="s">
        <v>122</v>
      </c>
      <c r="O1641" t="s">
        <v>6048</v>
      </c>
      <c r="P1641" t="str">
        <f>HYPERLINK("http://vk.com/club46943829")</f>
        <v>http://vk.com/club46943829</v>
      </c>
      <c r="Q1641">
        <v>11988</v>
      </c>
      <c r="R1641" t="s">
        <v>124</v>
      </c>
      <c r="S1641" t="s">
        <v>125</v>
      </c>
      <c r="T1641" t="s">
        <v>2225</v>
      </c>
      <c r="U1641" t="s">
        <v>2861</v>
      </c>
      <c r="AM1641" t="s">
        <v>129</v>
      </c>
      <c r="AN1641" t="s">
        <v>130</v>
      </c>
      <c r="AP1641" t="s">
        <v>41</v>
      </c>
      <c r="AW1641" t="s">
        <v>48</v>
      </c>
      <c r="AX1641" t="s">
        <v>49</v>
      </c>
      <c r="AZ1641" t="s">
        <v>51</v>
      </c>
      <c r="BA1641" t="s">
        <v>52</v>
      </c>
    </row>
    <row r="1642" spans="1:100" x14ac:dyDescent="0.2">
      <c r="A1642" t="s">
        <v>5920</v>
      </c>
      <c r="B1642" t="s">
        <v>4304</v>
      </c>
      <c r="C1642" t="s">
        <v>6049</v>
      </c>
      <c r="D1642" t="s">
        <v>6050</v>
      </c>
      <c r="E1642" t="s">
        <v>6051</v>
      </c>
      <c r="F1642" t="s">
        <v>118</v>
      </c>
      <c r="G1642" t="str">
        <f>HYPERLINK("https://vk.com/wall-22935147_368393?reply=368477")</f>
        <v>https://vk.com/wall-22935147_368393?reply=368477</v>
      </c>
      <c r="H1642" t="s">
        <v>228</v>
      </c>
      <c r="I1642" t="s">
        <v>4934</v>
      </c>
      <c r="J1642" t="str">
        <f>HYPERLINK("http://vk.com/id662268001")</f>
        <v>http://vk.com/id662268001</v>
      </c>
      <c r="K1642">
        <v>0</v>
      </c>
      <c r="L1642" t="s">
        <v>121</v>
      </c>
      <c r="M1642">
        <v>38</v>
      </c>
      <c r="N1642" t="s">
        <v>122</v>
      </c>
      <c r="O1642" t="s">
        <v>1093</v>
      </c>
      <c r="P1642" t="str">
        <f>HYPERLINK("http://vk.com/club22935147")</f>
        <v>http://vk.com/club22935147</v>
      </c>
      <c r="Q1642">
        <v>8943</v>
      </c>
      <c r="R1642" t="s">
        <v>124</v>
      </c>
      <c r="S1642" t="s">
        <v>125</v>
      </c>
      <c r="T1642" t="s">
        <v>169</v>
      </c>
      <c r="U1642" t="s">
        <v>169</v>
      </c>
      <c r="W1642">
        <v>0</v>
      </c>
      <c r="X1642">
        <v>0</v>
      </c>
      <c r="AM1642" t="s">
        <v>129</v>
      </c>
      <c r="AN1642" t="s">
        <v>130</v>
      </c>
      <c r="AP1642" t="s">
        <v>41</v>
      </c>
      <c r="AZ1642" t="s">
        <v>51</v>
      </c>
      <c r="BA1642" t="s">
        <v>52</v>
      </c>
    </row>
    <row r="1643" spans="1:100" x14ac:dyDescent="0.2">
      <c r="A1643" t="s">
        <v>5920</v>
      </c>
      <c r="B1643" t="s">
        <v>442</v>
      </c>
      <c r="C1643" t="s">
        <v>6052</v>
      </c>
      <c r="D1643" t="s">
        <v>6053</v>
      </c>
      <c r="E1643" t="s">
        <v>6054</v>
      </c>
      <c r="F1643" t="s">
        <v>118</v>
      </c>
      <c r="G1643" t="str">
        <f>HYPERLINK("https://vk.com/wall-22935147_368378?w=wall-22935147_368378_r368476")</f>
        <v>https://vk.com/wall-22935147_368378?w=wall-22935147_368378_r368476</v>
      </c>
      <c r="H1643" t="s">
        <v>119</v>
      </c>
      <c r="I1643" t="s">
        <v>6055</v>
      </c>
      <c r="J1643" t="str">
        <f>HYPERLINK("http://vk.com/id154372840")</f>
        <v>http://vk.com/id154372840</v>
      </c>
      <c r="K1643">
        <v>19</v>
      </c>
      <c r="L1643" t="s">
        <v>121</v>
      </c>
      <c r="N1643" t="s">
        <v>122</v>
      </c>
      <c r="O1643" t="s">
        <v>1093</v>
      </c>
      <c r="P1643" t="str">
        <f>HYPERLINK("http://vk.com/club22935147")</f>
        <v>http://vk.com/club22935147</v>
      </c>
      <c r="Q1643">
        <v>8943</v>
      </c>
      <c r="R1643" t="s">
        <v>124</v>
      </c>
      <c r="S1643" t="s">
        <v>1884</v>
      </c>
      <c r="T1643" t="s">
        <v>3228</v>
      </c>
      <c r="U1643" t="s">
        <v>6056</v>
      </c>
      <c r="W1643">
        <v>0</v>
      </c>
      <c r="X1643">
        <v>0</v>
      </c>
      <c r="AM1643" t="s">
        <v>129</v>
      </c>
      <c r="AN1643" t="s">
        <v>130</v>
      </c>
      <c r="AP1643" t="s">
        <v>41</v>
      </c>
      <c r="AW1643" t="s">
        <v>48</v>
      </c>
      <c r="AZ1643" t="s">
        <v>51</v>
      </c>
      <c r="BA1643" t="s">
        <v>52</v>
      </c>
      <c r="BS1643" t="s">
        <v>70</v>
      </c>
    </row>
    <row r="1644" spans="1:100" x14ac:dyDescent="0.2">
      <c r="A1644" t="s">
        <v>5920</v>
      </c>
      <c r="B1644" t="s">
        <v>3805</v>
      </c>
      <c r="C1644" t="s">
        <v>6057</v>
      </c>
      <c r="D1644" t="s">
        <v>6058</v>
      </c>
      <c r="E1644" t="s">
        <v>6059</v>
      </c>
      <c r="F1644" t="s">
        <v>118</v>
      </c>
      <c r="G1644" t="str">
        <f>HYPERLINK("https://vk.com/wall-22576083_176695?reply=177213&amp;thread=176988")</f>
        <v>https://vk.com/wall-22576083_176695?reply=177213&amp;thread=176988</v>
      </c>
      <c r="H1644" t="s">
        <v>228</v>
      </c>
      <c r="I1644" t="s">
        <v>6060</v>
      </c>
      <c r="J1644" t="str">
        <f>HYPERLINK("http://vk.com/id525157410")</f>
        <v>http://vk.com/id525157410</v>
      </c>
      <c r="K1644">
        <v>40</v>
      </c>
      <c r="L1644" t="s">
        <v>121</v>
      </c>
      <c r="M1644">
        <v>35</v>
      </c>
      <c r="N1644" t="s">
        <v>122</v>
      </c>
      <c r="O1644" t="s">
        <v>6061</v>
      </c>
      <c r="P1644" t="str">
        <f>HYPERLINK("http://vk.com/club22576083")</f>
        <v>http://vk.com/club22576083</v>
      </c>
      <c r="Q1644">
        <v>11986</v>
      </c>
      <c r="R1644" t="s">
        <v>124</v>
      </c>
      <c r="S1644" t="s">
        <v>125</v>
      </c>
      <c r="T1644" t="s">
        <v>1466</v>
      </c>
      <c r="U1644" t="s">
        <v>6062</v>
      </c>
      <c r="AM1644" t="s">
        <v>129</v>
      </c>
      <c r="AN1644" t="s">
        <v>130</v>
      </c>
      <c r="AP1644" t="s">
        <v>41</v>
      </c>
      <c r="AZ1644" t="s">
        <v>51</v>
      </c>
      <c r="BA1644" t="s">
        <v>52</v>
      </c>
      <c r="BL1644" t="s">
        <v>63</v>
      </c>
      <c r="CV1644" t="s">
        <v>99</v>
      </c>
    </row>
    <row r="1645" spans="1:100" x14ac:dyDescent="0.2">
      <c r="A1645" t="s">
        <v>5920</v>
      </c>
      <c r="B1645" t="s">
        <v>2562</v>
      </c>
      <c r="C1645" t="s">
        <v>6052</v>
      </c>
      <c r="D1645" t="s">
        <v>6053</v>
      </c>
      <c r="E1645" t="s">
        <v>6063</v>
      </c>
      <c r="F1645" t="s">
        <v>118</v>
      </c>
      <c r="G1645" t="str">
        <f>HYPERLINK("https://vk.com/wall-22935147_368378?w=wall-22935147_368378_r368475")</f>
        <v>https://vk.com/wall-22935147_368378?w=wall-22935147_368378_r368475</v>
      </c>
      <c r="H1645" t="s">
        <v>119</v>
      </c>
      <c r="I1645" t="s">
        <v>6064</v>
      </c>
      <c r="J1645" t="str">
        <f>HYPERLINK("http://vk.com/id594710692")</f>
        <v>http://vk.com/id594710692</v>
      </c>
      <c r="K1645">
        <v>6</v>
      </c>
      <c r="L1645" t="s">
        <v>121</v>
      </c>
      <c r="M1645">
        <v>41</v>
      </c>
      <c r="N1645" t="s">
        <v>122</v>
      </c>
      <c r="O1645" t="s">
        <v>1093</v>
      </c>
      <c r="P1645" t="str">
        <f>HYPERLINK("http://vk.com/club22935147")</f>
        <v>http://vk.com/club22935147</v>
      </c>
      <c r="Q1645">
        <v>8943</v>
      </c>
      <c r="R1645" t="s">
        <v>124</v>
      </c>
      <c r="S1645" t="s">
        <v>125</v>
      </c>
      <c r="T1645" t="s">
        <v>169</v>
      </c>
      <c r="U1645" t="s">
        <v>169</v>
      </c>
      <c r="W1645">
        <v>0</v>
      </c>
      <c r="X1645">
        <v>0</v>
      </c>
      <c r="AM1645" t="s">
        <v>129</v>
      </c>
      <c r="AN1645" t="s">
        <v>130</v>
      </c>
      <c r="AP1645" t="s">
        <v>41</v>
      </c>
      <c r="AU1645" t="s">
        <v>46</v>
      </c>
      <c r="AW1645" t="s">
        <v>48</v>
      </c>
      <c r="AZ1645" t="s">
        <v>51</v>
      </c>
      <c r="BA1645" t="s">
        <v>52</v>
      </c>
      <c r="BL1645" t="s">
        <v>63</v>
      </c>
    </row>
    <row r="1646" spans="1:100" x14ac:dyDescent="0.2">
      <c r="A1646" t="s">
        <v>5920</v>
      </c>
      <c r="B1646" t="s">
        <v>2562</v>
      </c>
      <c r="C1646" t="s">
        <v>6065</v>
      </c>
      <c r="D1646" t="s">
        <v>6058</v>
      </c>
      <c r="E1646" t="s">
        <v>6066</v>
      </c>
      <c r="F1646" t="s">
        <v>118</v>
      </c>
      <c r="G1646" t="str">
        <f>HYPERLINK("https://vk.com/wall-22576083_176695?reply=177212&amp;thread=176988")</f>
        <v>https://vk.com/wall-22576083_176695?reply=177212&amp;thread=176988</v>
      </c>
      <c r="H1646" t="s">
        <v>181</v>
      </c>
      <c r="I1646" t="s">
        <v>6064</v>
      </c>
      <c r="J1646" t="str">
        <f>HYPERLINK("http://vk.com/id594710692")</f>
        <v>http://vk.com/id594710692</v>
      </c>
      <c r="K1646">
        <v>6</v>
      </c>
      <c r="L1646" t="s">
        <v>121</v>
      </c>
      <c r="M1646">
        <v>41</v>
      </c>
      <c r="N1646" t="s">
        <v>122</v>
      </c>
      <c r="O1646" t="s">
        <v>6061</v>
      </c>
      <c r="P1646" t="str">
        <f>HYPERLINK("http://vk.com/club22576083")</f>
        <v>http://vk.com/club22576083</v>
      </c>
      <c r="Q1646">
        <v>11986</v>
      </c>
      <c r="R1646" t="s">
        <v>124</v>
      </c>
      <c r="S1646" t="s">
        <v>125</v>
      </c>
      <c r="T1646" t="s">
        <v>1466</v>
      </c>
      <c r="U1646" t="s">
        <v>6062</v>
      </c>
      <c r="AM1646" t="s">
        <v>129</v>
      </c>
      <c r="AN1646" t="s">
        <v>130</v>
      </c>
      <c r="AP1646" t="s">
        <v>41</v>
      </c>
      <c r="AZ1646" t="s">
        <v>51</v>
      </c>
      <c r="BA1646" t="s">
        <v>52</v>
      </c>
    </row>
    <row r="1647" spans="1:100" x14ac:dyDescent="0.2">
      <c r="A1647" t="s">
        <v>5920</v>
      </c>
      <c r="B1647" t="s">
        <v>3088</v>
      </c>
      <c r="C1647" t="s">
        <v>6067</v>
      </c>
      <c r="D1647" t="s">
        <v>6068</v>
      </c>
      <c r="E1647" t="s">
        <v>6069</v>
      </c>
      <c r="F1647" t="s">
        <v>118</v>
      </c>
      <c r="G1647" t="str">
        <f>HYPERLINK("https://ok.ru/group/53918693523698/topic/153728707247602#MTYyNjY5ODEzOTU3MTotMTExMDM6MTYyNjY5ODEzOTU3MToxNTM3Mjg3MDcyNDc2MDI6MQ==")</f>
        <v>https://ok.ru/group/53918693523698/topic/153728707247602#MTYyNjY5ODEzOTU3MTotMTExMDM6MTYyNjY5ODEzOTU3MToxNTM3Mjg3MDcyNDc2MDI6MQ==</v>
      </c>
      <c r="H1647" t="s">
        <v>181</v>
      </c>
      <c r="I1647" t="s">
        <v>6070</v>
      </c>
      <c r="J1647" t="str">
        <f>HYPERLINK("https://ok.ru/profile/594192112660")</f>
        <v>https://ok.ru/profile/594192112660</v>
      </c>
      <c r="K1647">
        <v>15</v>
      </c>
      <c r="L1647" t="s">
        <v>151</v>
      </c>
      <c r="M1647">
        <v>41</v>
      </c>
      <c r="N1647" t="s">
        <v>347</v>
      </c>
      <c r="O1647" t="s">
        <v>6071</v>
      </c>
      <c r="P1647" t="str">
        <f>HYPERLINK("https://ok.ru/group/53918693523698")</f>
        <v>https://ok.ru/group/53918693523698</v>
      </c>
      <c r="Q1647">
        <v>17454</v>
      </c>
      <c r="R1647" t="s">
        <v>124</v>
      </c>
      <c r="S1647" t="s">
        <v>125</v>
      </c>
      <c r="T1647" t="s">
        <v>364</v>
      </c>
      <c r="U1647" t="s">
        <v>2610</v>
      </c>
      <c r="W1647">
        <v>0</v>
      </c>
      <c r="X1647">
        <v>0</v>
      </c>
      <c r="AM1647" t="s">
        <v>129</v>
      </c>
      <c r="AN1647" t="s">
        <v>130</v>
      </c>
      <c r="AP1647" t="s">
        <v>41</v>
      </c>
      <c r="AZ1647" t="s">
        <v>51</v>
      </c>
      <c r="BA1647" t="s">
        <v>52</v>
      </c>
      <c r="BM1647" t="s">
        <v>64</v>
      </c>
    </row>
    <row r="1648" spans="1:100" x14ac:dyDescent="0.2">
      <c r="A1648" t="s">
        <v>5920</v>
      </c>
      <c r="B1648" t="s">
        <v>3088</v>
      </c>
      <c r="C1648" t="s">
        <v>6067</v>
      </c>
      <c r="D1648" t="s">
        <v>6068</v>
      </c>
      <c r="E1648" t="s">
        <v>6072</v>
      </c>
      <c r="F1648" t="s">
        <v>118</v>
      </c>
      <c r="G1648" t="str">
        <f>HYPERLINK("https://ok.ru/group/53918693523698/topic/153728707247602#MTYyNjY5ODEwOTE5MzotNTExOjE2MjY2OTgxMDkxOTM6MTUzNzI4NzA3MjQ3NjAyOjE=")</f>
        <v>https://ok.ru/group/53918693523698/topic/153728707247602#MTYyNjY5ODEwOTE5MzotNTExOjE2MjY2OTgxMDkxOTM6MTUzNzI4NzA3MjQ3NjAyOjE=</v>
      </c>
      <c r="H1648" t="s">
        <v>119</v>
      </c>
      <c r="I1648" t="s">
        <v>6070</v>
      </c>
      <c r="J1648" t="str">
        <f>HYPERLINK("https://ok.ru/profile/594192112660")</f>
        <v>https://ok.ru/profile/594192112660</v>
      </c>
      <c r="K1648">
        <v>15</v>
      </c>
      <c r="L1648" t="s">
        <v>151</v>
      </c>
      <c r="M1648">
        <v>41</v>
      </c>
      <c r="N1648" t="s">
        <v>347</v>
      </c>
      <c r="O1648" t="s">
        <v>6071</v>
      </c>
      <c r="P1648" t="str">
        <f>HYPERLINK("https://ok.ru/group/53918693523698")</f>
        <v>https://ok.ru/group/53918693523698</v>
      </c>
      <c r="Q1648">
        <v>17454</v>
      </c>
      <c r="R1648" t="s">
        <v>124</v>
      </c>
      <c r="S1648" t="s">
        <v>125</v>
      </c>
      <c r="T1648" t="s">
        <v>364</v>
      </c>
      <c r="U1648" t="s">
        <v>2610</v>
      </c>
      <c r="W1648">
        <v>0</v>
      </c>
      <c r="X1648">
        <v>0</v>
      </c>
      <c r="AM1648" t="s">
        <v>129</v>
      </c>
      <c r="AN1648" t="s">
        <v>130</v>
      </c>
      <c r="AP1648" t="s">
        <v>41</v>
      </c>
      <c r="AW1648" t="s">
        <v>48</v>
      </c>
      <c r="AZ1648" t="s">
        <v>51</v>
      </c>
      <c r="BA1648" t="s">
        <v>52</v>
      </c>
      <c r="BM1648" t="s">
        <v>64</v>
      </c>
    </row>
    <row r="1649" spans="1:67" x14ac:dyDescent="0.2">
      <c r="A1649" t="s">
        <v>5920</v>
      </c>
      <c r="B1649" t="s">
        <v>5191</v>
      </c>
      <c r="C1649" t="s">
        <v>5994</v>
      </c>
      <c r="D1649" t="s">
        <v>129</v>
      </c>
      <c r="E1649" t="s">
        <v>6073</v>
      </c>
      <c r="F1649" t="s">
        <v>118</v>
      </c>
      <c r="G1649" t="str">
        <f>HYPERLINK("https://telegram.me/TECHNOZON_TELEGRAM/342070")</f>
        <v>https://telegram.me/TECHNOZON_TELEGRAM/342070</v>
      </c>
      <c r="H1649" t="s">
        <v>181</v>
      </c>
      <c r="I1649" t="s">
        <v>6074</v>
      </c>
      <c r="J1649" t="str">
        <f>HYPERLINK("https://telegram.me/923222216")</f>
        <v>https://telegram.me/923222216</v>
      </c>
      <c r="L1649" t="s">
        <v>121</v>
      </c>
      <c r="N1649" t="s">
        <v>143</v>
      </c>
      <c r="O1649" t="s">
        <v>5185</v>
      </c>
      <c r="P1649" t="str">
        <f>HYPERLINK("https://telegram.me/technozon_telegram")</f>
        <v>https://telegram.me/technozon_telegram</v>
      </c>
      <c r="Q1649">
        <v>8577</v>
      </c>
      <c r="R1649" t="s">
        <v>145</v>
      </c>
      <c r="AM1649" t="s">
        <v>129</v>
      </c>
      <c r="AN1649" t="s">
        <v>130</v>
      </c>
      <c r="AP1649" t="s">
        <v>41</v>
      </c>
      <c r="AY1649" t="s">
        <v>50</v>
      </c>
      <c r="AZ1649" t="s">
        <v>51</v>
      </c>
      <c r="BA1649" t="s">
        <v>52</v>
      </c>
      <c r="BL1649" t="s">
        <v>63</v>
      </c>
    </row>
    <row r="1650" spans="1:67" x14ac:dyDescent="0.2">
      <c r="A1650" t="s">
        <v>5920</v>
      </c>
      <c r="B1650" t="s">
        <v>5191</v>
      </c>
      <c r="C1650" t="s">
        <v>6075</v>
      </c>
      <c r="D1650" t="s">
        <v>6076</v>
      </c>
      <c r="E1650" t="s">
        <v>6077</v>
      </c>
      <c r="F1650" t="s">
        <v>118</v>
      </c>
      <c r="G1650" t="str">
        <f>HYPERLINK("https://vk.com/wall-17900701_323991?reply=324239&amp;thread=324000")</f>
        <v>https://vk.com/wall-17900701_323991?reply=324239&amp;thread=324000</v>
      </c>
      <c r="H1650" t="s">
        <v>181</v>
      </c>
      <c r="I1650" t="s">
        <v>6064</v>
      </c>
      <c r="J1650" t="str">
        <f>HYPERLINK("http://vk.com/id594710692")</f>
        <v>http://vk.com/id594710692</v>
      </c>
      <c r="K1650">
        <v>6</v>
      </c>
      <c r="L1650" t="s">
        <v>121</v>
      </c>
      <c r="M1650">
        <v>41</v>
      </c>
      <c r="N1650" t="s">
        <v>122</v>
      </c>
      <c r="O1650" t="s">
        <v>6078</v>
      </c>
      <c r="P1650" t="str">
        <f>HYPERLINK("http://vk.com/club17900701")</f>
        <v>http://vk.com/club17900701</v>
      </c>
      <c r="Q1650">
        <v>18677</v>
      </c>
      <c r="R1650" t="s">
        <v>124</v>
      </c>
      <c r="S1650" t="s">
        <v>125</v>
      </c>
      <c r="T1650" t="s">
        <v>570</v>
      </c>
      <c r="U1650" t="s">
        <v>6079</v>
      </c>
      <c r="AM1650" t="s">
        <v>129</v>
      </c>
      <c r="AN1650" t="s">
        <v>130</v>
      </c>
      <c r="AP1650" t="s">
        <v>41</v>
      </c>
      <c r="AU1650" t="s">
        <v>46</v>
      </c>
      <c r="AZ1650" t="s">
        <v>51</v>
      </c>
      <c r="BA1650" t="s">
        <v>52</v>
      </c>
      <c r="BK1650" t="s">
        <v>62</v>
      </c>
    </row>
    <row r="1651" spans="1:67" x14ac:dyDescent="0.2">
      <c r="A1651" t="s">
        <v>5920</v>
      </c>
      <c r="B1651" t="s">
        <v>2568</v>
      </c>
      <c r="C1651" t="s">
        <v>6052</v>
      </c>
      <c r="D1651" t="s">
        <v>6050</v>
      </c>
      <c r="E1651" t="s">
        <v>6080</v>
      </c>
      <c r="F1651" t="s">
        <v>118</v>
      </c>
      <c r="G1651" t="str">
        <f>HYPERLINK("https://vk.com/wall-22935147_368393?w=wall-22935147_368393_r368474")</f>
        <v>https://vk.com/wall-22935147_368393?w=wall-22935147_368393_r368474</v>
      </c>
      <c r="H1651" t="s">
        <v>181</v>
      </c>
      <c r="I1651" t="s">
        <v>6064</v>
      </c>
      <c r="J1651" t="str">
        <f>HYPERLINK("http://vk.com/id594710692")</f>
        <v>http://vk.com/id594710692</v>
      </c>
      <c r="K1651">
        <v>6</v>
      </c>
      <c r="L1651" t="s">
        <v>121</v>
      </c>
      <c r="M1651">
        <v>41</v>
      </c>
      <c r="N1651" t="s">
        <v>122</v>
      </c>
      <c r="O1651" t="s">
        <v>1093</v>
      </c>
      <c r="P1651" t="str">
        <f>HYPERLINK("http://vk.com/club22935147")</f>
        <v>http://vk.com/club22935147</v>
      </c>
      <c r="Q1651">
        <v>8943</v>
      </c>
      <c r="R1651" t="s">
        <v>124</v>
      </c>
      <c r="S1651" t="s">
        <v>125</v>
      </c>
      <c r="T1651" t="s">
        <v>169</v>
      </c>
      <c r="U1651" t="s">
        <v>169</v>
      </c>
      <c r="W1651">
        <v>0</v>
      </c>
      <c r="X1651">
        <v>0</v>
      </c>
      <c r="AM1651" t="s">
        <v>129</v>
      </c>
      <c r="AN1651" t="s">
        <v>130</v>
      </c>
      <c r="AP1651" t="s">
        <v>41</v>
      </c>
      <c r="AZ1651" t="s">
        <v>51</v>
      </c>
      <c r="BA1651" t="s">
        <v>52</v>
      </c>
    </row>
    <row r="1652" spans="1:67" x14ac:dyDescent="0.2">
      <c r="A1652" t="s">
        <v>5920</v>
      </c>
      <c r="B1652" t="s">
        <v>2571</v>
      </c>
      <c r="C1652" t="s">
        <v>6081</v>
      </c>
      <c r="D1652" t="s">
        <v>6082</v>
      </c>
      <c r="E1652" t="s">
        <v>6083</v>
      </c>
      <c r="F1652" t="s">
        <v>118</v>
      </c>
      <c r="G1652" t="str">
        <f>HYPERLINK("https://vk.com/wall-59759902_290870?reply=291107&amp;thread=290871")</f>
        <v>https://vk.com/wall-59759902_290870?reply=291107&amp;thread=290871</v>
      </c>
      <c r="H1652" t="s">
        <v>181</v>
      </c>
      <c r="I1652" t="s">
        <v>6064</v>
      </c>
      <c r="J1652" t="str">
        <f>HYPERLINK("http://vk.com/id594710692")</f>
        <v>http://vk.com/id594710692</v>
      </c>
      <c r="K1652">
        <v>6</v>
      </c>
      <c r="L1652" t="s">
        <v>121</v>
      </c>
      <c r="M1652">
        <v>41</v>
      </c>
      <c r="N1652" t="s">
        <v>122</v>
      </c>
      <c r="O1652" t="s">
        <v>6084</v>
      </c>
      <c r="P1652" t="str">
        <f>HYPERLINK("http://vk.com/club59759902")</f>
        <v>http://vk.com/club59759902</v>
      </c>
      <c r="Q1652">
        <v>18596</v>
      </c>
      <c r="R1652" t="s">
        <v>124</v>
      </c>
      <c r="AM1652" t="s">
        <v>129</v>
      </c>
      <c r="AN1652" t="s">
        <v>130</v>
      </c>
      <c r="AP1652" t="s">
        <v>41</v>
      </c>
      <c r="AY1652" t="s">
        <v>50</v>
      </c>
      <c r="AZ1652" t="s">
        <v>51</v>
      </c>
      <c r="BA1652" t="s">
        <v>52</v>
      </c>
    </row>
    <row r="1653" spans="1:67" x14ac:dyDescent="0.2">
      <c r="A1653" t="s">
        <v>5920</v>
      </c>
      <c r="B1653" t="s">
        <v>446</v>
      </c>
      <c r="C1653" t="s">
        <v>5994</v>
      </c>
      <c r="D1653" t="s">
        <v>129</v>
      </c>
      <c r="E1653" t="s">
        <v>6085</v>
      </c>
      <c r="F1653" t="s">
        <v>180</v>
      </c>
      <c r="G1653" t="str">
        <f>HYPERLINK("https://telegram.me/TECHNOZON_TELEGRAM/342063")</f>
        <v>https://telegram.me/TECHNOZON_TELEGRAM/342063</v>
      </c>
      <c r="H1653" t="s">
        <v>228</v>
      </c>
      <c r="I1653" t="s">
        <v>6086</v>
      </c>
      <c r="J1653" t="str">
        <f>HYPERLINK("https://telegram.me/vyachesvas")</f>
        <v>https://telegram.me/vyachesvas</v>
      </c>
      <c r="L1653" t="s">
        <v>121</v>
      </c>
      <c r="N1653" t="s">
        <v>143</v>
      </c>
      <c r="O1653" t="s">
        <v>5185</v>
      </c>
      <c r="P1653" t="str">
        <f>HYPERLINK("https://telegram.me/technozon_telegram")</f>
        <v>https://telegram.me/technozon_telegram</v>
      </c>
      <c r="Q1653">
        <v>8577</v>
      </c>
      <c r="R1653" t="s">
        <v>145</v>
      </c>
      <c r="AM1653" t="s">
        <v>129</v>
      </c>
      <c r="AN1653" t="s">
        <v>130</v>
      </c>
      <c r="AP1653" t="s">
        <v>41</v>
      </c>
      <c r="AY1653" t="s">
        <v>50</v>
      </c>
      <c r="AZ1653" t="s">
        <v>51</v>
      </c>
      <c r="BA1653" t="s">
        <v>52</v>
      </c>
      <c r="BL1653" t="s">
        <v>63</v>
      </c>
    </row>
    <row r="1654" spans="1:67" x14ac:dyDescent="0.2">
      <c r="A1654" t="s">
        <v>5920</v>
      </c>
      <c r="B1654" t="s">
        <v>1572</v>
      </c>
      <c r="C1654" t="s">
        <v>6087</v>
      </c>
      <c r="D1654" t="s">
        <v>6088</v>
      </c>
      <c r="E1654" t="s">
        <v>6089</v>
      </c>
      <c r="F1654" t="s">
        <v>180</v>
      </c>
      <c r="G1654" t="str">
        <f>HYPERLINK("https://www.cableman.ru/content/serialy-videoservisa-premier-stali-dostupny-klientam-trikolora")</f>
        <v>https://www.cableman.ru/content/serialy-videoservisa-premier-stali-dostupny-klientam-trikolora</v>
      </c>
      <c r="H1654" t="s">
        <v>119</v>
      </c>
      <c r="N1654" t="s">
        <v>934</v>
      </c>
      <c r="R1654" t="s">
        <v>785</v>
      </c>
      <c r="S1654" t="s">
        <v>125</v>
      </c>
      <c r="AJ1654" t="s">
        <v>588</v>
      </c>
      <c r="AK1654" t="s">
        <v>876</v>
      </c>
      <c r="AL1654" t="str">
        <f>HYPERLINK("https://www.cableman.ru/sites/all/themes/openpublish_theme/images/logo-1.png")</f>
        <v>https://www.cableman.ru/sites/all/themes/openpublish_theme/images/logo-1.png</v>
      </c>
      <c r="AM1654" t="s">
        <v>129</v>
      </c>
      <c r="AN1654" t="s">
        <v>130</v>
      </c>
      <c r="AV1654" t="s">
        <v>47</v>
      </c>
    </row>
    <row r="1655" spans="1:67" x14ac:dyDescent="0.2">
      <c r="A1655" t="s">
        <v>5920</v>
      </c>
      <c r="B1655" t="s">
        <v>2589</v>
      </c>
      <c r="C1655" t="s">
        <v>6090</v>
      </c>
      <c r="D1655" t="s">
        <v>6091</v>
      </c>
      <c r="E1655" t="s">
        <v>6092</v>
      </c>
      <c r="F1655" t="s">
        <v>180</v>
      </c>
      <c r="G1655" t="str">
        <f>HYPERLINK("https://www.google.com/maps/reviews/data=!4m5!14m4!1m3!1m2!1s113194623944668529414!2s0x0:0xe586699be392c485?hl=en-NL")</f>
        <v>https://www.google.com/maps/reviews/data=!4m5!14m4!1m3!1m2!1s113194623944668529414!2s0x0:0xe586699be392c485?hl=en-NL</v>
      </c>
      <c r="H1655" t="s">
        <v>181</v>
      </c>
      <c r="I1655" t="s">
        <v>6093</v>
      </c>
      <c r="J1655" t="str">
        <f>HYPERLINK("https://maps.google.com/maps/contrib/113194623944668529414")</f>
        <v>https://maps.google.com/maps/contrib/113194623944668529414</v>
      </c>
      <c r="L1655" t="s">
        <v>151</v>
      </c>
      <c r="N1655" t="s">
        <v>673</v>
      </c>
      <c r="O1655" t="s">
        <v>6091</v>
      </c>
      <c r="P1655" t="str">
        <f>HYPERLINK("https://maps.google.com/maps/place/data=!3m1!4b1!4m5!3m4!1s0x0:0xe586699be392c485!8m2!3d47.219100!4d39.720450")</f>
        <v>https://maps.google.com/maps/place/data=!3m1!4b1!4m5!3m4!1s0x0:0xe586699be392c485!8m2!3d47.219100!4d39.720450</v>
      </c>
      <c r="R1655" t="s">
        <v>184</v>
      </c>
      <c r="S1655" t="s">
        <v>125</v>
      </c>
      <c r="T1655" t="s">
        <v>627</v>
      </c>
      <c r="U1655" t="s">
        <v>846</v>
      </c>
      <c r="W1655">
        <v>0</v>
      </c>
      <c r="X1655">
        <v>0</v>
      </c>
      <c r="AH1655">
        <v>5</v>
      </c>
      <c r="AM1655" t="s">
        <v>129</v>
      </c>
      <c r="AN1655" t="s">
        <v>130</v>
      </c>
      <c r="AP1655" t="s">
        <v>41</v>
      </c>
      <c r="AX1655" t="s">
        <v>49</v>
      </c>
      <c r="AZ1655" t="s">
        <v>51</v>
      </c>
      <c r="BA1655" t="s">
        <v>52</v>
      </c>
    </row>
    <row r="1656" spans="1:67" x14ac:dyDescent="0.2">
      <c r="A1656" t="s">
        <v>5920</v>
      </c>
      <c r="B1656" t="s">
        <v>978</v>
      </c>
      <c r="C1656" t="s">
        <v>6094</v>
      </c>
      <c r="D1656" t="s">
        <v>6095</v>
      </c>
      <c r="E1656" t="s">
        <v>6096</v>
      </c>
      <c r="F1656" t="s">
        <v>118</v>
      </c>
      <c r="G1656" t="str">
        <f>HYPERLINK("https://vk.com/wall-101950126_233544?reply=233548")</f>
        <v>https://vk.com/wall-101950126_233544?reply=233548</v>
      </c>
      <c r="H1656" t="s">
        <v>228</v>
      </c>
      <c r="I1656" t="s">
        <v>6097</v>
      </c>
      <c r="J1656" t="str">
        <f>HYPERLINK("http://vk.com/id509660079")</f>
        <v>http://vk.com/id509660079</v>
      </c>
      <c r="K1656">
        <v>29</v>
      </c>
      <c r="L1656" t="s">
        <v>121</v>
      </c>
      <c r="M1656">
        <v>48</v>
      </c>
      <c r="N1656" t="s">
        <v>122</v>
      </c>
      <c r="O1656" t="s">
        <v>6098</v>
      </c>
      <c r="P1656" t="str">
        <f>HYPERLINK("http://vk.com/club101950126")</f>
        <v>http://vk.com/club101950126</v>
      </c>
      <c r="Q1656">
        <v>10120</v>
      </c>
      <c r="R1656" t="s">
        <v>124</v>
      </c>
      <c r="S1656" t="s">
        <v>125</v>
      </c>
      <c r="AM1656" t="s">
        <v>129</v>
      </c>
      <c r="AN1656" t="s">
        <v>130</v>
      </c>
      <c r="AP1656" t="s">
        <v>41</v>
      </c>
      <c r="AU1656" t="s">
        <v>46</v>
      </c>
      <c r="AW1656" t="s">
        <v>48</v>
      </c>
      <c r="AZ1656" t="s">
        <v>51</v>
      </c>
      <c r="BB1656" t="s">
        <v>53</v>
      </c>
    </row>
    <row r="1657" spans="1:67" x14ac:dyDescent="0.2">
      <c r="A1657" t="s">
        <v>5920</v>
      </c>
      <c r="B1657" t="s">
        <v>984</v>
      </c>
      <c r="C1657" t="s">
        <v>6099</v>
      </c>
      <c r="D1657" t="s">
        <v>2001</v>
      </c>
      <c r="E1657" t="s">
        <v>6100</v>
      </c>
      <c r="F1657" t="s">
        <v>118</v>
      </c>
      <c r="G1657" t="str">
        <f>HYPERLINK("https://vk.com/wall-27863223_291925?reply=291947&amp;thread=291927")</f>
        <v>https://vk.com/wall-27863223_291925?reply=291947&amp;thread=291927</v>
      </c>
      <c r="H1657" t="s">
        <v>119</v>
      </c>
      <c r="I1657" t="s">
        <v>6101</v>
      </c>
      <c r="J1657" t="str">
        <f>HYPERLINK("http://vk.com/id247898369")</f>
        <v>http://vk.com/id247898369</v>
      </c>
      <c r="K1657">
        <v>47</v>
      </c>
      <c r="L1657" t="s">
        <v>121</v>
      </c>
      <c r="M1657">
        <v>38</v>
      </c>
      <c r="N1657" t="s">
        <v>122</v>
      </c>
      <c r="O1657" t="s">
        <v>175</v>
      </c>
      <c r="P1657" t="str">
        <f>HYPERLINK("http://vk.com/club27863223")</f>
        <v>http://vk.com/club27863223</v>
      </c>
      <c r="Q1657">
        <v>134698</v>
      </c>
      <c r="R1657" t="s">
        <v>124</v>
      </c>
      <c r="S1657" t="s">
        <v>125</v>
      </c>
      <c r="AM1657" t="s">
        <v>129</v>
      </c>
      <c r="AN1657" t="s">
        <v>130</v>
      </c>
      <c r="AP1657" t="s">
        <v>41</v>
      </c>
      <c r="AU1657" t="s">
        <v>46</v>
      </c>
      <c r="BA1657" t="s">
        <v>52</v>
      </c>
      <c r="BE1657" t="s">
        <v>56</v>
      </c>
    </row>
    <row r="1658" spans="1:67" x14ac:dyDescent="0.2">
      <c r="A1658" t="s">
        <v>5920</v>
      </c>
      <c r="B1658" t="s">
        <v>1581</v>
      </c>
      <c r="C1658" t="s">
        <v>6102</v>
      </c>
      <c r="D1658" t="s">
        <v>6103</v>
      </c>
      <c r="E1658" t="s">
        <v>6104</v>
      </c>
      <c r="F1658" t="s">
        <v>118</v>
      </c>
      <c r="G1658" t="str">
        <f>HYPERLINK("https://vk.com/wall-201455304_19797?reply=19801")</f>
        <v>https://vk.com/wall-201455304_19797?reply=19801</v>
      </c>
      <c r="H1658" t="s">
        <v>119</v>
      </c>
      <c r="I1658" t="s">
        <v>6105</v>
      </c>
      <c r="J1658" t="str">
        <f>HYPERLINK("http://vk.com/id244751336")</f>
        <v>http://vk.com/id244751336</v>
      </c>
      <c r="K1658">
        <v>102</v>
      </c>
      <c r="L1658" t="s">
        <v>121</v>
      </c>
      <c r="M1658">
        <v>44</v>
      </c>
      <c r="N1658" t="s">
        <v>122</v>
      </c>
      <c r="O1658" t="s">
        <v>6106</v>
      </c>
      <c r="P1658" t="str">
        <f>HYPERLINK("http://vk.com/club201455304")</f>
        <v>http://vk.com/club201455304</v>
      </c>
      <c r="Q1658">
        <v>807</v>
      </c>
      <c r="R1658" t="s">
        <v>124</v>
      </c>
      <c r="S1658" t="s">
        <v>125</v>
      </c>
      <c r="T1658" t="s">
        <v>314</v>
      </c>
      <c r="U1658" t="s">
        <v>6107</v>
      </c>
      <c r="AM1658" t="s">
        <v>129</v>
      </c>
      <c r="AN1658" t="s">
        <v>130</v>
      </c>
      <c r="AP1658" t="s">
        <v>41</v>
      </c>
      <c r="AZ1658" t="s">
        <v>51</v>
      </c>
      <c r="BA1658" t="s">
        <v>52</v>
      </c>
    </row>
    <row r="1659" spans="1:67" x14ac:dyDescent="0.2">
      <c r="A1659" t="s">
        <v>5920</v>
      </c>
      <c r="B1659" t="s">
        <v>3126</v>
      </c>
      <c r="C1659" t="s">
        <v>6108</v>
      </c>
      <c r="D1659" t="s">
        <v>6109</v>
      </c>
      <c r="E1659" t="s">
        <v>6110</v>
      </c>
      <c r="F1659" t="s">
        <v>118</v>
      </c>
      <c r="G1659" t="str">
        <f>HYPERLINK("https://vk.com/wall-22935147_359535?reply=368473")</f>
        <v>https://vk.com/wall-22935147_359535?reply=368473</v>
      </c>
      <c r="H1659" t="s">
        <v>119</v>
      </c>
      <c r="I1659" t="s">
        <v>6111</v>
      </c>
      <c r="J1659" t="str">
        <f>HYPERLINK("http://vk.com/id637381372")</f>
        <v>http://vk.com/id637381372</v>
      </c>
      <c r="K1659">
        <v>0</v>
      </c>
      <c r="L1659" t="s">
        <v>121</v>
      </c>
      <c r="M1659">
        <v>45</v>
      </c>
      <c r="N1659" t="s">
        <v>122</v>
      </c>
      <c r="O1659" t="s">
        <v>1093</v>
      </c>
      <c r="P1659" t="str">
        <f>HYPERLINK("http://vk.com/club22935147")</f>
        <v>http://vk.com/club22935147</v>
      </c>
      <c r="Q1659">
        <v>8943</v>
      </c>
      <c r="R1659" t="s">
        <v>124</v>
      </c>
      <c r="S1659" t="s">
        <v>6112</v>
      </c>
      <c r="U1659" t="s">
        <v>6113</v>
      </c>
      <c r="W1659">
        <v>0</v>
      </c>
      <c r="X1659">
        <v>0</v>
      </c>
      <c r="AJ1659" t="s">
        <v>6114</v>
      </c>
      <c r="AK1659" t="s">
        <v>129</v>
      </c>
      <c r="AL1659" t="str">
        <f>HYPERLINK("https://sun9-24.userapi.com/impg/yPQpvIfsdGNb6HtYoiDKoa8mYPj4gve9woNrHA/t1w0bPtPQXI.jpg?size=400x400&amp;quality=96&amp;sign=ab10d7bb4d3ac9944af301ca616ecf7f&amp;c_uniq_tag=ykpaoPMPaaNRALMEICsyxiV-DzzATg1qifJDnLRDN0Q&amp;type=album")</f>
        <v>https://sun9-24.userapi.com/impg/yPQpvIfsdGNb6HtYoiDKoa8mYPj4gve9woNrHA/t1w0bPtPQXI.jpg?size=400x400&amp;quality=96&amp;sign=ab10d7bb4d3ac9944af301ca616ecf7f&amp;c_uniq_tag=ykpaoPMPaaNRALMEICsyxiV-DzzATg1qifJDnLRDN0Q&amp;type=album</v>
      </c>
      <c r="AM1659" t="s">
        <v>129</v>
      </c>
      <c r="AN1659" t="s">
        <v>130</v>
      </c>
      <c r="AP1659" t="s">
        <v>41</v>
      </c>
      <c r="AZ1659" t="s">
        <v>51</v>
      </c>
      <c r="BA1659" t="s">
        <v>52</v>
      </c>
      <c r="BO1659" t="s">
        <v>66</v>
      </c>
    </row>
    <row r="1660" spans="1:67" x14ac:dyDescent="0.2">
      <c r="A1660" t="s">
        <v>5920</v>
      </c>
      <c r="B1660" t="s">
        <v>6115</v>
      </c>
      <c r="C1660" t="s">
        <v>6116</v>
      </c>
      <c r="D1660" t="s">
        <v>6117</v>
      </c>
      <c r="E1660" t="s">
        <v>6118</v>
      </c>
      <c r="F1660" t="s">
        <v>180</v>
      </c>
      <c r="G1660" t="str">
        <f>HYPERLINK("https://www.ozon.ru/context/detail/id/216273320/#60481733")</f>
        <v>https://www.ozon.ru/context/detail/id/216273320/#60481733</v>
      </c>
      <c r="H1660" t="s">
        <v>119</v>
      </c>
      <c r="I1660" t="s">
        <v>6119</v>
      </c>
      <c r="J1660" t="str">
        <f>HYPERLINK("https://www.ozon.ru/context/client_opinion/ClientGuid/cd871b94-a5a7-4e8d-8cfb-3d29276a42d8/")</f>
        <v>https://www.ozon.ru/context/client_opinion/ClientGuid/cd871b94-a5a7-4e8d-8cfb-3d29276a42d8/</v>
      </c>
      <c r="L1660" t="s">
        <v>121</v>
      </c>
      <c r="N1660" t="s">
        <v>183</v>
      </c>
      <c r="O1660" t="s">
        <v>6117</v>
      </c>
      <c r="P1660" t="str">
        <f>HYPERLINK("https://www.ozon.ru/context/detail/id/216273320/")</f>
        <v>https://www.ozon.ru/context/detail/id/216273320/</v>
      </c>
      <c r="R1660" t="s">
        <v>184</v>
      </c>
      <c r="S1660" t="s">
        <v>125</v>
      </c>
      <c r="W1660">
        <v>0</v>
      </c>
      <c r="X1660">
        <v>0</v>
      </c>
      <c r="AH1660">
        <v>1</v>
      </c>
      <c r="AM1660" t="s">
        <v>129</v>
      </c>
      <c r="AN1660" t="s">
        <v>130</v>
      </c>
      <c r="AP1660" t="s">
        <v>41</v>
      </c>
      <c r="AT1660" t="s">
        <v>45</v>
      </c>
      <c r="AZ1660" t="s">
        <v>51</v>
      </c>
      <c r="BA1660" t="s">
        <v>52</v>
      </c>
    </row>
    <row r="1661" spans="1:67" x14ac:dyDescent="0.2">
      <c r="A1661" t="s">
        <v>5920</v>
      </c>
      <c r="B1661" t="s">
        <v>1588</v>
      </c>
      <c r="C1661" t="s">
        <v>6120</v>
      </c>
      <c r="D1661" t="s">
        <v>6121</v>
      </c>
      <c r="E1661" t="s">
        <v>6122</v>
      </c>
      <c r="F1661" t="s">
        <v>118</v>
      </c>
      <c r="G1661" t="str">
        <f>HYPERLINK("https://www.youtube.com/watch?v=2R9wzzd0v-I&amp;lc=UgzGsuGMPfvyameI7Lx4AaABAg")</f>
        <v>https://www.youtube.com/watch?v=2R9wzzd0v-I&amp;lc=UgzGsuGMPfvyameI7Lx4AaABAg</v>
      </c>
      <c r="H1661" t="s">
        <v>119</v>
      </c>
      <c r="I1661" t="s">
        <v>6123</v>
      </c>
      <c r="J1661" t="str">
        <f>HYPERLINK("https://www.youtube.com/channel/UCtW4ZOm3uj3CD1RYGqXSiDg")</f>
        <v>https://www.youtube.com/channel/UCtW4ZOm3uj3CD1RYGqXSiDg</v>
      </c>
      <c r="K1661">
        <v>1</v>
      </c>
      <c r="L1661" t="s">
        <v>121</v>
      </c>
      <c r="N1661" t="s">
        <v>248</v>
      </c>
      <c r="O1661" t="s">
        <v>6124</v>
      </c>
      <c r="P1661" t="str">
        <f>HYPERLINK("https://www.youtube.com/channel/UCuc7cX_1XqbvX9eY8ZMNW_Q")</f>
        <v>https://www.youtube.com/channel/UCuc7cX_1XqbvX9eY8ZMNW_Q</v>
      </c>
      <c r="Q1661">
        <v>57400</v>
      </c>
      <c r="R1661" t="s">
        <v>124</v>
      </c>
      <c r="S1661" t="s">
        <v>125</v>
      </c>
      <c r="W1661">
        <v>1</v>
      </c>
      <c r="X1661">
        <v>1</v>
      </c>
      <c r="AE1661">
        <v>0</v>
      </c>
      <c r="AM1661" t="s">
        <v>129</v>
      </c>
      <c r="AN1661" t="s">
        <v>130</v>
      </c>
      <c r="AP1661" t="s">
        <v>41</v>
      </c>
      <c r="AZ1661" t="s">
        <v>51</v>
      </c>
      <c r="BB1661" t="s">
        <v>53</v>
      </c>
    </row>
    <row r="1662" spans="1:67" x14ac:dyDescent="0.2">
      <c r="A1662" t="s">
        <v>5920</v>
      </c>
      <c r="B1662" t="s">
        <v>6125</v>
      </c>
      <c r="C1662" t="s">
        <v>6116</v>
      </c>
      <c r="D1662" t="s">
        <v>4431</v>
      </c>
      <c r="E1662" t="s">
        <v>6126</v>
      </c>
      <c r="F1662" t="s">
        <v>180</v>
      </c>
      <c r="G1662" t="str">
        <f>HYPERLINK("https://www.ozon.ru/context/detail/id/202443152/#60478328")</f>
        <v>https://www.ozon.ru/context/detail/id/202443152/#60478328</v>
      </c>
      <c r="H1662" t="s">
        <v>181</v>
      </c>
      <c r="I1662" t="s">
        <v>6127</v>
      </c>
      <c r="J1662" t="str">
        <f>HYPERLINK("https://www.ozon.ru/context/client_opinion/ClientGuid/3955b47f-390f-47f2-9955-da1ee9876903/")</f>
        <v>https://www.ozon.ru/context/client_opinion/ClientGuid/3955b47f-390f-47f2-9955-da1ee9876903/</v>
      </c>
      <c r="L1662" t="s">
        <v>121</v>
      </c>
      <c r="N1662" t="s">
        <v>183</v>
      </c>
      <c r="O1662" t="s">
        <v>4431</v>
      </c>
      <c r="P1662" t="str">
        <f>HYPERLINK("https://www.ozon.ru/context/detail/id/202443152/")</f>
        <v>https://www.ozon.ru/context/detail/id/202443152/</v>
      </c>
      <c r="R1662" t="s">
        <v>184</v>
      </c>
      <c r="S1662" t="s">
        <v>125</v>
      </c>
      <c r="W1662">
        <v>0</v>
      </c>
      <c r="X1662">
        <v>0</v>
      </c>
      <c r="AH1662">
        <v>5</v>
      </c>
      <c r="AM1662" t="s">
        <v>129</v>
      </c>
      <c r="AN1662" t="s">
        <v>130</v>
      </c>
      <c r="AP1662" t="s">
        <v>41</v>
      </c>
      <c r="AW1662" t="s">
        <v>48</v>
      </c>
      <c r="AY1662" t="s">
        <v>50</v>
      </c>
      <c r="AZ1662" t="s">
        <v>51</v>
      </c>
      <c r="BA1662" t="s">
        <v>52</v>
      </c>
      <c r="BM1662" t="s">
        <v>64</v>
      </c>
    </row>
    <row r="1663" spans="1:67" x14ac:dyDescent="0.2">
      <c r="A1663" t="s">
        <v>5920</v>
      </c>
      <c r="B1663" t="s">
        <v>5735</v>
      </c>
      <c r="C1663" t="s">
        <v>6128</v>
      </c>
      <c r="D1663" t="s">
        <v>5698</v>
      </c>
      <c r="E1663" t="s">
        <v>6129</v>
      </c>
      <c r="F1663" t="s">
        <v>118</v>
      </c>
      <c r="G1663" t="str">
        <f>HYPERLINK("https://vk.com/wall-177094528_474971?reply=475012")</f>
        <v>https://vk.com/wall-177094528_474971?reply=475012</v>
      </c>
      <c r="H1663" t="s">
        <v>228</v>
      </c>
      <c r="I1663" t="s">
        <v>6130</v>
      </c>
      <c r="J1663" t="str">
        <f>HYPERLINK("http://vk.com/id8364598")</f>
        <v>http://vk.com/id8364598</v>
      </c>
      <c r="K1663">
        <v>455</v>
      </c>
      <c r="L1663" t="s">
        <v>151</v>
      </c>
      <c r="N1663" t="s">
        <v>122</v>
      </c>
      <c r="O1663" t="s">
        <v>5701</v>
      </c>
      <c r="P1663" t="str">
        <f>HYPERLINK("http://vk.com/club177094528")</f>
        <v>http://vk.com/club177094528</v>
      </c>
      <c r="Q1663">
        <v>14826</v>
      </c>
      <c r="R1663" t="s">
        <v>124</v>
      </c>
      <c r="AM1663" t="s">
        <v>129</v>
      </c>
      <c r="AN1663" t="s">
        <v>130</v>
      </c>
      <c r="AP1663" t="s">
        <v>41</v>
      </c>
      <c r="AX1663" t="s">
        <v>49</v>
      </c>
      <c r="AY1663" t="s">
        <v>50</v>
      </c>
      <c r="AZ1663" t="s">
        <v>51</v>
      </c>
      <c r="BA1663" t="s">
        <v>52</v>
      </c>
    </row>
    <row r="1664" spans="1:67" x14ac:dyDescent="0.2">
      <c r="A1664" t="s">
        <v>5920</v>
      </c>
      <c r="B1664" t="s">
        <v>4335</v>
      </c>
      <c r="C1664" t="s">
        <v>6067</v>
      </c>
      <c r="D1664" t="s">
        <v>6131</v>
      </c>
      <c r="E1664" t="s">
        <v>6132</v>
      </c>
      <c r="F1664" t="s">
        <v>118</v>
      </c>
      <c r="G1664" t="str">
        <f>HYPERLINK("https://ok.ru/group/53977235980306/topic/153716528977938#MTYyNjY5MzEwNjQxNzotMTE4NzU6MTYyNjY5MzEwNjQxNzoxNTM3MTY1Mjg5Nzc5Mzg6MQ==")</f>
        <v>https://ok.ru/group/53977235980306/topic/153716528977938#MTYyNjY5MzEwNjQxNzotMTE4NzU6MTYyNjY5MzEwNjQxNzoxNTM3MTY1Mjg5Nzc5Mzg6MQ==</v>
      </c>
      <c r="H1664" t="s">
        <v>181</v>
      </c>
      <c r="I1664" t="s">
        <v>6133</v>
      </c>
      <c r="J1664" t="str">
        <f>HYPERLINK("https://ok.ru/profile/483345592322")</f>
        <v>https://ok.ru/profile/483345592322</v>
      </c>
      <c r="K1664">
        <v>218</v>
      </c>
      <c r="L1664" t="s">
        <v>151</v>
      </c>
      <c r="M1664">
        <v>31</v>
      </c>
      <c r="N1664" t="s">
        <v>347</v>
      </c>
      <c r="O1664" t="s">
        <v>6134</v>
      </c>
      <c r="P1664" t="str">
        <f>HYPERLINK("https://ok.ru/group/53977235980306")</f>
        <v>https://ok.ru/group/53977235980306</v>
      </c>
      <c r="Q1664">
        <v>55391</v>
      </c>
      <c r="R1664" t="s">
        <v>124</v>
      </c>
      <c r="S1664" t="s">
        <v>125</v>
      </c>
      <c r="T1664" t="s">
        <v>627</v>
      </c>
      <c r="U1664" t="s">
        <v>6135</v>
      </c>
      <c r="W1664">
        <v>0</v>
      </c>
      <c r="X1664">
        <v>0</v>
      </c>
      <c r="AM1664" t="s">
        <v>129</v>
      </c>
      <c r="AN1664" t="s">
        <v>130</v>
      </c>
      <c r="AP1664" t="s">
        <v>41</v>
      </c>
      <c r="AU1664" t="s">
        <v>46</v>
      </c>
      <c r="AW1664" t="s">
        <v>48</v>
      </c>
      <c r="AZ1664" t="s">
        <v>51</v>
      </c>
      <c r="BA1664" t="s">
        <v>52</v>
      </c>
    </row>
    <row r="1665" spans="1:69" x14ac:dyDescent="0.2">
      <c r="A1665" t="s">
        <v>5920</v>
      </c>
      <c r="B1665" t="s">
        <v>2064</v>
      </c>
      <c r="C1665" t="s">
        <v>6136</v>
      </c>
      <c r="D1665" t="s">
        <v>5461</v>
      </c>
      <c r="E1665" t="s">
        <v>6137</v>
      </c>
      <c r="F1665" t="s">
        <v>118</v>
      </c>
      <c r="G1665" t="str">
        <f>HYPERLINK("https://vk.com/wall-22935147_368066?reply=368471")</f>
        <v>https://vk.com/wall-22935147_368066?reply=368471</v>
      </c>
      <c r="H1665" t="s">
        <v>228</v>
      </c>
      <c r="I1665" t="s">
        <v>5110</v>
      </c>
      <c r="J1665" t="str">
        <f>HYPERLINK("http://vk.com/id521162897")</f>
        <v>http://vk.com/id521162897</v>
      </c>
      <c r="L1665" t="s">
        <v>121</v>
      </c>
      <c r="N1665" t="s">
        <v>122</v>
      </c>
      <c r="O1665" t="s">
        <v>1093</v>
      </c>
      <c r="P1665" t="str">
        <f>HYPERLINK("http://vk.com/club22935147")</f>
        <v>http://vk.com/club22935147</v>
      </c>
      <c r="Q1665">
        <v>8943</v>
      </c>
      <c r="R1665" t="s">
        <v>124</v>
      </c>
      <c r="S1665" t="s">
        <v>125</v>
      </c>
      <c r="T1665" t="s">
        <v>169</v>
      </c>
      <c r="U1665" t="s">
        <v>169</v>
      </c>
      <c r="W1665">
        <v>0</v>
      </c>
      <c r="X1665">
        <v>0</v>
      </c>
      <c r="AM1665" t="s">
        <v>129</v>
      </c>
      <c r="AN1665" t="s">
        <v>130</v>
      </c>
      <c r="AP1665" t="s">
        <v>41</v>
      </c>
      <c r="AU1665" t="s">
        <v>46</v>
      </c>
      <c r="AZ1665" t="s">
        <v>51</v>
      </c>
      <c r="BA1665" t="s">
        <v>52</v>
      </c>
    </row>
    <row r="1666" spans="1:69" x14ac:dyDescent="0.2">
      <c r="A1666" t="s">
        <v>5920</v>
      </c>
      <c r="B1666" t="s">
        <v>474</v>
      </c>
      <c r="C1666" t="s">
        <v>6041</v>
      </c>
      <c r="D1666" t="s">
        <v>6138</v>
      </c>
      <c r="E1666" t="s">
        <v>6139</v>
      </c>
      <c r="F1666" t="s">
        <v>180</v>
      </c>
      <c r="G1666" t="str">
        <f>HYPERLINK("https://www.wildberries.ru/catalog/28143903/detail.aspx?targetUrl=ES#Comments")</f>
        <v>https://www.wildberries.ru/catalog/28143903/detail.aspx?targetUrl=ES#Comments</v>
      </c>
      <c r="H1666" t="s">
        <v>181</v>
      </c>
      <c r="I1666" t="s">
        <v>2198</v>
      </c>
      <c r="J1666" t="str">
        <f>HYPERLINK("https://www.wildberries.ru/profile/w7TDssOkw7PCu8KwwrnCuMK1wrLCucK3wrQ=")</f>
        <v>https://www.wildberries.ru/profile/w7TDssOkw7PCu8KwwrnCuMK1wrLCucK3wrQ=</v>
      </c>
      <c r="L1666" t="s">
        <v>151</v>
      </c>
      <c r="N1666" t="s">
        <v>534</v>
      </c>
      <c r="O1666" t="s">
        <v>6138</v>
      </c>
      <c r="P1666" t="str">
        <f>HYPERLINK("https://www.wildberries.ru/catalog/20660402/detail.aspx")</f>
        <v>https://www.wildberries.ru/catalog/20660402/detail.aspx</v>
      </c>
      <c r="R1666" t="s">
        <v>184</v>
      </c>
      <c r="S1666" t="s">
        <v>125</v>
      </c>
      <c r="W1666">
        <v>0</v>
      </c>
      <c r="X1666">
        <v>0</v>
      </c>
      <c r="AH1666">
        <v>5</v>
      </c>
      <c r="AM1666" t="s">
        <v>129</v>
      </c>
      <c r="AN1666" t="s">
        <v>130</v>
      </c>
      <c r="AP1666" t="s">
        <v>41</v>
      </c>
      <c r="AZ1666" t="s">
        <v>51</v>
      </c>
      <c r="BA1666" t="s">
        <v>52</v>
      </c>
      <c r="BK1666" t="s">
        <v>62</v>
      </c>
      <c r="BL1666" t="s">
        <v>63</v>
      </c>
    </row>
    <row r="1667" spans="1:69" x14ac:dyDescent="0.2">
      <c r="A1667" t="s">
        <v>5920</v>
      </c>
      <c r="B1667" t="s">
        <v>2621</v>
      </c>
      <c r="C1667" t="s">
        <v>6140</v>
      </c>
      <c r="D1667" t="s">
        <v>204</v>
      </c>
      <c r="E1667" t="s">
        <v>6141</v>
      </c>
      <c r="F1667" t="s">
        <v>180</v>
      </c>
      <c r="G1667" t="str">
        <f>HYPERLINK("https://play.google.com/store/apps/details?id=ru.iflex.android.a3colortv&amp;reviewId=gp:AOqpTOHVhr7ERbdglMX0RJcZ6v3NDs2cAEwRLG1TbLqQdmO7Ry1XxKZor9MdgBjluyaG_V_0TGhGt89W9pb8eg")</f>
        <v>https://play.google.com/store/apps/details?id=ru.iflex.android.a3colortv&amp;reviewId=gp:AOqpTOHVhr7ERbdglMX0RJcZ6v3NDs2cAEwRLG1TbLqQdmO7Ry1XxKZor9MdgBjluyaG_V_0TGhGt89W9pb8eg</v>
      </c>
      <c r="H1667" t="s">
        <v>181</v>
      </c>
      <c r="I1667" t="s">
        <v>6142</v>
      </c>
      <c r="J1667" t="str">
        <f>HYPERLINK("https://plus.google.com/107461163568842026968")</f>
        <v>https://plus.google.com/107461163568842026968</v>
      </c>
      <c r="N1667" t="s">
        <v>207</v>
      </c>
      <c r="O1667" t="s">
        <v>204</v>
      </c>
      <c r="P1667" t="str">
        <f>HYPERLINK("https://play.google.com/store/apps/details?id=ru.iflex.android.a3colortv&amp;hl=ru")</f>
        <v>https://play.google.com/store/apps/details?id=ru.iflex.android.a3colortv&amp;hl=ru</v>
      </c>
      <c r="R1667" t="s">
        <v>184</v>
      </c>
      <c r="S1667" t="s">
        <v>125</v>
      </c>
      <c r="W1667">
        <v>0</v>
      </c>
      <c r="X1667">
        <v>0</v>
      </c>
      <c r="AH1667">
        <v>5</v>
      </c>
      <c r="AM1667" t="s">
        <v>129</v>
      </c>
      <c r="AN1667" t="s">
        <v>130</v>
      </c>
      <c r="AP1667" t="s">
        <v>41</v>
      </c>
      <c r="AZ1667" t="s">
        <v>51</v>
      </c>
      <c r="BA1667" t="s">
        <v>52</v>
      </c>
      <c r="BQ1667" t="s">
        <v>68</v>
      </c>
    </row>
    <row r="1668" spans="1:69" x14ac:dyDescent="0.2">
      <c r="A1668" t="s">
        <v>5920</v>
      </c>
      <c r="B1668" t="s">
        <v>2094</v>
      </c>
      <c r="C1668" t="s">
        <v>6143</v>
      </c>
      <c r="D1668" t="s">
        <v>6144</v>
      </c>
      <c r="E1668" t="s">
        <v>6145</v>
      </c>
      <c r="F1668" t="s">
        <v>118</v>
      </c>
      <c r="G1668" t="str">
        <f>HYPERLINK("https://telegram.me/edemtvhelpchat/82206")</f>
        <v>https://telegram.me/edemtvhelpchat/82206</v>
      </c>
      <c r="H1668" t="s">
        <v>228</v>
      </c>
      <c r="I1668" t="s">
        <v>6146</v>
      </c>
      <c r="J1668" t="str">
        <f>HYPERLINK("https://telegram.me/stanislav1200")</f>
        <v>https://telegram.me/stanislav1200</v>
      </c>
      <c r="L1668" t="s">
        <v>121</v>
      </c>
      <c r="N1668" t="s">
        <v>143</v>
      </c>
      <c r="O1668" t="s">
        <v>6147</v>
      </c>
      <c r="P1668" t="str">
        <f>HYPERLINK("https://telegram.me/edemtvhelpchat")</f>
        <v>https://telegram.me/edemtvhelpchat</v>
      </c>
      <c r="Q1668">
        <v>3673</v>
      </c>
      <c r="R1668" t="s">
        <v>145</v>
      </c>
      <c r="AM1668" t="s">
        <v>129</v>
      </c>
      <c r="AN1668" t="s">
        <v>130</v>
      </c>
      <c r="AP1668" t="s">
        <v>41</v>
      </c>
      <c r="AU1668" t="s">
        <v>46</v>
      </c>
      <c r="AZ1668" t="s">
        <v>51</v>
      </c>
      <c r="BA1668" t="s">
        <v>52</v>
      </c>
    </row>
    <row r="1669" spans="1:69" x14ac:dyDescent="0.2">
      <c r="A1669" t="s">
        <v>5920</v>
      </c>
      <c r="B1669" t="s">
        <v>513</v>
      </c>
      <c r="C1669" t="s">
        <v>6148</v>
      </c>
      <c r="D1669" t="s">
        <v>4094</v>
      </c>
      <c r="E1669" t="s">
        <v>6149</v>
      </c>
      <c r="F1669" t="s">
        <v>118</v>
      </c>
      <c r="G1669" t="str">
        <f>HYPERLINK("https://www.youtube.com/watch?v=XCtxDrX5LP0&amp;lc=UgxE8LFU2gy95fHMhn94AaABAg")</f>
        <v>https://www.youtube.com/watch?v=XCtxDrX5LP0&amp;lc=UgxE8LFU2gy95fHMhn94AaABAg</v>
      </c>
      <c r="H1669" t="s">
        <v>119</v>
      </c>
      <c r="I1669" t="s">
        <v>6150</v>
      </c>
      <c r="J1669" t="str">
        <f>HYPERLINK("https://www.youtube.com/channel/UCmhxiyat-2WyY-GDb0T2UbA")</f>
        <v>https://www.youtube.com/channel/UCmhxiyat-2WyY-GDb0T2UbA</v>
      </c>
      <c r="K1669">
        <v>0</v>
      </c>
      <c r="L1669" t="s">
        <v>151</v>
      </c>
      <c r="N1669" t="s">
        <v>248</v>
      </c>
      <c r="O1669" t="s">
        <v>4096</v>
      </c>
      <c r="P1669" t="str">
        <f>HYPERLINK("https://www.youtube.com/channel/UCS_hQzqKW9msSt87cX24c8Q")</f>
        <v>https://www.youtube.com/channel/UCS_hQzqKW9msSt87cX24c8Q</v>
      </c>
      <c r="Q1669">
        <v>15600</v>
      </c>
      <c r="R1669" t="s">
        <v>124</v>
      </c>
      <c r="S1669" t="s">
        <v>125</v>
      </c>
      <c r="W1669">
        <v>0</v>
      </c>
      <c r="X1669">
        <v>0</v>
      </c>
      <c r="AE1669">
        <v>1</v>
      </c>
      <c r="AM1669" t="s">
        <v>129</v>
      </c>
      <c r="AN1669" t="s">
        <v>130</v>
      </c>
      <c r="AP1669" t="s">
        <v>41</v>
      </c>
      <c r="AT1669" t="s">
        <v>45</v>
      </c>
      <c r="AZ1669" t="s">
        <v>51</v>
      </c>
      <c r="BA1669" t="s">
        <v>52</v>
      </c>
    </row>
    <row r="1670" spans="1:69" x14ac:dyDescent="0.2">
      <c r="A1670" t="s">
        <v>5920</v>
      </c>
      <c r="B1670" t="s">
        <v>2646</v>
      </c>
      <c r="C1670" t="s">
        <v>6151</v>
      </c>
      <c r="D1670" t="s">
        <v>2949</v>
      </c>
      <c r="E1670" t="s">
        <v>6152</v>
      </c>
      <c r="F1670" t="s">
        <v>180</v>
      </c>
      <c r="G1670" t="str">
        <f>HYPERLINK("https://www.ozon.ru/context/detail/id/242437615/#60456103")</f>
        <v>https://www.ozon.ru/context/detail/id/242437615/#60456103</v>
      </c>
      <c r="H1670" t="s">
        <v>119</v>
      </c>
      <c r="I1670" t="s">
        <v>6153</v>
      </c>
      <c r="J1670" t="str">
        <f>HYPERLINK("https://www.ozon.ru/context/client_opinion/ClientGuid/afae2d0b-8b21-4f30-b506-3303b0363df0/")</f>
        <v>https://www.ozon.ru/context/client_opinion/ClientGuid/afae2d0b-8b21-4f30-b506-3303b0363df0/</v>
      </c>
      <c r="L1670" t="s">
        <v>151</v>
      </c>
      <c r="N1670" t="s">
        <v>183</v>
      </c>
      <c r="O1670" t="s">
        <v>2949</v>
      </c>
      <c r="P1670" t="str">
        <f>HYPERLINK("https://www.ozon.ru/context/detail/id/242437615/")</f>
        <v>https://www.ozon.ru/context/detail/id/242437615/</v>
      </c>
      <c r="R1670" t="s">
        <v>184</v>
      </c>
      <c r="S1670" t="s">
        <v>125</v>
      </c>
      <c r="W1670">
        <v>0</v>
      </c>
      <c r="X1670">
        <v>0</v>
      </c>
      <c r="AH1670">
        <v>2</v>
      </c>
      <c r="AM1670" t="s">
        <v>129</v>
      </c>
      <c r="AN1670" t="s">
        <v>130</v>
      </c>
      <c r="AP1670" t="s">
        <v>41</v>
      </c>
      <c r="AT1670" t="s">
        <v>45</v>
      </c>
      <c r="AW1670" t="s">
        <v>48</v>
      </c>
      <c r="AZ1670" t="s">
        <v>51</v>
      </c>
      <c r="BA1670" t="s">
        <v>52</v>
      </c>
      <c r="BL1670" t="s">
        <v>63</v>
      </c>
    </row>
    <row r="1671" spans="1:69" x14ac:dyDescent="0.2">
      <c r="A1671" t="s">
        <v>5920</v>
      </c>
      <c r="B1671" t="s">
        <v>1633</v>
      </c>
      <c r="C1671" t="s">
        <v>6154</v>
      </c>
      <c r="D1671" t="s">
        <v>129</v>
      </c>
      <c r="E1671" t="s">
        <v>6155</v>
      </c>
      <c r="F1671" t="s">
        <v>180</v>
      </c>
      <c r="G1671" t="str">
        <f>HYPERLINK("https://telegram.me/TECHNOZON_TELEGRAM/342014")</f>
        <v>https://telegram.me/TECHNOZON_TELEGRAM/342014</v>
      </c>
      <c r="H1671" t="s">
        <v>228</v>
      </c>
      <c r="I1671" t="s">
        <v>5190</v>
      </c>
      <c r="J1671" t="str">
        <f>HYPERLINK("https://telegram.me/nozh72")</f>
        <v>https://telegram.me/nozh72</v>
      </c>
      <c r="N1671" t="s">
        <v>143</v>
      </c>
      <c r="O1671" t="s">
        <v>5185</v>
      </c>
      <c r="P1671" t="str">
        <f>HYPERLINK("https://telegram.me/technozon_telegram")</f>
        <v>https://telegram.me/technozon_telegram</v>
      </c>
      <c r="Q1671">
        <v>8577</v>
      </c>
      <c r="R1671" t="s">
        <v>145</v>
      </c>
      <c r="AM1671" t="s">
        <v>129</v>
      </c>
      <c r="AN1671" t="s">
        <v>130</v>
      </c>
      <c r="AP1671" t="s">
        <v>41</v>
      </c>
      <c r="AU1671" t="s">
        <v>46</v>
      </c>
      <c r="AY1671" t="s">
        <v>50</v>
      </c>
      <c r="AZ1671" t="s">
        <v>51</v>
      </c>
      <c r="BA1671" t="s">
        <v>52</v>
      </c>
    </row>
    <row r="1672" spans="1:69" x14ac:dyDescent="0.2">
      <c r="A1672" t="s">
        <v>5920</v>
      </c>
      <c r="B1672" t="s">
        <v>1641</v>
      </c>
      <c r="C1672" t="s">
        <v>6156</v>
      </c>
      <c r="D1672" t="s">
        <v>6157</v>
      </c>
      <c r="E1672" t="s">
        <v>6158</v>
      </c>
      <c r="F1672" t="s">
        <v>180</v>
      </c>
      <c r="G1672" t="str">
        <f>HYPERLINK("https://www.ozon.ru/context/detail/id/238848221/#60449357")</f>
        <v>https://www.ozon.ru/context/detail/id/238848221/#60449357</v>
      </c>
      <c r="H1672" t="s">
        <v>181</v>
      </c>
      <c r="I1672" t="s">
        <v>6159</v>
      </c>
      <c r="J1672" t="str">
        <f>HYPERLINK("https://www.ozon.ru/context/client_opinion/ClientGuid/2546fdf4-d42d-4983-a639-80b5b3628f76/")</f>
        <v>https://www.ozon.ru/context/client_opinion/ClientGuid/2546fdf4-d42d-4983-a639-80b5b3628f76/</v>
      </c>
      <c r="L1672" t="s">
        <v>121</v>
      </c>
      <c r="N1672" t="s">
        <v>183</v>
      </c>
      <c r="O1672" t="s">
        <v>6157</v>
      </c>
      <c r="P1672" t="str">
        <f>HYPERLINK("https://www.ozon.ru/context/detail/id/238848221/")</f>
        <v>https://www.ozon.ru/context/detail/id/238848221/</v>
      </c>
      <c r="R1672" t="s">
        <v>184</v>
      </c>
      <c r="S1672" t="s">
        <v>125</v>
      </c>
      <c r="W1672">
        <v>0</v>
      </c>
      <c r="X1672">
        <v>0</v>
      </c>
      <c r="AH1672">
        <v>5</v>
      </c>
      <c r="AM1672" t="s">
        <v>129</v>
      </c>
      <c r="AN1672" t="s">
        <v>130</v>
      </c>
      <c r="AP1672" t="s">
        <v>41</v>
      </c>
      <c r="AT1672" t="s">
        <v>45</v>
      </c>
      <c r="AW1672" t="s">
        <v>48</v>
      </c>
      <c r="AZ1672" t="s">
        <v>51</v>
      </c>
      <c r="BD1672" t="s">
        <v>55</v>
      </c>
    </row>
    <row r="1673" spans="1:69" x14ac:dyDescent="0.2">
      <c r="A1673" t="s">
        <v>5920</v>
      </c>
      <c r="B1673" t="s">
        <v>2693</v>
      </c>
      <c r="C1673" t="s">
        <v>6160</v>
      </c>
      <c r="D1673" t="s">
        <v>6161</v>
      </c>
      <c r="E1673" t="s">
        <v>6162</v>
      </c>
      <c r="F1673" t="s">
        <v>118</v>
      </c>
      <c r="G1673" t="str">
        <f>HYPERLINK("https://vk.com/wall-22935147_368463?reply=368470")</f>
        <v>https://vk.com/wall-22935147_368463?reply=368470</v>
      </c>
      <c r="H1673" t="s">
        <v>181</v>
      </c>
      <c r="I1673" t="s">
        <v>6163</v>
      </c>
      <c r="J1673" t="str">
        <f>HYPERLINK("http://vk.com/id213675009")</f>
        <v>http://vk.com/id213675009</v>
      </c>
      <c r="K1673">
        <v>220</v>
      </c>
      <c r="L1673" t="s">
        <v>151</v>
      </c>
      <c r="N1673" t="s">
        <v>122</v>
      </c>
      <c r="O1673" t="s">
        <v>1093</v>
      </c>
      <c r="P1673" t="str">
        <f>HYPERLINK("http://vk.com/club22935147")</f>
        <v>http://vk.com/club22935147</v>
      </c>
      <c r="Q1673">
        <v>8943</v>
      </c>
      <c r="R1673" t="s">
        <v>124</v>
      </c>
      <c r="S1673" t="s">
        <v>125</v>
      </c>
      <c r="T1673" t="s">
        <v>137</v>
      </c>
      <c r="U1673" t="s">
        <v>137</v>
      </c>
      <c r="W1673">
        <v>0</v>
      </c>
      <c r="X1673">
        <v>0</v>
      </c>
      <c r="AM1673" t="s">
        <v>129</v>
      </c>
      <c r="AN1673" t="s">
        <v>130</v>
      </c>
      <c r="AP1673" t="s">
        <v>41</v>
      </c>
      <c r="AU1673" t="s">
        <v>46</v>
      </c>
      <c r="AZ1673" t="s">
        <v>51</v>
      </c>
      <c r="BA1673" t="s">
        <v>52</v>
      </c>
    </row>
    <row r="1674" spans="1:69" x14ac:dyDescent="0.2">
      <c r="A1674" t="s">
        <v>5920</v>
      </c>
      <c r="B1674" t="s">
        <v>6164</v>
      </c>
      <c r="C1674" t="s">
        <v>6165</v>
      </c>
      <c r="D1674" t="s">
        <v>129</v>
      </c>
      <c r="E1674" t="s">
        <v>6166</v>
      </c>
      <c r="F1674" t="s">
        <v>180</v>
      </c>
      <c r="G1674" t="str">
        <f>HYPERLINK("https://vk.com/wall-22935147_368465")</f>
        <v>https://vk.com/wall-22935147_368465</v>
      </c>
      <c r="H1674" t="s">
        <v>119</v>
      </c>
      <c r="I1674" t="s">
        <v>6167</v>
      </c>
      <c r="J1674" t="str">
        <f>HYPERLINK("http://vk.com/id527551904")</f>
        <v>http://vk.com/id527551904</v>
      </c>
      <c r="L1674" t="s">
        <v>121</v>
      </c>
      <c r="M1674">
        <v>35</v>
      </c>
      <c r="N1674" t="s">
        <v>122</v>
      </c>
      <c r="O1674" t="s">
        <v>1093</v>
      </c>
      <c r="P1674" t="str">
        <f>HYPERLINK("http://vk.com/club22935147")</f>
        <v>http://vk.com/club22935147</v>
      </c>
      <c r="Q1674">
        <v>8943</v>
      </c>
      <c r="R1674" t="s">
        <v>124</v>
      </c>
      <c r="S1674" t="s">
        <v>125</v>
      </c>
      <c r="T1674" t="s">
        <v>169</v>
      </c>
      <c r="U1674" t="s">
        <v>169</v>
      </c>
      <c r="W1674">
        <v>9</v>
      </c>
      <c r="X1674">
        <v>9</v>
      </c>
      <c r="AE1674">
        <v>3</v>
      </c>
      <c r="AF1674">
        <v>1</v>
      </c>
      <c r="AG1674">
        <v>1732</v>
      </c>
      <c r="AM1674" t="s">
        <v>129</v>
      </c>
      <c r="AN1674" t="s">
        <v>130</v>
      </c>
      <c r="AP1674" t="s">
        <v>41</v>
      </c>
      <c r="AU1674" t="s">
        <v>46</v>
      </c>
      <c r="AY1674" t="s">
        <v>50</v>
      </c>
      <c r="AZ1674" t="s">
        <v>51</v>
      </c>
      <c r="BA1674" t="s">
        <v>52</v>
      </c>
    </row>
    <row r="1675" spans="1:69" x14ac:dyDescent="0.2">
      <c r="A1675" t="s">
        <v>5920</v>
      </c>
      <c r="B1675" t="s">
        <v>603</v>
      </c>
      <c r="C1675" t="s">
        <v>6168</v>
      </c>
      <c r="D1675" t="s">
        <v>6169</v>
      </c>
      <c r="E1675" t="s">
        <v>6170</v>
      </c>
      <c r="F1675" t="s">
        <v>118</v>
      </c>
      <c r="G1675" t="str">
        <f>HYPERLINK("https://telegram.me/commSahaGlens/34406")</f>
        <v>https://telegram.me/commSahaGlens/34406</v>
      </c>
      <c r="H1675" t="s">
        <v>228</v>
      </c>
      <c r="I1675" t="s">
        <v>129</v>
      </c>
      <c r="J1675" t="str">
        <f>HYPERLINK("https://telegram.me/mando12004")</f>
        <v>https://telegram.me/mando12004</v>
      </c>
      <c r="N1675" t="s">
        <v>143</v>
      </c>
      <c r="O1675" t="s">
        <v>6171</v>
      </c>
      <c r="P1675" t="str">
        <f>HYPERLINK("https://telegram.me/commsahaglens")</f>
        <v>https://telegram.me/commsahaglens</v>
      </c>
      <c r="Q1675">
        <v>21</v>
      </c>
      <c r="R1675" t="s">
        <v>145</v>
      </c>
      <c r="AM1675" t="s">
        <v>129</v>
      </c>
      <c r="AN1675" t="s">
        <v>130</v>
      </c>
      <c r="AP1675" t="s">
        <v>41</v>
      </c>
      <c r="AZ1675" t="s">
        <v>51</v>
      </c>
      <c r="BA1675" t="s">
        <v>52</v>
      </c>
    </row>
    <row r="1676" spans="1:69" x14ac:dyDescent="0.2">
      <c r="A1676" t="s">
        <v>5920</v>
      </c>
      <c r="B1676" t="s">
        <v>3936</v>
      </c>
      <c r="C1676" t="s">
        <v>6172</v>
      </c>
      <c r="D1676" t="s">
        <v>6173</v>
      </c>
      <c r="E1676" t="s">
        <v>6174</v>
      </c>
      <c r="F1676" t="s">
        <v>180</v>
      </c>
      <c r="G1676" t="str">
        <f>HYPERLINK("https://4pda.to/forum/index.php?showtopic=1006075&amp;st=1380#entry108078279")</f>
        <v>https://4pda.to/forum/index.php?showtopic=1006075&amp;st=1380#entry108078279</v>
      </c>
      <c r="H1676" t="s">
        <v>119</v>
      </c>
      <c r="I1676" t="s">
        <v>6175</v>
      </c>
      <c r="J1676" t="str">
        <f>HYPERLINK("https://4pda.to/forum/index.php?showuser=3177456")</f>
        <v>https://4pda.to/forum/index.php?showuser=3177456</v>
      </c>
      <c r="N1676" t="s">
        <v>293</v>
      </c>
      <c r="O1676" t="s">
        <v>1695</v>
      </c>
      <c r="P1676" t="str">
        <f>HYPERLINK("https://4pda.to/forum/index.php?showforum=640")</f>
        <v>https://4pda.to/forum/index.php?showforum=640</v>
      </c>
      <c r="R1676" t="s">
        <v>295</v>
      </c>
      <c r="S1676" t="s">
        <v>125</v>
      </c>
      <c r="AM1676" t="s">
        <v>129</v>
      </c>
      <c r="AN1676" t="s">
        <v>130</v>
      </c>
      <c r="AP1676" t="s">
        <v>41</v>
      </c>
      <c r="AU1676" t="s">
        <v>46</v>
      </c>
      <c r="AZ1676" t="s">
        <v>51</v>
      </c>
      <c r="BA1676" t="s">
        <v>52</v>
      </c>
      <c r="BL1676" t="s">
        <v>63</v>
      </c>
    </row>
    <row r="1677" spans="1:69" x14ac:dyDescent="0.2">
      <c r="A1677" t="s">
        <v>5920</v>
      </c>
      <c r="B1677" t="s">
        <v>1749</v>
      </c>
      <c r="C1677" t="s">
        <v>6172</v>
      </c>
      <c r="D1677" t="s">
        <v>6173</v>
      </c>
      <c r="E1677" t="s">
        <v>6176</v>
      </c>
      <c r="F1677" t="s">
        <v>180</v>
      </c>
      <c r="G1677" t="str">
        <f>HYPERLINK("https://4pda.to/forum/index.php?showtopic=1006075&amp;st=1380#entry108078022")</f>
        <v>https://4pda.to/forum/index.php?showtopic=1006075&amp;st=1380#entry108078022</v>
      </c>
      <c r="H1677" t="s">
        <v>119</v>
      </c>
      <c r="I1677" t="s">
        <v>6175</v>
      </c>
      <c r="J1677" t="str">
        <f>HYPERLINK("https://4pda.to/forum/index.php?showuser=3177456")</f>
        <v>https://4pda.to/forum/index.php?showuser=3177456</v>
      </c>
      <c r="N1677" t="s">
        <v>293</v>
      </c>
      <c r="O1677" t="s">
        <v>1695</v>
      </c>
      <c r="P1677" t="str">
        <f>HYPERLINK("https://4pda.to/forum/index.php?showforum=640")</f>
        <v>https://4pda.to/forum/index.php?showforum=640</v>
      </c>
      <c r="R1677" t="s">
        <v>295</v>
      </c>
      <c r="S1677" t="s">
        <v>125</v>
      </c>
      <c r="AM1677" t="s">
        <v>129</v>
      </c>
      <c r="AN1677" t="s">
        <v>130</v>
      </c>
      <c r="AP1677" t="s">
        <v>41</v>
      </c>
      <c r="AZ1677" t="s">
        <v>51</v>
      </c>
      <c r="BA1677" t="s">
        <v>52</v>
      </c>
    </row>
    <row r="1678" spans="1:69" x14ac:dyDescent="0.2">
      <c r="A1678" t="s">
        <v>5920</v>
      </c>
      <c r="B1678" t="s">
        <v>6177</v>
      </c>
      <c r="C1678" t="s">
        <v>6172</v>
      </c>
      <c r="D1678" t="s">
        <v>6173</v>
      </c>
      <c r="E1678" t="s">
        <v>6178</v>
      </c>
      <c r="F1678" t="s">
        <v>180</v>
      </c>
      <c r="G1678" t="str">
        <f>HYPERLINK("https://4pda.to/forum/index.php?showtopic=1006075&amp;st=1380#entry108077980")</f>
        <v>https://4pda.to/forum/index.php?showtopic=1006075&amp;st=1380#entry108077980</v>
      </c>
      <c r="H1678" t="s">
        <v>119</v>
      </c>
      <c r="I1678" t="s">
        <v>6175</v>
      </c>
      <c r="J1678" t="str">
        <f>HYPERLINK("https://4pda.to/forum/index.php?showuser=3177456")</f>
        <v>https://4pda.to/forum/index.php?showuser=3177456</v>
      </c>
      <c r="N1678" t="s">
        <v>293</v>
      </c>
      <c r="O1678" t="s">
        <v>1695</v>
      </c>
      <c r="P1678" t="str">
        <f>HYPERLINK("https://4pda.to/forum/index.php?showforum=640")</f>
        <v>https://4pda.to/forum/index.php?showforum=640</v>
      </c>
      <c r="R1678" t="s">
        <v>295</v>
      </c>
      <c r="S1678" t="s">
        <v>125</v>
      </c>
      <c r="AM1678" t="s">
        <v>129</v>
      </c>
      <c r="AN1678" t="s">
        <v>130</v>
      </c>
      <c r="AP1678" t="s">
        <v>41</v>
      </c>
      <c r="AU1678" t="s">
        <v>46</v>
      </c>
      <c r="AZ1678" t="s">
        <v>51</v>
      </c>
      <c r="BA1678" t="s">
        <v>52</v>
      </c>
    </row>
    <row r="1679" spans="1:69" x14ac:dyDescent="0.2">
      <c r="A1679" t="s">
        <v>5920</v>
      </c>
      <c r="B1679" t="s">
        <v>3242</v>
      </c>
      <c r="C1679" t="s">
        <v>6179</v>
      </c>
      <c r="D1679" t="s">
        <v>6180</v>
      </c>
      <c r="E1679" t="s">
        <v>6181</v>
      </c>
      <c r="F1679" t="s">
        <v>118</v>
      </c>
      <c r="G1679" t="str">
        <f>HYPERLINK("https://vk.com/wall-76683303_448796?reply=448828&amp;thread=448807")</f>
        <v>https://vk.com/wall-76683303_448796?reply=448828&amp;thread=448807</v>
      </c>
      <c r="H1679" t="s">
        <v>181</v>
      </c>
      <c r="I1679" t="s">
        <v>6182</v>
      </c>
      <c r="J1679" t="str">
        <f>HYPERLINK("http://vk.com/id376838939")</f>
        <v>http://vk.com/id376838939</v>
      </c>
      <c r="K1679">
        <v>238</v>
      </c>
      <c r="L1679" t="s">
        <v>121</v>
      </c>
      <c r="N1679" t="s">
        <v>122</v>
      </c>
      <c r="O1679" t="s">
        <v>6183</v>
      </c>
      <c r="P1679" t="str">
        <f>HYPERLINK("http://vk.com/club76683303")</f>
        <v>http://vk.com/club76683303</v>
      </c>
      <c r="Q1679">
        <v>29653</v>
      </c>
      <c r="R1679" t="s">
        <v>124</v>
      </c>
      <c r="S1679" t="s">
        <v>125</v>
      </c>
      <c r="AM1679" t="s">
        <v>129</v>
      </c>
      <c r="AN1679" t="s">
        <v>130</v>
      </c>
      <c r="AP1679" t="s">
        <v>41</v>
      </c>
      <c r="AU1679" t="s">
        <v>46</v>
      </c>
      <c r="AX1679" t="s">
        <v>49</v>
      </c>
      <c r="AY1679" t="s">
        <v>50</v>
      </c>
      <c r="AZ1679" t="s">
        <v>51</v>
      </c>
      <c r="BA1679" t="s">
        <v>52</v>
      </c>
    </row>
    <row r="1680" spans="1:69" x14ac:dyDescent="0.2">
      <c r="A1680" t="s">
        <v>5920</v>
      </c>
      <c r="B1680" t="s">
        <v>3242</v>
      </c>
      <c r="C1680" t="s">
        <v>6172</v>
      </c>
      <c r="D1680" t="s">
        <v>6173</v>
      </c>
      <c r="E1680" t="s">
        <v>6184</v>
      </c>
      <c r="F1680" t="s">
        <v>180</v>
      </c>
      <c r="G1680" t="str">
        <f>HYPERLINK("https://4pda.to/forum/index.php?showtopic=1006075&amp;st=1380#entry108077829")</f>
        <v>https://4pda.to/forum/index.php?showtopic=1006075&amp;st=1380#entry108077829</v>
      </c>
      <c r="H1680" t="s">
        <v>119</v>
      </c>
      <c r="I1680" t="s">
        <v>6185</v>
      </c>
      <c r="J1680" t="str">
        <f>HYPERLINK("https://4pda.to/forum/index.php?showuser=7447457")</f>
        <v>https://4pda.to/forum/index.php?showuser=7447457</v>
      </c>
      <c r="N1680" t="s">
        <v>293</v>
      </c>
      <c r="O1680" t="s">
        <v>1695</v>
      </c>
      <c r="P1680" t="str">
        <f>HYPERLINK("https://4pda.to/forum/index.php?showforum=640")</f>
        <v>https://4pda.to/forum/index.php?showforum=640</v>
      </c>
      <c r="R1680" t="s">
        <v>295</v>
      </c>
      <c r="S1680" t="s">
        <v>125</v>
      </c>
      <c r="AM1680" t="s">
        <v>129</v>
      </c>
      <c r="AN1680" t="s">
        <v>130</v>
      </c>
      <c r="AP1680" t="s">
        <v>41</v>
      </c>
      <c r="AU1680" t="s">
        <v>46</v>
      </c>
      <c r="AZ1680" t="s">
        <v>51</v>
      </c>
      <c r="BA1680" t="s">
        <v>52</v>
      </c>
    </row>
    <row r="1681" spans="1:69" x14ac:dyDescent="0.2">
      <c r="A1681" t="s">
        <v>5920</v>
      </c>
      <c r="B1681" t="s">
        <v>1774</v>
      </c>
      <c r="C1681" t="s">
        <v>6041</v>
      </c>
      <c r="D1681" t="s">
        <v>3261</v>
      </c>
      <c r="E1681" t="s">
        <v>6186</v>
      </c>
      <c r="F1681" t="s">
        <v>180</v>
      </c>
      <c r="G1681" t="str">
        <f>HYPERLINK("https://www.wildberries.ru/catalog/5691258/detail.aspx?targetUrl=ES#Comments")</f>
        <v>https://www.wildberries.ru/catalog/5691258/detail.aspx?targetUrl=ES#Comments</v>
      </c>
      <c r="H1681" t="s">
        <v>181</v>
      </c>
      <c r="I1681" t="s">
        <v>6187</v>
      </c>
      <c r="J1681" t="str">
        <f>HYPERLINK("https://www.wildberries.ru/profile/w7TDssOkw7PCu8KzwrjCucKwwrTCucKywrU=")</f>
        <v>https://www.wildberries.ru/profile/w7TDssOkw7PCu8KzwrjCucKwwrTCucKywrU=</v>
      </c>
      <c r="L1681" t="s">
        <v>151</v>
      </c>
      <c r="N1681" t="s">
        <v>534</v>
      </c>
      <c r="O1681" t="s">
        <v>3261</v>
      </c>
      <c r="P1681" t="str">
        <f>HYPERLINK("https://www.wildberries.ru/catalog/4570035/detail.aspx")</f>
        <v>https://www.wildberries.ru/catalog/4570035/detail.aspx</v>
      </c>
      <c r="R1681" t="s">
        <v>184</v>
      </c>
      <c r="S1681" t="s">
        <v>125</v>
      </c>
      <c r="W1681">
        <v>0</v>
      </c>
      <c r="X1681">
        <v>0</v>
      </c>
      <c r="AH1681">
        <v>5</v>
      </c>
      <c r="AM1681" t="s">
        <v>129</v>
      </c>
      <c r="AN1681" t="s">
        <v>130</v>
      </c>
      <c r="AP1681" t="s">
        <v>41</v>
      </c>
      <c r="AZ1681" t="s">
        <v>51</v>
      </c>
      <c r="BA1681" t="s">
        <v>52</v>
      </c>
      <c r="BK1681" t="s">
        <v>62</v>
      </c>
      <c r="BL1681" t="s">
        <v>63</v>
      </c>
    </row>
    <row r="1682" spans="1:69" x14ac:dyDescent="0.2">
      <c r="A1682" t="s">
        <v>5920</v>
      </c>
      <c r="B1682" t="s">
        <v>6188</v>
      </c>
      <c r="C1682" t="s">
        <v>6189</v>
      </c>
      <c r="D1682" t="s">
        <v>6190</v>
      </c>
      <c r="E1682" t="s">
        <v>6191</v>
      </c>
      <c r="F1682" t="s">
        <v>180</v>
      </c>
      <c r="G1682" t="str">
        <f>HYPERLINK("https://www.ozon.ru/context/detail/id/168589899/#60387224")</f>
        <v>https://www.ozon.ru/context/detail/id/168589899/#60387224</v>
      </c>
      <c r="H1682" t="s">
        <v>181</v>
      </c>
      <c r="I1682" t="s">
        <v>6192</v>
      </c>
      <c r="J1682" t="str">
        <f>HYPERLINK("https://www.ozon.ru/context/client_opinion/ClientGuid/641d5bf7-f8f7-4c7b-9705-dbee7c0c72d5/")</f>
        <v>https://www.ozon.ru/context/client_opinion/ClientGuid/641d5bf7-f8f7-4c7b-9705-dbee7c0c72d5/</v>
      </c>
      <c r="L1682" t="s">
        <v>121</v>
      </c>
      <c r="N1682" t="s">
        <v>183</v>
      </c>
      <c r="O1682" t="s">
        <v>6190</v>
      </c>
      <c r="P1682" t="str">
        <f>HYPERLINK("https://www.ozon.ru/context/detail/id/168589899/")</f>
        <v>https://www.ozon.ru/context/detail/id/168589899/</v>
      </c>
      <c r="R1682" t="s">
        <v>184</v>
      </c>
      <c r="S1682" t="s">
        <v>125</v>
      </c>
      <c r="W1682">
        <v>0</v>
      </c>
      <c r="X1682">
        <v>0</v>
      </c>
      <c r="AH1682">
        <v>5</v>
      </c>
      <c r="AM1682" t="s">
        <v>129</v>
      </c>
      <c r="AN1682" t="s">
        <v>130</v>
      </c>
      <c r="AP1682" t="s">
        <v>41</v>
      </c>
      <c r="AW1682" t="s">
        <v>48</v>
      </c>
      <c r="AZ1682" t="s">
        <v>51</v>
      </c>
      <c r="BA1682" t="s">
        <v>52</v>
      </c>
      <c r="BL1682" t="s">
        <v>63</v>
      </c>
      <c r="BM1682" t="s">
        <v>64</v>
      </c>
    </row>
    <row r="1683" spans="1:69" x14ac:dyDescent="0.2">
      <c r="A1683" t="s">
        <v>5920</v>
      </c>
      <c r="B1683" t="s">
        <v>2187</v>
      </c>
      <c r="C1683" t="s">
        <v>6193</v>
      </c>
      <c r="D1683" t="s">
        <v>6194</v>
      </c>
      <c r="E1683" t="s">
        <v>6195</v>
      </c>
      <c r="F1683" t="s">
        <v>180</v>
      </c>
      <c r="G1683" t="str">
        <f>HYPERLINK("https://market.yandex.ru/product/1728766189/reviews?id=134819624")</f>
        <v>https://market.yandex.ru/product/1728766189/reviews?id=134819624</v>
      </c>
      <c r="H1683" t="s">
        <v>119</v>
      </c>
      <c r="I1683" t="s">
        <v>6196</v>
      </c>
      <c r="J1683" t="str">
        <f>HYPERLINK("https://market.yandex.ru/user/t7f9u2fzjv9cf4pdkg91jpzf8m/reviews")</f>
        <v>https://market.yandex.ru/user/t7f9u2fzjv9cf4pdkg91jpzf8m/reviews</v>
      </c>
      <c r="L1683" t="s">
        <v>121</v>
      </c>
      <c r="N1683" t="s">
        <v>611</v>
      </c>
      <c r="O1683" t="s">
        <v>6194</v>
      </c>
      <c r="P1683" t="str">
        <f>HYPERLINK("https://market.yandex.ru/product/1728766189")</f>
        <v>https://market.yandex.ru/product/1728766189</v>
      </c>
      <c r="R1683" t="s">
        <v>184</v>
      </c>
      <c r="S1683" t="s">
        <v>125</v>
      </c>
      <c r="T1683" t="s">
        <v>137</v>
      </c>
      <c r="U1683" t="s">
        <v>137</v>
      </c>
      <c r="W1683">
        <v>0</v>
      </c>
      <c r="X1683">
        <v>0</v>
      </c>
      <c r="AH1683">
        <v>4</v>
      </c>
      <c r="AM1683" t="s">
        <v>129</v>
      </c>
      <c r="AN1683" t="s">
        <v>130</v>
      </c>
      <c r="AP1683" t="s">
        <v>41</v>
      </c>
      <c r="AZ1683" t="s">
        <v>51</v>
      </c>
      <c r="BA1683" t="s">
        <v>52</v>
      </c>
      <c r="BL1683" t="s">
        <v>63</v>
      </c>
    </row>
    <row r="1684" spans="1:69" x14ac:dyDescent="0.2">
      <c r="A1684" t="s">
        <v>5920</v>
      </c>
      <c r="B1684" t="s">
        <v>6197</v>
      </c>
      <c r="C1684" t="s">
        <v>6198</v>
      </c>
      <c r="D1684" t="s">
        <v>6199</v>
      </c>
      <c r="E1684" t="s">
        <v>6200</v>
      </c>
      <c r="F1684" t="s">
        <v>118</v>
      </c>
      <c r="G1684" t="str">
        <f>HYPERLINK("https://vk.com/wall-785202_1084?reply=1085")</f>
        <v>https://vk.com/wall-785202_1084?reply=1085</v>
      </c>
      <c r="H1684" t="s">
        <v>181</v>
      </c>
      <c r="I1684" t="s">
        <v>6201</v>
      </c>
      <c r="J1684" t="str">
        <f>HYPERLINK("http://vk.com/id349669997")</f>
        <v>http://vk.com/id349669997</v>
      </c>
      <c r="K1684">
        <v>49</v>
      </c>
      <c r="L1684" t="s">
        <v>121</v>
      </c>
      <c r="M1684">
        <v>36</v>
      </c>
      <c r="N1684" t="s">
        <v>122</v>
      </c>
      <c r="O1684" t="s">
        <v>6202</v>
      </c>
      <c r="P1684" t="str">
        <f>HYPERLINK("http://vk.com/club785202")</f>
        <v>http://vk.com/club785202</v>
      </c>
      <c r="Q1684">
        <v>452</v>
      </c>
      <c r="R1684" t="s">
        <v>124</v>
      </c>
      <c r="S1684" t="s">
        <v>125</v>
      </c>
      <c r="T1684" t="s">
        <v>2521</v>
      </c>
      <c r="U1684" t="s">
        <v>2522</v>
      </c>
      <c r="AM1684" t="s">
        <v>129</v>
      </c>
      <c r="AN1684" t="s">
        <v>130</v>
      </c>
      <c r="AP1684" t="s">
        <v>41</v>
      </c>
      <c r="AZ1684" t="s">
        <v>51</v>
      </c>
      <c r="BA1684" t="s">
        <v>52</v>
      </c>
      <c r="BM1684" t="s">
        <v>64</v>
      </c>
    </row>
    <row r="1685" spans="1:69" x14ac:dyDescent="0.2">
      <c r="A1685" t="s">
        <v>5920</v>
      </c>
      <c r="B1685" t="s">
        <v>2217</v>
      </c>
      <c r="C1685" t="s">
        <v>6203</v>
      </c>
      <c r="D1685" t="s">
        <v>6204</v>
      </c>
      <c r="E1685" t="s">
        <v>6205</v>
      </c>
      <c r="F1685" t="s">
        <v>180</v>
      </c>
      <c r="G1685" t="str">
        <f>HYPERLINK("https://telesputnik.ru/forum/viewtopic.php?f=36&amp;t=38434&amp;start=8540#p2481555")</f>
        <v>https://telesputnik.ru/forum/viewtopic.php?f=36&amp;t=38434&amp;start=8540#p2481555</v>
      </c>
      <c r="H1685" t="s">
        <v>119</v>
      </c>
      <c r="I1685" t="s">
        <v>6206</v>
      </c>
      <c r="J1685" t="str">
        <f>HYPERLINK("https://telesputnik.ru/forum/memberlist.php?mode=viewprofile&amp;u=50330")</f>
        <v>https://telesputnik.ru/forum/memberlist.php?mode=viewprofile&amp;u=50330</v>
      </c>
      <c r="N1685" t="s">
        <v>335</v>
      </c>
      <c r="O1685" t="s">
        <v>336</v>
      </c>
      <c r="P1685" t="str">
        <f>HYPERLINK("https://telesputnik.ru/forum/viewforum.php?f=11")</f>
        <v>https://telesputnik.ru/forum/viewforum.php?f=11</v>
      </c>
      <c r="R1685" t="s">
        <v>295</v>
      </c>
      <c r="S1685" t="s">
        <v>125</v>
      </c>
      <c r="AM1685" t="s">
        <v>129</v>
      </c>
      <c r="AN1685" t="s">
        <v>130</v>
      </c>
      <c r="AP1685" t="s">
        <v>41</v>
      </c>
      <c r="AU1685" t="s">
        <v>46</v>
      </c>
      <c r="AZ1685" t="s">
        <v>51</v>
      </c>
      <c r="BA1685" t="s">
        <v>52</v>
      </c>
    </row>
    <row r="1686" spans="1:69" x14ac:dyDescent="0.2">
      <c r="A1686" t="s">
        <v>5920</v>
      </c>
      <c r="B1686" t="s">
        <v>6207</v>
      </c>
      <c r="C1686" t="s">
        <v>6208</v>
      </c>
      <c r="D1686" t="s">
        <v>175</v>
      </c>
      <c r="E1686" t="s">
        <v>6209</v>
      </c>
      <c r="F1686" t="s">
        <v>180</v>
      </c>
      <c r="G1686" t="str">
        <f>HYPERLINK("https://yandex.ru/maps/org/1930784358#XSjEEr9H0jxkGcZCXEnjy7tBmQ20eu")</f>
        <v>https://yandex.ru/maps/org/1930784358#XSjEEr9H0jxkGcZCXEnjy7tBmQ20eu</v>
      </c>
      <c r="H1686" t="s">
        <v>181</v>
      </c>
      <c r="I1686" t="s">
        <v>6210</v>
      </c>
      <c r="J1686" t="str">
        <f>HYPERLINK("https://yandex.ru/user/9e82mmbcd6td0980r60zfnpn6m")</f>
        <v>https://yandex.ru/user/9e82mmbcd6td0980r60zfnpn6m</v>
      </c>
      <c r="L1686" t="s">
        <v>121</v>
      </c>
      <c r="N1686" t="s">
        <v>236</v>
      </c>
      <c r="O1686" t="s">
        <v>175</v>
      </c>
      <c r="P1686" t="str">
        <f>HYPERLINK("https://yandex.ru/maps/org/1930784358")</f>
        <v>https://yandex.ru/maps/org/1930784358</v>
      </c>
      <c r="R1686" t="s">
        <v>184</v>
      </c>
      <c r="S1686" t="s">
        <v>125</v>
      </c>
      <c r="T1686" t="s">
        <v>3158</v>
      </c>
      <c r="U1686" t="s">
        <v>3159</v>
      </c>
      <c r="W1686">
        <v>0</v>
      </c>
      <c r="X1686">
        <v>0</v>
      </c>
      <c r="AH1686">
        <v>5</v>
      </c>
      <c r="AM1686" t="s">
        <v>129</v>
      </c>
      <c r="AN1686" t="s">
        <v>130</v>
      </c>
      <c r="AP1686" t="s">
        <v>41</v>
      </c>
      <c r="AX1686" t="s">
        <v>49</v>
      </c>
      <c r="AZ1686" t="s">
        <v>51</v>
      </c>
      <c r="BA1686" t="s">
        <v>52</v>
      </c>
    </row>
    <row r="1687" spans="1:69" x14ac:dyDescent="0.2">
      <c r="A1687" t="s">
        <v>5920</v>
      </c>
      <c r="B1687" t="s">
        <v>6211</v>
      </c>
      <c r="C1687" t="s">
        <v>6212</v>
      </c>
      <c r="D1687" t="s">
        <v>5922</v>
      </c>
      <c r="E1687" t="s">
        <v>6213</v>
      </c>
      <c r="F1687" t="s">
        <v>118</v>
      </c>
      <c r="G1687" t="str">
        <f>HYPERLINK("https://vk.com/wall-61101621_254705?reply=254710")</f>
        <v>https://vk.com/wall-61101621_254705?reply=254710</v>
      </c>
      <c r="H1687" t="s">
        <v>119</v>
      </c>
      <c r="I1687" t="s">
        <v>6214</v>
      </c>
      <c r="J1687" t="str">
        <f>HYPERLINK("http://vk.com/id90416769")</f>
        <v>http://vk.com/id90416769</v>
      </c>
      <c r="K1687">
        <v>74</v>
      </c>
      <c r="L1687" t="s">
        <v>121</v>
      </c>
      <c r="N1687" t="s">
        <v>122</v>
      </c>
      <c r="O1687" t="s">
        <v>160</v>
      </c>
      <c r="P1687" t="str">
        <f>HYPERLINK("http://vk.com/club61101621")</f>
        <v>http://vk.com/club61101621</v>
      </c>
      <c r="Q1687">
        <v>21119</v>
      </c>
      <c r="R1687" t="s">
        <v>124</v>
      </c>
      <c r="S1687" t="s">
        <v>1856</v>
      </c>
      <c r="T1687" t="s">
        <v>4012</v>
      </c>
      <c r="U1687" t="s">
        <v>4013</v>
      </c>
      <c r="W1687">
        <v>0</v>
      </c>
      <c r="X1687">
        <v>0</v>
      </c>
      <c r="AM1687" t="s">
        <v>129</v>
      </c>
      <c r="AN1687" t="s">
        <v>130</v>
      </c>
      <c r="AP1687" t="s">
        <v>41</v>
      </c>
      <c r="AZ1687" t="s">
        <v>51</v>
      </c>
      <c r="BB1687" t="s">
        <v>53</v>
      </c>
      <c r="BL1687" t="s">
        <v>63</v>
      </c>
      <c r="BO1687" t="s">
        <v>66</v>
      </c>
    </row>
    <row r="1688" spans="1:69" x14ac:dyDescent="0.2">
      <c r="A1688" t="s">
        <v>5920</v>
      </c>
      <c r="B1688" t="s">
        <v>6215</v>
      </c>
      <c r="C1688" t="s">
        <v>6216</v>
      </c>
      <c r="D1688" t="s">
        <v>1697</v>
      </c>
      <c r="E1688" t="s">
        <v>6217</v>
      </c>
      <c r="F1688" t="s">
        <v>180</v>
      </c>
      <c r="G1688" t="str">
        <f>HYPERLINK("https://apps.apple.com/ru/app/мой-триколор/id1204321194#7592965144")</f>
        <v>https://apps.apple.com/ru/app/мой-триколор/id1204321194#7592965144</v>
      </c>
      <c r="H1688" t="s">
        <v>181</v>
      </c>
      <c r="I1688" t="s">
        <v>6218</v>
      </c>
      <c r="J1688" t="str">
        <f>HYPERLINK("https://itunes.apple.com/reviews?userProfileId=989111418")</f>
        <v>https://itunes.apple.com/reviews?userProfileId=989111418</v>
      </c>
      <c r="N1688" t="s">
        <v>1411</v>
      </c>
      <c r="O1688" t="s">
        <v>1697</v>
      </c>
      <c r="P1688" t="str">
        <f>HYPERLINK("https://apps.apple.com/ru/app/мой-триколор/id1204321194")</f>
        <v>https://apps.apple.com/ru/app/мой-триколор/id1204321194</v>
      </c>
      <c r="R1688" t="s">
        <v>184</v>
      </c>
      <c r="S1688" t="s">
        <v>125</v>
      </c>
      <c r="AH1688">
        <v>5</v>
      </c>
      <c r="AM1688" t="s">
        <v>129</v>
      </c>
      <c r="AN1688" t="s">
        <v>130</v>
      </c>
      <c r="AP1688" t="s">
        <v>41</v>
      </c>
      <c r="AU1688" t="s">
        <v>46</v>
      </c>
      <c r="AZ1688" t="s">
        <v>51</v>
      </c>
      <c r="BA1688" t="s">
        <v>52</v>
      </c>
      <c r="BQ1688" t="s">
        <v>68</v>
      </c>
    </row>
    <row r="1689" spans="1:69" x14ac:dyDescent="0.2">
      <c r="A1689" t="s">
        <v>5920</v>
      </c>
      <c r="B1689" t="s">
        <v>697</v>
      </c>
      <c r="C1689" t="s">
        <v>6041</v>
      </c>
      <c r="D1689" t="s">
        <v>3391</v>
      </c>
      <c r="E1689" t="s">
        <v>6219</v>
      </c>
      <c r="F1689" t="s">
        <v>180</v>
      </c>
      <c r="G1689" t="str">
        <f>HYPERLINK("https://www.wildberries.ru/catalog/14072152/detail.aspx?targetUrl=ES#Comments")</f>
        <v>https://www.wildberries.ru/catalog/14072152/detail.aspx?targetUrl=ES#Comments</v>
      </c>
      <c r="H1689" t="s">
        <v>181</v>
      </c>
      <c r="I1689" t="s">
        <v>1347</v>
      </c>
      <c r="J1689" t="str">
        <f>HYPERLINK("https://www.wildberries.ru/profile/w7TDssOkw7PCu8KzwrjCssKwwrTCtMK4wrk=")</f>
        <v>https://www.wildberries.ru/profile/w7TDssOkw7PCu8KzwrjCssKwwrTCtMK4wrk=</v>
      </c>
      <c r="L1689" t="s">
        <v>121</v>
      </c>
      <c r="N1689" t="s">
        <v>534</v>
      </c>
      <c r="O1689" t="s">
        <v>3391</v>
      </c>
      <c r="P1689" t="str">
        <f>HYPERLINK("https://www.wildberries.ru/catalog/10526045/detail.aspx")</f>
        <v>https://www.wildberries.ru/catalog/10526045/detail.aspx</v>
      </c>
      <c r="R1689" t="s">
        <v>184</v>
      </c>
      <c r="S1689" t="s">
        <v>125</v>
      </c>
      <c r="W1689">
        <v>0</v>
      </c>
      <c r="X1689">
        <v>0</v>
      </c>
      <c r="AH1689">
        <v>5</v>
      </c>
      <c r="AM1689" t="s">
        <v>129</v>
      </c>
      <c r="AN1689" t="s">
        <v>130</v>
      </c>
      <c r="AP1689" t="s">
        <v>41</v>
      </c>
      <c r="AZ1689" t="s">
        <v>51</v>
      </c>
      <c r="BA1689" t="s">
        <v>52</v>
      </c>
      <c r="BK1689" t="s">
        <v>62</v>
      </c>
    </row>
    <row r="1690" spans="1:69" x14ac:dyDescent="0.2">
      <c r="A1690" t="s">
        <v>5920</v>
      </c>
      <c r="B1690" t="s">
        <v>5853</v>
      </c>
      <c r="C1690" t="s">
        <v>6220</v>
      </c>
      <c r="D1690" t="s">
        <v>3941</v>
      </c>
      <c r="E1690" t="s">
        <v>6221</v>
      </c>
      <c r="F1690" t="s">
        <v>118</v>
      </c>
      <c r="G1690" t="str">
        <f>HYPERLINK("https://vk.com/wall-27863223_291839?reply=291944&amp;thread=291861")</f>
        <v>https://vk.com/wall-27863223_291839?reply=291944&amp;thread=291861</v>
      </c>
      <c r="H1690" t="s">
        <v>119</v>
      </c>
      <c r="I1690" t="s">
        <v>5999</v>
      </c>
      <c r="J1690" t="str">
        <f>HYPERLINK("http://vk.com/id482384182")</f>
        <v>http://vk.com/id482384182</v>
      </c>
      <c r="K1690">
        <v>12</v>
      </c>
      <c r="L1690" t="s">
        <v>121</v>
      </c>
      <c r="M1690">
        <v>45</v>
      </c>
      <c r="N1690" t="s">
        <v>122</v>
      </c>
      <c r="O1690" t="s">
        <v>175</v>
      </c>
      <c r="P1690" t="str">
        <f>HYPERLINK("http://vk.com/club27863223")</f>
        <v>http://vk.com/club27863223</v>
      </c>
      <c r="Q1690">
        <v>134698</v>
      </c>
      <c r="R1690" t="s">
        <v>124</v>
      </c>
      <c r="S1690" t="s">
        <v>125</v>
      </c>
      <c r="T1690" t="s">
        <v>494</v>
      </c>
      <c r="U1690" t="s">
        <v>6000</v>
      </c>
      <c r="AM1690" t="s">
        <v>129</v>
      </c>
      <c r="AN1690" t="s">
        <v>130</v>
      </c>
      <c r="AP1690" t="s">
        <v>41</v>
      </c>
      <c r="AU1690" t="s">
        <v>46</v>
      </c>
      <c r="AY1690" t="s">
        <v>50</v>
      </c>
      <c r="AZ1690" t="s">
        <v>51</v>
      </c>
      <c r="BA1690" t="s">
        <v>52</v>
      </c>
    </row>
    <row r="1691" spans="1:69" x14ac:dyDescent="0.2">
      <c r="A1691" t="s">
        <v>5920</v>
      </c>
      <c r="B1691" t="s">
        <v>6222</v>
      </c>
      <c r="C1691" t="s">
        <v>6223</v>
      </c>
      <c r="D1691" t="s">
        <v>6224</v>
      </c>
      <c r="E1691" t="s">
        <v>6225</v>
      </c>
      <c r="F1691" t="s">
        <v>118</v>
      </c>
      <c r="G1691" t="str">
        <f>HYPERLINK("https://www.youtube.com/watch?v=cuBcZGF3Yzc&amp;lc=UgzMLieNmVd8Ibsi-f94AaABAg")</f>
        <v>https://www.youtube.com/watch?v=cuBcZGF3Yzc&amp;lc=UgzMLieNmVd8Ibsi-f94AaABAg</v>
      </c>
      <c r="H1691" t="s">
        <v>228</v>
      </c>
      <c r="I1691" t="s">
        <v>6226</v>
      </c>
      <c r="J1691" t="str">
        <f>HYPERLINK("https://www.youtube.com/channel/UClge-4Po5ov7zlH-NPR01sg")</f>
        <v>https://www.youtube.com/channel/UClge-4Po5ov7zlH-NPR01sg</v>
      </c>
      <c r="K1691">
        <v>18</v>
      </c>
      <c r="N1691" t="s">
        <v>248</v>
      </c>
      <c r="O1691" t="s">
        <v>6227</v>
      </c>
      <c r="P1691" t="str">
        <f>HYPERLINK("https://www.youtube.com/channel/UCRP4EhX1Op-jL7D87PB3qhQ")</f>
        <v>https://www.youtube.com/channel/UCRP4EhX1Op-jL7D87PB3qhQ</v>
      </c>
      <c r="Q1691">
        <v>2820000</v>
      </c>
      <c r="R1691" t="s">
        <v>124</v>
      </c>
      <c r="S1691" t="s">
        <v>125</v>
      </c>
      <c r="W1691">
        <v>0</v>
      </c>
      <c r="X1691">
        <v>0</v>
      </c>
      <c r="AE1691">
        <v>0</v>
      </c>
      <c r="AM1691" t="s">
        <v>129</v>
      </c>
      <c r="AN1691" t="s">
        <v>130</v>
      </c>
      <c r="AP1691" t="s">
        <v>41</v>
      </c>
      <c r="AT1691" t="s">
        <v>45</v>
      </c>
      <c r="AW1691" t="s">
        <v>48</v>
      </c>
      <c r="AY1691" t="s">
        <v>50</v>
      </c>
      <c r="AZ1691" t="s">
        <v>51</v>
      </c>
      <c r="BA1691" t="s">
        <v>52</v>
      </c>
    </row>
    <row r="1692" spans="1:69" x14ac:dyDescent="0.2">
      <c r="A1692" t="s">
        <v>5920</v>
      </c>
      <c r="B1692" t="s">
        <v>6228</v>
      </c>
      <c r="C1692" t="s">
        <v>6229</v>
      </c>
      <c r="D1692" t="s">
        <v>6230</v>
      </c>
      <c r="E1692" t="s">
        <v>6231</v>
      </c>
      <c r="F1692" t="s">
        <v>180</v>
      </c>
      <c r="G1692" t="str">
        <f>HYPERLINK("https://telesputnik.ru/forum/viewtopic.php?f=7&amp;t=55905&amp;start=380#p2481543")</f>
        <v>https://telesputnik.ru/forum/viewtopic.php?f=7&amp;t=55905&amp;start=380#p2481543</v>
      </c>
      <c r="H1692" t="s">
        <v>119</v>
      </c>
      <c r="I1692" t="s">
        <v>6232</v>
      </c>
      <c r="J1692" t="str">
        <f>HYPERLINK("https://telesputnik.ru/forum/memberlist.php?mode=viewprofile&amp;u=87078")</f>
        <v>https://telesputnik.ru/forum/memberlist.php?mode=viewprofile&amp;u=87078</v>
      </c>
      <c r="N1692" t="s">
        <v>335</v>
      </c>
      <c r="O1692" t="s">
        <v>1126</v>
      </c>
      <c r="P1692" t="str">
        <f>HYPERLINK("https://telesputnik.ru/forum/viewforum.php?f=7")</f>
        <v>https://telesputnik.ru/forum/viewforum.php?f=7</v>
      </c>
      <c r="R1692" t="s">
        <v>295</v>
      </c>
      <c r="S1692" t="s">
        <v>125</v>
      </c>
      <c r="T1692" t="s">
        <v>487</v>
      </c>
      <c r="U1692" t="s">
        <v>488</v>
      </c>
      <c r="AM1692" t="s">
        <v>129</v>
      </c>
      <c r="AN1692" t="s">
        <v>130</v>
      </c>
      <c r="AP1692" t="s">
        <v>41</v>
      </c>
      <c r="AZ1692" t="s">
        <v>51</v>
      </c>
      <c r="BA1692" t="s">
        <v>52</v>
      </c>
      <c r="BL1692" t="s">
        <v>63</v>
      </c>
    </row>
    <row r="1693" spans="1:69" x14ac:dyDescent="0.2">
      <c r="A1693" t="s">
        <v>5920</v>
      </c>
      <c r="B1693" t="s">
        <v>5891</v>
      </c>
      <c r="C1693" t="s">
        <v>6233</v>
      </c>
      <c r="D1693" t="s">
        <v>6234</v>
      </c>
      <c r="E1693" t="s">
        <v>6235</v>
      </c>
      <c r="F1693" t="s">
        <v>180</v>
      </c>
      <c r="G1693" t="str">
        <f>HYPERLINK("https://044ua.com/ukraina/item/63544-1626659526")</f>
        <v>https://044ua.com/ukraina/item/63544-1626659526</v>
      </c>
      <c r="H1693" t="s">
        <v>119</v>
      </c>
      <c r="N1693" t="s">
        <v>6236</v>
      </c>
      <c r="R1693" t="s">
        <v>785</v>
      </c>
      <c r="AJ1693" t="s">
        <v>5896</v>
      </c>
      <c r="AK1693" t="s">
        <v>5897</v>
      </c>
      <c r="AL1693" t="str">
        <f>HYPERLINK("http://www.compromat.ru/imgup/68830.jpg")</f>
        <v>http://www.compromat.ru/imgup/68830.jpg</v>
      </c>
      <c r="AM1693" t="s">
        <v>129</v>
      </c>
      <c r="AN1693" t="s">
        <v>130</v>
      </c>
      <c r="AV1693" t="s">
        <v>47</v>
      </c>
    </row>
    <row r="1694" spans="1:69" x14ac:dyDescent="0.2">
      <c r="A1694" t="s">
        <v>5920</v>
      </c>
      <c r="B1694" t="s">
        <v>6237</v>
      </c>
      <c r="C1694" t="s">
        <v>6238</v>
      </c>
      <c r="D1694" t="s">
        <v>4094</v>
      </c>
      <c r="E1694" t="s">
        <v>6239</v>
      </c>
      <c r="F1694" t="s">
        <v>118</v>
      </c>
      <c r="G1694" t="str">
        <f>HYPERLINK("https://www.youtube.com/watch?v=XCtxDrX5LP0&amp;lc=UgxzMMV0bJ8UWerCofV4AaABAg")</f>
        <v>https://www.youtube.com/watch?v=XCtxDrX5LP0&amp;lc=UgxzMMV0bJ8UWerCofV4AaABAg</v>
      </c>
      <c r="H1694" t="s">
        <v>119</v>
      </c>
      <c r="I1694" t="s">
        <v>6240</v>
      </c>
      <c r="J1694" t="str">
        <f>HYPERLINK("https://www.youtube.com/channel/UCCETI6Sy4oX4sB_Pp-67fmA")</f>
        <v>https://www.youtube.com/channel/UCCETI6Sy4oX4sB_Pp-67fmA</v>
      </c>
      <c r="K1694">
        <v>19</v>
      </c>
      <c r="N1694" t="s">
        <v>248</v>
      </c>
      <c r="O1694" t="s">
        <v>4096</v>
      </c>
      <c r="P1694" t="str">
        <f>HYPERLINK("https://www.youtube.com/channel/UCS_hQzqKW9msSt87cX24c8Q")</f>
        <v>https://www.youtube.com/channel/UCS_hQzqKW9msSt87cX24c8Q</v>
      </c>
      <c r="Q1694">
        <v>15600</v>
      </c>
      <c r="R1694" t="s">
        <v>124</v>
      </c>
      <c r="S1694" t="s">
        <v>125</v>
      </c>
      <c r="W1694">
        <v>0</v>
      </c>
      <c r="X1694">
        <v>0</v>
      </c>
      <c r="AE1694">
        <v>1</v>
      </c>
      <c r="AM1694" t="s">
        <v>129</v>
      </c>
      <c r="AN1694" t="s">
        <v>130</v>
      </c>
      <c r="AP1694" t="s">
        <v>41</v>
      </c>
      <c r="AZ1694" t="s">
        <v>51</v>
      </c>
      <c r="BA1694" t="s">
        <v>52</v>
      </c>
      <c r="BL1694" t="s">
        <v>63</v>
      </c>
    </row>
    <row r="1695" spans="1:69" x14ac:dyDescent="0.2">
      <c r="A1695" t="s">
        <v>5920</v>
      </c>
      <c r="B1695" t="s">
        <v>6241</v>
      </c>
      <c r="C1695" t="s">
        <v>6242</v>
      </c>
      <c r="D1695" t="s">
        <v>3993</v>
      </c>
      <c r="E1695" t="s">
        <v>6243</v>
      </c>
      <c r="F1695" t="s">
        <v>118</v>
      </c>
      <c r="G1695" t="str">
        <f>HYPERLINK("https://vk.com/wall-27863223_291845?reply=291943&amp;thread=291915")</f>
        <v>https://vk.com/wall-27863223_291845?reply=291943&amp;thread=291915</v>
      </c>
      <c r="H1695" t="s">
        <v>119</v>
      </c>
      <c r="I1695" t="s">
        <v>1845</v>
      </c>
      <c r="J1695" t="str">
        <f>HYPERLINK("http://vk.com/id30493165")</f>
        <v>http://vk.com/id30493165</v>
      </c>
      <c r="K1695">
        <v>75</v>
      </c>
      <c r="L1695" t="s">
        <v>121</v>
      </c>
      <c r="M1695">
        <v>29</v>
      </c>
      <c r="N1695" t="s">
        <v>122</v>
      </c>
      <c r="O1695" t="s">
        <v>175</v>
      </c>
      <c r="P1695" t="str">
        <f>HYPERLINK("http://vk.com/club27863223")</f>
        <v>http://vk.com/club27863223</v>
      </c>
      <c r="Q1695">
        <v>134698</v>
      </c>
      <c r="R1695" t="s">
        <v>124</v>
      </c>
      <c r="S1695" t="s">
        <v>125</v>
      </c>
      <c r="T1695" t="s">
        <v>169</v>
      </c>
      <c r="U1695" t="s">
        <v>169</v>
      </c>
      <c r="AM1695" t="s">
        <v>129</v>
      </c>
      <c r="AN1695" t="s">
        <v>130</v>
      </c>
      <c r="AP1695" t="s">
        <v>41</v>
      </c>
      <c r="AU1695" t="s">
        <v>46</v>
      </c>
      <c r="AZ1695" t="s">
        <v>51</v>
      </c>
      <c r="BA1695" t="s">
        <v>52</v>
      </c>
    </row>
    <row r="1696" spans="1:69" x14ac:dyDescent="0.2">
      <c r="A1696" t="s">
        <v>5920</v>
      </c>
      <c r="B1696" t="s">
        <v>3589</v>
      </c>
      <c r="C1696" t="s">
        <v>6244</v>
      </c>
      <c r="D1696" t="s">
        <v>6245</v>
      </c>
      <c r="E1696" t="s">
        <v>6246</v>
      </c>
      <c r="F1696" t="s">
        <v>118</v>
      </c>
      <c r="G1696" t="str">
        <f>HYPERLINK("https://www.facebook.com/story.php?story_fbid=1447830462263928&amp;id=100011109633393&amp;comment_id=1447841088929532&amp;reply_comment_id=1447842272262747")</f>
        <v>https://www.facebook.com/story.php?story_fbid=1447830462263928&amp;id=100011109633393&amp;comment_id=1447841088929532&amp;reply_comment_id=1447842272262747</v>
      </c>
      <c r="H1696" t="s">
        <v>181</v>
      </c>
      <c r="I1696" t="s">
        <v>304</v>
      </c>
      <c r="J1696" t="str">
        <f>HYPERLINK("https://www.facebook.com/100011109633393")</f>
        <v>https://www.facebook.com/100011109633393</v>
      </c>
      <c r="K1696">
        <v>130</v>
      </c>
      <c r="L1696" t="s">
        <v>151</v>
      </c>
      <c r="N1696" t="s">
        <v>305</v>
      </c>
      <c r="O1696" t="s">
        <v>304</v>
      </c>
      <c r="P1696" t="str">
        <f>HYPERLINK("https://www.facebook.com/100011109633393")</f>
        <v>https://www.facebook.com/100011109633393</v>
      </c>
      <c r="Q1696">
        <v>130</v>
      </c>
      <c r="R1696" t="s">
        <v>124</v>
      </c>
      <c r="S1696" t="s">
        <v>125</v>
      </c>
      <c r="T1696" t="s">
        <v>169</v>
      </c>
      <c r="U1696" t="s">
        <v>169</v>
      </c>
      <c r="W1696">
        <v>0</v>
      </c>
      <c r="X1696">
        <v>0</v>
      </c>
      <c r="AE1696">
        <v>0</v>
      </c>
      <c r="AM1696" t="s">
        <v>129</v>
      </c>
      <c r="AN1696" t="s">
        <v>130</v>
      </c>
      <c r="AP1696" t="s">
        <v>41</v>
      </c>
      <c r="AU1696" t="s">
        <v>46</v>
      </c>
      <c r="AZ1696" t="s">
        <v>51</v>
      </c>
      <c r="BA1696" t="s">
        <v>52</v>
      </c>
    </row>
    <row r="1697" spans="1:77" x14ac:dyDescent="0.2">
      <c r="A1697" t="s">
        <v>5920</v>
      </c>
      <c r="B1697" t="s">
        <v>4522</v>
      </c>
      <c r="C1697" t="s">
        <v>6247</v>
      </c>
      <c r="D1697" t="s">
        <v>6248</v>
      </c>
      <c r="E1697" t="s">
        <v>2260</v>
      </c>
      <c r="F1697" t="s">
        <v>118</v>
      </c>
      <c r="G1697" t="str">
        <f>HYPERLINK("https://www.facebook.com/groups/SobianinNet/permalink/4136000653188572/?comment_id=4145769728878331")</f>
        <v>https://www.facebook.com/groups/SobianinNet/permalink/4136000653188572/?comment_id=4145769728878331</v>
      </c>
      <c r="H1697" t="s">
        <v>119</v>
      </c>
      <c r="I1697" t="s">
        <v>695</v>
      </c>
      <c r="J1697" t="str">
        <f>HYPERLINK("https://www.facebook.com/100002360413124")</f>
        <v>https://www.facebook.com/100002360413124</v>
      </c>
      <c r="K1697">
        <v>5211</v>
      </c>
      <c r="L1697" t="s">
        <v>121</v>
      </c>
      <c r="N1697" t="s">
        <v>305</v>
      </c>
      <c r="O1697" t="s">
        <v>6249</v>
      </c>
      <c r="P1697" t="str">
        <f>HYPERLINK("https://www.facebook.com/253261804795829")</f>
        <v>https://www.facebook.com/253261804795829</v>
      </c>
      <c r="Q1697">
        <v>35381</v>
      </c>
      <c r="R1697" t="s">
        <v>124</v>
      </c>
      <c r="S1697" t="s">
        <v>125</v>
      </c>
      <c r="T1697" t="s">
        <v>372</v>
      </c>
      <c r="U1697" t="s">
        <v>373</v>
      </c>
      <c r="W1697">
        <v>0</v>
      </c>
      <c r="X1697">
        <v>0</v>
      </c>
      <c r="AE1697">
        <v>0</v>
      </c>
      <c r="AM1697" t="s">
        <v>129</v>
      </c>
      <c r="AN1697" t="s">
        <v>130</v>
      </c>
      <c r="AP1697" t="s">
        <v>41</v>
      </c>
      <c r="AU1697" t="s">
        <v>46</v>
      </c>
      <c r="AZ1697" t="s">
        <v>51</v>
      </c>
      <c r="BA1697" t="s">
        <v>52</v>
      </c>
      <c r="BY1697" t="s">
        <v>76</v>
      </c>
    </row>
    <row r="1698" spans="1:77" x14ac:dyDescent="0.2">
      <c r="A1698" t="s">
        <v>5920</v>
      </c>
      <c r="B1698" t="s">
        <v>6250</v>
      </c>
      <c r="C1698" t="s">
        <v>6251</v>
      </c>
      <c r="D1698" t="s">
        <v>6252</v>
      </c>
      <c r="E1698" t="s">
        <v>6253</v>
      </c>
      <c r="F1698" t="s">
        <v>118</v>
      </c>
      <c r="G1698" t="str">
        <f>HYPERLINK("https://www.youtube.com/watch?v=1SBIbJI3czM&amp;lc=Ugyi12DYDh_QTCiAPBl4AaABAg")</f>
        <v>https://www.youtube.com/watch?v=1SBIbJI3czM&amp;lc=Ugyi12DYDh_QTCiAPBl4AaABAg</v>
      </c>
      <c r="H1698" t="s">
        <v>119</v>
      </c>
      <c r="I1698" t="s">
        <v>6254</v>
      </c>
      <c r="J1698" t="str">
        <f>HYPERLINK("https://www.youtube.com/channel/UCaRA5f8-2aW_hf6CRVUB9Sw")</f>
        <v>https://www.youtube.com/channel/UCaRA5f8-2aW_hf6CRVUB9Sw</v>
      </c>
      <c r="K1698">
        <v>15</v>
      </c>
      <c r="L1698" t="s">
        <v>121</v>
      </c>
      <c r="N1698" t="s">
        <v>248</v>
      </c>
      <c r="O1698" t="s">
        <v>4496</v>
      </c>
      <c r="P1698" t="str">
        <f>HYPERLINK("https://www.youtube.com/channel/UCIKsOvms5_CYAzWTRbiHWpQ")</f>
        <v>https://www.youtube.com/channel/UCIKsOvms5_CYAzWTRbiHWpQ</v>
      </c>
      <c r="Q1698">
        <v>7990</v>
      </c>
      <c r="R1698" t="s">
        <v>124</v>
      </c>
      <c r="S1698" t="s">
        <v>125</v>
      </c>
      <c r="W1698">
        <v>1</v>
      </c>
      <c r="X1698">
        <v>1</v>
      </c>
      <c r="AE1698">
        <v>0</v>
      </c>
      <c r="AM1698" t="s">
        <v>129</v>
      </c>
      <c r="AN1698" t="s">
        <v>130</v>
      </c>
      <c r="AP1698" t="s">
        <v>41</v>
      </c>
      <c r="AT1698" t="s">
        <v>45</v>
      </c>
      <c r="AZ1698" t="s">
        <v>51</v>
      </c>
      <c r="BA1698" t="s">
        <v>52</v>
      </c>
    </row>
    <row r="1699" spans="1:77" x14ac:dyDescent="0.2">
      <c r="A1699" t="s">
        <v>5920</v>
      </c>
      <c r="B1699" t="s">
        <v>1231</v>
      </c>
      <c r="C1699" t="s">
        <v>6255</v>
      </c>
      <c r="D1699" t="s">
        <v>6252</v>
      </c>
      <c r="E1699" t="s">
        <v>6256</v>
      </c>
      <c r="F1699" t="s">
        <v>180</v>
      </c>
      <c r="G1699" t="str">
        <f>HYPERLINK("https://www.content-review.com/articles/53183/")</f>
        <v>https://www.content-review.com/articles/53183/</v>
      </c>
      <c r="H1699" t="s">
        <v>119</v>
      </c>
      <c r="N1699" t="s">
        <v>6257</v>
      </c>
      <c r="R1699" t="s">
        <v>184</v>
      </c>
      <c r="AM1699" t="s">
        <v>129</v>
      </c>
      <c r="AN1699" t="s">
        <v>130</v>
      </c>
      <c r="AP1699" t="s">
        <v>41</v>
      </c>
      <c r="AZ1699" t="s">
        <v>51</v>
      </c>
      <c r="BA1699" t="s">
        <v>52</v>
      </c>
      <c r="BL1699" t="s">
        <v>63</v>
      </c>
      <c r="BM1699" t="s">
        <v>64</v>
      </c>
    </row>
    <row r="1700" spans="1:77" x14ac:dyDescent="0.2">
      <c r="A1700" t="s">
        <v>5920</v>
      </c>
      <c r="B1700" t="s">
        <v>1231</v>
      </c>
      <c r="C1700" t="s">
        <v>6258</v>
      </c>
      <c r="D1700" t="s">
        <v>6259</v>
      </c>
      <c r="E1700" t="s">
        <v>6260</v>
      </c>
      <c r="F1700" t="s">
        <v>180</v>
      </c>
      <c r="G1700" t="str">
        <f>HYPERLINK("https://forum.auto.ru/housing/17520306/#post-17520328")</f>
        <v>https://forum.auto.ru/housing/17520306/#post-17520328</v>
      </c>
      <c r="H1700" t="s">
        <v>119</v>
      </c>
      <c r="I1700" t="s">
        <v>4533</v>
      </c>
      <c r="J1700" t="str">
        <f>HYPERLINK("https://auto.ru/profile/9114/")</f>
        <v>https://auto.ru/profile/9114/</v>
      </c>
      <c r="N1700" t="s">
        <v>4534</v>
      </c>
      <c r="O1700" t="s">
        <v>4535</v>
      </c>
      <c r="P1700" t="str">
        <f>HYPERLINK("https://forum.auto.ru/housing/")</f>
        <v>https://forum.auto.ru/housing/</v>
      </c>
      <c r="R1700" t="s">
        <v>295</v>
      </c>
      <c r="S1700" t="s">
        <v>125</v>
      </c>
      <c r="AM1700" t="s">
        <v>129</v>
      </c>
      <c r="AN1700" t="s">
        <v>130</v>
      </c>
      <c r="AP1700" t="s">
        <v>41</v>
      </c>
      <c r="AZ1700" t="s">
        <v>51</v>
      </c>
      <c r="BA1700" t="s">
        <v>52</v>
      </c>
      <c r="BM1700" t="s">
        <v>64</v>
      </c>
    </row>
    <row r="1701" spans="1:77" x14ac:dyDescent="0.2">
      <c r="A1701" t="s">
        <v>6261</v>
      </c>
      <c r="B1701" t="s">
        <v>749</v>
      </c>
      <c r="C1701" t="s">
        <v>6238</v>
      </c>
      <c r="D1701" t="s">
        <v>4094</v>
      </c>
      <c r="E1701" t="s">
        <v>6262</v>
      </c>
      <c r="F1701" t="s">
        <v>118</v>
      </c>
      <c r="G1701" t="str">
        <f>HYPERLINK("https://www.youtube.com/watch?v=XCtxDrX5LP0&amp;lc=UgyZrrYKk3gD50o6di94AaABAg")</f>
        <v>https://www.youtube.com/watch?v=XCtxDrX5LP0&amp;lc=UgyZrrYKk3gD50o6di94AaABAg</v>
      </c>
      <c r="H1701" t="s">
        <v>119</v>
      </c>
      <c r="I1701" t="s">
        <v>6263</v>
      </c>
      <c r="J1701" t="str">
        <f>HYPERLINK("https://www.youtube.com/channel/UCmB4b47prih3Romixs9F2DQ")</f>
        <v>https://www.youtube.com/channel/UCmB4b47prih3Romixs9F2DQ</v>
      </c>
      <c r="K1701">
        <v>26700</v>
      </c>
      <c r="L1701" t="s">
        <v>151</v>
      </c>
      <c r="N1701" t="s">
        <v>248</v>
      </c>
      <c r="O1701" t="s">
        <v>4096</v>
      </c>
      <c r="P1701" t="str">
        <f>HYPERLINK("https://www.youtube.com/channel/UCS_hQzqKW9msSt87cX24c8Q")</f>
        <v>https://www.youtube.com/channel/UCS_hQzqKW9msSt87cX24c8Q</v>
      </c>
      <c r="Q1701">
        <v>15600</v>
      </c>
      <c r="R1701" t="s">
        <v>124</v>
      </c>
      <c r="S1701" t="s">
        <v>125</v>
      </c>
      <c r="W1701">
        <v>0</v>
      </c>
      <c r="X1701">
        <v>0</v>
      </c>
      <c r="AE1701">
        <v>1</v>
      </c>
      <c r="AM1701" t="s">
        <v>129</v>
      </c>
      <c r="AN1701" t="s">
        <v>130</v>
      </c>
      <c r="AP1701" t="s">
        <v>41</v>
      </c>
      <c r="AT1701" t="s">
        <v>45</v>
      </c>
      <c r="AZ1701" t="s">
        <v>51</v>
      </c>
      <c r="BB1701" t="s">
        <v>53</v>
      </c>
    </row>
    <row r="1702" spans="1:77" x14ac:dyDescent="0.2">
      <c r="A1702" t="s">
        <v>6261</v>
      </c>
      <c r="B1702" t="s">
        <v>749</v>
      </c>
      <c r="C1702" t="s">
        <v>6264</v>
      </c>
      <c r="D1702" t="s">
        <v>6265</v>
      </c>
      <c r="E1702" t="s">
        <v>6266</v>
      </c>
      <c r="F1702" t="s">
        <v>118</v>
      </c>
      <c r="G1702" t="str">
        <f>HYPERLINK("https://vk.com/wall-22935147_368447?reply=368459&amp;thread=368452")</f>
        <v>https://vk.com/wall-22935147_368447?reply=368459&amp;thread=368452</v>
      </c>
      <c r="H1702" t="s">
        <v>119</v>
      </c>
      <c r="I1702" t="s">
        <v>6267</v>
      </c>
      <c r="J1702" t="str">
        <f>HYPERLINK("http://vk.com/id124014423")</f>
        <v>http://vk.com/id124014423</v>
      </c>
      <c r="K1702">
        <v>731</v>
      </c>
      <c r="L1702" t="s">
        <v>121</v>
      </c>
      <c r="M1702">
        <v>29</v>
      </c>
      <c r="N1702" t="s">
        <v>122</v>
      </c>
      <c r="O1702" t="s">
        <v>1093</v>
      </c>
      <c r="P1702" t="str">
        <f>HYPERLINK("http://vk.com/club22935147")</f>
        <v>http://vk.com/club22935147</v>
      </c>
      <c r="Q1702">
        <v>8943</v>
      </c>
      <c r="R1702" t="s">
        <v>124</v>
      </c>
      <c r="S1702" t="s">
        <v>125</v>
      </c>
      <c r="T1702" t="s">
        <v>6268</v>
      </c>
      <c r="U1702" t="s">
        <v>6269</v>
      </c>
      <c r="AM1702" t="s">
        <v>129</v>
      </c>
      <c r="AN1702" t="s">
        <v>130</v>
      </c>
      <c r="AP1702" t="s">
        <v>41</v>
      </c>
      <c r="AX1702" t="s">
        <v>49</v>
      </c>
      <c r="AZ1702" t="s">
        <v>51</v>
      </c>
      <c r="BA1702" t="s">
        <v>52</v>
      </c>
    </row>
    <row r="1703" spans="1:77" x14ac:dyDescent="0.2">
      <c r="A1703" t="s">
        <v>6261</v>
      </c>
      <c r="B1703" t="s">
        <v>4053</v>
      </c>
      <c r="C1703" t="s">
        <v>6270</v>
      </c>
      <c r="D1703" t="s">
        <v>6265</v>
      </c>
      <c r="E1703" t="s">
        <v>6271</v>
      </c>
      <c r="F1703" t="s">
        <v>118</v>
      </c>
      <c r="G1703" t="str">
        <f>HYPERLINK("https://vk.com/wall-22935147_368447?reply=368458&amp;thread=368452")</f>
        <v>https://vk.com/wall-22935147_368447?reply=368458&amp;thread=368452</v>
      </c>
      <c r="H1703" t="s">
        <v>119</v>
      </c>
      <c r="I1703" t="s">
        <v>6267</v>
      </c>
      <c r="J1703" t="str">
        <f>HYPERLINK("http://vk.com/id124014423")</f>
        <v>http://vk.com/id124014423</v>
      </c>
      <c r="K1703">
        <v>731</v>
      </c>
      <c r="L1703" t="s">
        <v>121</v>
      </c>
      <c r="M1703">
        <v>29</v>
      </c>
      <c r="N1703" t="s">
        <v>122</v>
      </c>
      <c r="O1703" t="s">
        <v>1093</v>
      </c>
      <c r="P1703" t="str">
        <f>HYPERLINK("http://vk.com/club22935147")</f>
        <v>http://vk.com/club22935147</v>
      </c>
      <c r="Q1703">
        <v>8943</v>
      </c>
      <c r="R1703" t="s">
        <v>124</v>
      </c>
      <c r="S1703" t="s">
        <v>125</v>
      </c>
      <c r="T1703" t="s">
        <v>6268</v>
      </c>
      <c r="U1703" t="s">
        <v>6269</v>
      </c>
      <c r="AM1703" t="s">
        <v>129</v>
      </c>
      <c r="AN1703" t="s">
        <v>130</v>
      </c>
      <c r="AP1703" t="s">
        <v>41</v>
      </c>
      <c r="AW1703" t="s">
        <v>48</v>
      </c>
      <c r="AZ1703" t="s">
        <v>51</v>
      </c>
      <c r="BA1703" t="s">
        <v>52</v>
      </c>
    </row>
    <row r="1704" spans="1:77" x14ac:dyDescent="0.2">
      <c r="A1704" t="s">
        <v>6261</v>
      </c>
      <c r="B1704" t="s">
        <v>114</v>
      </c>
      <c r="C1704" t="s">
        <v>6272</v>
      </c>
      <c r="D1704" t="s">
        <v>6265</v>
      </c>
      <c r="E1704" t="s">
        <v>6273</v>
      </c>
      <c r="F1704" t="s">
        <v>118</v>
      </c>
      <c r="G1704" t="str">
        <f>HYPERLINK("https://vk.com/wall-22935147_368447?w=wall-22935147_368447_r368457")</f>
        <v>https://vk.com/wall-22935147_368447?w=wall-22935147_368447_r368457</v>
      </c>
      <c r="H1704" t="s">
        <v>119</v>
      </c>
      <c r="I1704" t="s">
        <v>4327</v>
      </c>
      <c r="J1704" t="str">
        <f>HYPERLINK("http://vk.com/id365342892")</f>
        <v>http://vk.com/id365342892</v>
      </c>
      <c r="K1704">
        <v>11</v>
      </c>
      <c r="L1704" t="s">
        <v>121</v>
      </c>
      <c r="N1704" t="s">
        <v>122</v>
      </c>
      <c r="O1704" t="s">
        <v>1093</v>
      </c>
      <c r="P1704" t="str">
        <f>HYPERLINK("http://vk.com/club22935147")</f>
        <v>http://vk.com/club22935147</v>
      </c>
      <c r="Q1704">
        <v>8943</v>
      </c>
      <c r="R1704" t="s">
        <v>124</v>
      </c>
      <c r="S1704" t="s">
        <v>125</v>
      </c>
      <c r="T1704" t="s">
        <v>364</v>
      </c>
      <c r="U1704" t="s">
        <v>4328</v>
      </c>
      <c r="W1704">
        <v>0</v>
      </c>
      <c r="X1704">
        <v>0</v>
      </c>
      <c r="AM1704" t="s">
        <v>129</v>
      </c>
      <c r="AN1704" t="s">
        <v>130</v>
      </c>
      <c r="AP1704" t="s">
        <v>41</v>
      </c>
      <c r="AT1704" t="s">
        <v>45</v>
      </c>
      <c r="AU1704" t="s">
        <v>46</v>
      </c>
      <c r="AZ1704" t="s">
        <v>51</v>
      </c>
      <c r="BA1704" t="s">
        <v>52</v>
      </c>
    </row>
    <row r="1705" spans="1:77" x14ac:dyDescent="0.2">
      <c r="A1705" t="s">
        <v>6261</v>
      </c>
      <c r="B1705" t="s">
        <v>5455</v>
      </c>
      <c r="C1705" t="s">
        <v>6274</v>
      </c>
      <c r="D1705" t="s">
        <v>129</v>
      </c>
      <c r="E1705" t="s">
        <v>6275</v>
      </c>
      <c r="F1705" t="s">
        <v>118</v>
      </c>
      <c r="G1705" t="str">
        <f>HYPERLINK("https://twitter.com/373900104/status/1416859137934245900")</f>
        <v>https://twitter.com/373900104/status/1416859137934245900</v>
      </c>
      <c r="H1705" t="s">
        <v>119</v>
      </c>
      <c r="I1705" t="s">
        <v>6276</v>
      </c>
      <c r="J1705" t="str">
        <f>HYPERLINK("http://twitter.com/a_litv")</f>
        <v>http://twitter.com/a_litv</v>
      </c>
      <c r="K1705">
        <v>131</v>
      </c>
      <c r="N1705" t="s">
        <v>350</v>
      </c>
      <c r="R1705" t="s">
        <v>124</v>
      </c>
      <c r="S1705" t="s">
        <v>125</v>
      </c>
      <c r="T1705" t="s">
        <v>153</v>
      </c>
      <c r="W1705">
        <v>0</v>
      </c>
      <c r="X1705">
        <v>0</v>
      </c>
      <c r="AE1705">
        <v>1</v>
      </c>
      <c r="AF1705">
        <v>0</v>
      </c>
      <c r="AM1705" t="s">
        <v>129</v>
      </c>
      <c r="AN1705" t="s">
        <v>130</v>
      </c>
      <c r="AP1705" t="s">
        <v>41</v>
      </c>
      <c r="AT1705" t="s">
        <v>45</v>
      </c>
      <c r="AZ1705" t="s">
        <v>51</v>
      </c>
      <c r="BA1705" t="s">
        <v>52</v>
      </c>
      <c r="BL1705" t="s">
        <v>63</v>
      </c>
    </row>
    <row r="1706" spans="1:77" x14ac:dyDescent="0.2">
      <c r="A1706" t="s">
        <v>6261</v>
      </c>
      <c r="B1706" t="s">
        <v>4548</v>
      </c>
      <c r="C1706" t="s">
        <v>6251</v>
      </c>
      <c r="D1706" t="s">
        <v>6252</v>
      </c>
      <c r="E1706" t="s">
        <v>6277</v>
      </c>
      <c r="F1706" t="s">
        <v>118</v>
      </c>
      <c r="G1706" t="str">
        <f>HYPERLINK("https://www.youtube.com/watch?v=1SBIbJI3czM&amp;lc=UgwJxpvcsemK67kUCdh4AaABAg.9PxHe4iLk5g9PxIoiGXwjU")</f>
        <v>https://www.youtube.com/watch?v=1SBIbJI3czM&amp;lc=UgwJxpvcsemK67kUCdh4AaABAg.9PxHe4iLk5g9PxIoiGXwjU</v>
      </c>
      <c r="H1706" t="s">
        <v>228</v>
      </c>
      <c r="I1706" t="s">
        <v>4496</v>
      </c>
      <c r="J1706" t="str">
        <f>HYPERLINK("https://www.youtube.com/channel/UCIKsOvms5_CYAzWTRbiHWpQ")</f>
        <v>https://www.youtube.com/channel/UCIKsOvms5_CYAzWTRbiHWpQ</v>
      </c>
      <c r="K1706">
        <v>7990</v>
      </c>
      <c r="N1706" t="s">
        <v>248</v>
      </c>
      <c r="O1706" t="s">
        <v>4496</v>
      </c>
      <c r="P1706" t="str">
        <f>HYPERLINK("https://www.youtube.com/channel/UCIKsOvms5_CYAzWTRbiHWpQ")</f>
        <v>https://www.youtube.com/channel/UCIKsOvms5_CYAzWTRbiHWpQ</v>
      </c>
      <c r="Q1706">
        <v>7990</v>
      </c>
      <c r="R1706" t="s">
        <v>124</v>
      </c>
      <c r="S1706" t="s">
        <v>125</v>
      </c>
      <c r="W1706">
        <v>1</v>
      </c>
      <c r="X1706">
        <v>1</v>
      </c>
      <c r="AM1706" t="s">
        <v>129</v>
      </c>
      <c r="AN1706" t="s">
        <v>130</v>
      </c>
      <c r="AP1706" t="s">
        <v>41</v>
      </c>
      <c r="AT1706" t="s">
        <v>45</v>
      </c>
      <c r="AY1706" t="s">
        <v>50</v>
      </c>
      <c r="BA1706" t="s">
        <v>52</v>
      </c>
      <c r="BF1706" t="s">
        <v>57</v>
      </c>
    </row>
    <row r="1707" spans="1:77" x14ac:dyDescent="0.2">
      <c r="A1707" t="s">
        <v>6261</v>
      </c>
      <c r="B1707" t="s">
        <v>6278</v>
      </c>
      <c r="C1707" t="s">
        <v>6251</v>
      </c>
      <c r="D1707" t="s">
        <v>6252</v>
      </c>
      <c r="E1707" t="s">
        <v>6279</v>
      </c>
      <c r="F1707" t="s">
        <v>118</v>
      </c>
      <c r="G1707" t="str">
        <f>HYPERLINK("https://www.youtube.com/watch?v=1SBIbJI3czM&amp;lc=Ugy3bUzD-bykuJGc3n54AaABAg.9PxGt86Yzae9PxIkDVleNJ")</f>
        <v>https://www.youtube.com/watch?v=1SBIbJI3czM&amp;lc=Ugy3bUzD-bykuJGc3n54AaABAg.9PxGt86Yzae9PxIkDVleNJ</v>
      </c>
      <c r="H1707" t="s">
        <v>119</v>
      </c>
      <c r="I1707" t="s">
        <v>4496</v>
      </c>
      <c r="J1707" t="str">
        <f>HYPERLINK("https://www.youtube.com/channel/UCIKsOvms5_CYAzWTRbiHWpQ")</f>
        <v>https://www.youtube.com/channel/UCIKsOvms5_CYAzWTRbiHWpQ</v>
      </c>
      <c r="K1707">
        <v>7990</v>
      </c>
      <c r="N1707" t="s">
        <v>248</v>
      </c>
      <c r="O1707" t="s">
        <v>4496</v>
      </c>
      <c r="P1707" t="str">
        <f>HYPERLINK("https://www.youtube.com/channel/UCIKsOvms5_CYAzWTRbiHWpQ")</f>
        <v>https://www.youtube.com/channel/UCIKsOvms5_CYAzWTRbiHWpQ</v>
      </c>
      <c r="Q1707">
        <v>7990</v>
      </c>
      <c r="R1707" t="s">
        <v>124</v>
      </c>
      <c r="S1707" t="s">
        <v>125</v>
      </c>
      <c r="W1707">
        <v>0</v>
      </c>
      <c r="X1707">
        <v>0</v>
      </c>
      <c r="AM1707" t="s">
        <v>129</v>
      </c>
      <c r="AN1707" t="s">
        <v>130</v>
      </c>
      <c r="AP1707" t="s">
        <v>41</v>
      </c>
      <c r="AT1707" t="s">
        <v>45</v>
      </c>
      <c r="AZ1707" t="s">
        <v>51</v>
      </c>
      <c r="BA1707" t="s">
        <v>52</v>
      </c>
    </row>
    <row r="1708" spans="1:77" x14ac:dyDescent="0.2">
      <c r="A1708" t="s">
        <v>6261</v>
      </c>
      <c r="B1708" t="s">
        <v>6278</v>
      </c>
      <c r="C1708" t="s">
        <v>6251</v>
      </c>
      <c r="D1708" t="s">
        <v>6252</v>
      </c>
      <c r="E1708" t="s">
        <v>6280</v>
      </c>
      <c r="F1708" t="s">
        <v>118</v>
      </c>
      <c r="G1708" t="str">
        <f>HYPERLINK("https://www.youtube.com/watch?v=1SBIbJI3czM&amp;lc=UgxT-ZucVjZGE3LNzEt4AaABAg.9PxI-yAdUXU9PxIeBFrkkY")</f>
        <v>https://www.youtube.com/watch?v=1SBIbJI3czM&amp;lc=UgxT-ZucVjZGE3LNzEt4AaABAg.9PxI-yAdUXU9PxIeBFrkkY</v>
      </c>
      <c r="H1708" t="s">
        <v>119</v>
      </c>
      <c r="I1708" t="s">
        <v>4496</v>
      </c>
      <c r="J1708" t="str">
        <f>HYPERLINK("https://www.youtube.com/channel/UCIKsOvms5_CYAzWTRbiHWpQ")</f>
        <v>https://www.youtube.com/channel/UCIKsOvms5_CYAzWTRbiHWpQ</v>
      </c>
      <c r="K1708">
        <v>7990</v>
      </c>
      <c r="N1708" t="s">
        <v>248</v>
      </c>
      <c r="O1708" t="s">
        <v>4496</v>
      </c>
      <c r="P1708" t="str">
        <f>HYPERLINK("https://www.youtube.com/channel/UCIKsOvms5_CYAzWTRbiHWpQ")</f>
        <v>https://www.youtube.com/channel/UCIKsOvms5_CYAzWTRbiHWpQ</v>
      </c>
      <c r="Q1708">
        <v>7990</v>
      </c>
      <c r="R1708" t="s">
        <v>124</v>
      </c>
      <c r="S1708" t="s">
        <v>125</v>
      </c>
      <c r="W1708">
        <v>1</v>
      </c>
      <c r="X1708">
        <v>1</v>
      </c>
      <c r="AM1708" t="s">
        <v>129</v>
      </c>
      <c r="AN1708" t="s">
        <v>130</v>
      </c>
      <c r="AP1708" t="s">
        <v>41</v>
      </c>
      <c r="AT1708" t="s">
        <v>45</v>
      </c>
      <c r="AY1708" t="s">
        <v>50</v>
      </c>
      <c r="AZ1708" t="s">
        <v>51</v>
      </c>
      <c r="BA1708" t="s">
        <v>52</v>
      </c>
    </row>
    <row r="1709" spans="1:77" x14ac:dyDescent="0.2">
      <c r="A1709" t="s">
        <v>6261</v>
      </c>
      <c r="B1709" t="s">
        <v>780</v>
      </c>
      <c r="C1709" t="s">
        <v>6281</v>
      </c>
      <c r="D1709" t="s">
        <v>6282</v>
      </c>
      <c r="E1709" t="s">
        <v>6283</v>
      </c>
      <c r="F1709" t="s">
        <v>118</v>
      </c>
      <c r="G1709" t="str">
        <f>HYPERLINK("https://www.youtube.com/watch?v=hgdarVqsmKU&amp;lc=Ugz9mR257LKvidaBeEN4AaABAg")</f>
        <v>https://www.youtube.com/watch?v=hgdarVqsmKU&amp;lc=Ugz9mR257LKvidaBeEN4AaABAg</v>
      </c>
      <c r="H1709" t="s">
        <v>119</v>
      </c>
      <c r="I1709" t="s">
        <v>6284</v>
      </c>
      <c r="J1709" t="str">
        <f>HYPERLINK("https://www.youtube.com/channel/UCjx_AJzZl-ZHQScC8ldUP5A")</f>
        <v>https://www.youtube.com/channel/UCjx_AJzZl-ZHQScC8ldUP5A</v>
      </c>
      <c r="K1709">
        <v>37</v>
      </c>
      <c r="N1709" t="s">
        <v>248</v>
      </c>
      <c r="O1709" t="s">
        <v>6285</v>
      </c>
      <c r="P1709" t="str">
        <f>HYPERLINK("https://www.youtube.com/channel/UCTmBFaLkTy5Fv9ld7idyo_A")</f>
        <v>https://www.youtube.com/channel/UCTmBFaLkTy5Fv9ld7idyo_A</v>
      </c>
      <c r="Q1709">
        <v>11400</v>
      </c>
      <c r="R1709" t="s">
        <v>124</v>
      </c>
      <c r="S1709" t="s">
        <v>125</v>
      </c>
      <c r="W1709">
        <v>1</v>
      </c>
      <c r="X1709">
        <v>1</v>
      </c>
      <c r="AE1709">
        <v>0</v>
      </c>
      <c r="AM1709" t="s">
        <v>129</v>
      </c>
      <c r="AN1709" t="s">
        <v>130</v>
      </c>
      <c r="AP1709" t="s">
        <v>41</v>
      </c>
      <c r="AZ1709" t="s">
        <v>51</v>
      </c>
      <c r="BA1709" t="s">
        <v>52</v>
      </c>
      <c r="BM1709" t="s">
        <v>64</v>
      </c>
    </row>
    <row r="1710" spans="1:77" x14ac:dyDescent="0.2">
      <c r="A1710" t="s">
        <v>6261</v>
      </c>
      <c r="B1710" t="s">
        <v>2908</v>
      </c>
      <c r="C1710" t="s">
        <v>6286</v>
      </c>
      <c r="D1710" t="s">
        <v>6287</v>
      </c>
      <c r="E1710" t="s">
        <v>6288</v>
      </c>
      <c r="F1710" t="s">
        <v>180</v>
      </c>
      <c r="G1710" t="str">
        <f>HYPERLINK("https://www.ozon.ru/context/detail/id/252063976/#60330815")</f>
        <v>https://www.ozon.ru/context/detail/id/252063976/#60330815</v>
      </c>
      <c r="H1710" t="s">
        <v>181</v>
      </c>
      <c r="I1710" t="s">
        <v>6289</v>
      </c>
      <c r="J1710" t="str">
        <f>HYPERLINK("https://www.ozon.ru/context/client_opinion/ClientGuid/b25813ea-959c-4ee8-a7f5-922b75c30664/")</f>
        <v>https://www.ozon.ru/context/client_opinion/ClientGuid/b25813ea-959c-4ee8-a7f5-922b75c30664/</v>
      </c>
      <c r="L1710" t="s">
        <v>121</v>
      </c>
      <c r="N1710" t="s">
        <v>183</v>
      </c>
      <c r="O1710" t="s">
        <v>6287</v>
      </c>
      <c r="P1710" t="str">
        <f>HYPERLINK("https://www.ozon.ru/context/detail/id/252063976/")</f>
        <v>https://www.ozon.ru/context/detail/id/252063976/</v>
      </c>
      <c r="R1710" t="s">
        <v>184</v>
      </c>
      <c r="S1710" t="s">
        <v>125</v>
      </c>
      <c r="W1710">
        <v>0</v>
      </c>
      <c r="X1710">
        <v>0</v>
      </c>
      <c r="AH1710">
        <v>5</v>
      </c>
      <c r="AM1710" t="s">
        <v>129</v>
      </c>
      <c r="AN1710" t="s">
        <v>130</v>
      </c>
      <c r="AP1710" t="s">
        <v>41</v>
      </c>
      <c r="AT1710" t="s">
        <v>45</v>
      </c>
      <c r="AZ1710" t="s">
        <v>51</v>
      </c>
      <c r="BA1710" t="s">
        <v>52</v>
      </c>
      <c r="BL1710" t="s">
        <v>63</v>
      </c>
    </row>
    <row r="1711" spans="1:77" x14ac:dyDescent="0.2">
      <c r="A1711" t="s">
        <v>6261</v>
      </c>
      <c r="B1711" t="s">
        <v>5019</v>
      </c>
      <c r="C1711" t="s">
        <v>6290</v>
      </c>
      <c r="D1711" t="s">
        <v>5922</v>
      </c>
      <c r="E1711" t="s">
        <v>6291</v>
      </c>
      <c r="F1711" t="s">
        <v>118</v>
      </c>
      <c r="G1711" t="str">
        <f>HYPERLINK("https://vk.com/wall-61101621_254705?reply=254708")</f>
        <v>https://vk.com/wall-61101621_254705?reply=254708</v>
      </c>
      <c r="H1711" t="s">
        <v>119</v>
      </c>
      <c r="I1711" t="s">
        <v>6292</v>
      </c>
      <c r="J1711" t="str">
        <f>HYPERLINK("http://vk.com/id288573547")</f>
        <v>http://vk.com/id288573547</v>
      </c>
      <c r="K1711">
        <v>83</v>
      </c>
      <c r="L1711" t="s">
        <v>121</v>
      </c>
      <c r="N1711" t="s">
        <v>122</v>
      </c>
      <c r="O1711" t="s">
        <v>160</v>
      </c>
      <c r="P1711" t="str">
        <f>HYPERLINK("http://vk.com/club61101621")</f>
        <v>http://vk.com/club61101621</v>
      </c>
      <c r="Q1711">
        <v>21119</v>
      </c>
      <c r="R1711" t="s">
        <v>124</v>
      </c>
      <c r="S1711" t="s">
        <v>125</v>
      </c>
      <c r="T1711" t="s">
        <v>1295</v>
      </c>
      <c r="U1711" t="s">
        <v>6293</v>
      </c>
      <c r="AM1711" t="s">
        <v>129</v>
      </c>
      <c r="AN1711" t="s">
        <v>130</v>
      </c>
      <c r="AP1711" t="s">
        <v>41</v>
      </c>
      <c r="AZ1711" t="s">
        <v>51</v>
      </c>
      <c r="BB1711" t="s">
        <v>53</v>
      </c>
      <c r="BL1711" t="s">
        <v>63</v>
      </c>
    </row>
    <row r="1712" spans="1:77" x14ac:dyDescent="0.2">
      <c r="A1712" t="s">
        <v>6261</v>
      </c>
      <c r="B1712" t="s">
        <v>1306</v>
      </c>
      <c r="C1712" t="s">
        <v>6294</v>
      </c>
      <c r="D1712" t="s">
        <v>2001</v>
      </c>
      <c r="E1712" t="s">
        <v>6295</v>
      </c>
      <c r="F1712" t="s">
        <v>118</v>
      </c>
      <c r="G1712" t="str">
        <f>HYPERLINK("https://vk.com/wall-27863223_291925?reply=291941&amp;thread=291929")</f>
        <v>https://vk.com/wall-27863223_291925?reply=291941&amp;thread=291929</v>
      </c>
      <c r="H1712" t="s">
        <v>119</v>
      </c>
      <c r="I1712" t="s">
        <v>229</v>
      </c>
      <c r="J1712" t="str">
        <f>HYPERLINK("http://vk.com/id486109495")</f>
        <v>http://vk.com/id486109495</v>
      </c>
      <c r="K1712">
        <v>2</v>
      </c>
      <c r="L1712" t="s">
        <v>121</v>
      </c>
      <c r="N1712" t="s">
        <v>122</v>
      </c>
      <c r="O1712" t="s">
        <v>175</v>
      </c>
      <c r="P1712" t="str">
        <f>HYPERLINK("http://vk.com/club27863223")</f>
        <v>http://vk.com/club27863223</v>
      </c>
      <c r="Q1712">
        <v>134698</v>
      </c>
      <c r="R1712" t="s">
        <v>124</v>
      </c>
      <c r="S1712" t="s">
        <v>125</v>
      </c>
      <c r="T1712" t="s">
        <v>230</v>
      </c>
      <c r="U1712" t="s">
        <v>231</v>
      </c>
      <c r="AM1712" t="s">
        <v>129</v>
      </c>
      <c r="AN1712" t="s">
        <v>130</v>
      </c>
      <c r="AP1712" t="s">
        <v>41</v>
      </c>
      <c r="AU1712" t="s">
        <v>46</v>
      </c>
      <c r="AY1712" t="s">
        <v>50</v>
      </c>
      <c r="AZ1712" t="s">
        <v>51</v>
      </c>
      <c r="BA1712" t="s">
        <v>52</v>
      </c>
    </row>
    <row r="1713" spans="1:100" x14ac:dyDescent="0.2">
      <c r="A1713" t="s">
        <v>6261</v>
      </c>
      <c r="B1713" t="s">
        <v>2912</v>
      </c>
      <c r="C1713" t="s">
        <v>6296</v>
      </c>
      <c r="D1713" t="s">
        <v>6297</v>
      </c>
      <c r="E1713" t="s">
        <v>6298</v>
      </c>
      <c r="F1713" t="s">
        <v>118</v>
      </c>
      <c r="G1713" t="str">
        <f>HYPERLINK("https://vk.com/wall-1072740_167134?reply=168128&amp;thread=167270")</f>
        <v>https://vk.com/wall-1072740_167134?reply=168128&amp;thread=167270</v>
      </c>
      <c r="H1713" t="s">
        <v>119</v>
      </c>
      <c r="I1713" t="s">
        <v>6299</v>
      </c>
      <c r="J1713" t="str">
        <f>HYPERLINK("http://vk.com/id155393776")</f>
        <v>http://vk.com/id155393776</v>
      </c>
      <c r="K1713">
        <v>103</v>
      </c>
      <c r="L1713" t="s">
        <v>151</v>
      </c>
      <c r="N1713" t="s">
        <v>122</v>
      </c>
      <c r="O1713" t="s">
        <v>6300</v>
      </c>
      <c r="P1713" t="str">
        <f>HYPERLINK("http://vk.com/club1072740")</f>
        <v>http://vk.com/club1072740</v>
      </c>
      <c r="Q1713">
        <v>15812</v>
      </c>
      <c r="R1713" t="s">
        <v>124</v>
      </c>
      <c r="S1713" t="s">
        <v>125</v>
      </c>
      <c r="T1713" t="s">
        <v>137</v>
      </c>
      <c r="U1713" t="s">
        <v>137</v>
      </c>
      <c r="AM1713" t="s">
        <v>129</v>
      </c>
      <c r="AN1713" t="s">
        <v>130</v>
      </c>
      <c r="AP1713" t="s">
        <v>41</v>
      </c>
      <c r="AT1713" t="s">
        <v>45</v>
      </c>
      <c r="AZ1713" t="s">
        <v>51</v>
      </c>
      <c r="BA1713" t="s">
        <v>52</v>
      </c>
      <c r="BM1713" t="s">
        <v>64</v>
      </c>
    </row>
    <row r="1714" spans="1:100" x14ac:dyDescent="0.2">
      <c r="A1714" t="s">
        <v>6261</v>
      </c>
      <c r="B1714" t="s">
        <v>4105</v>
      </c>
      <c r="C1714" t="s">
        <v>6301</v>
      </c>
      <c r="D1714" t="s">
        <v>5922</v>
      </c>
      <c r="E1714" t="s">
        <v>6302</v>
      </c>
      <c r="F1714" t="s">
        <v>118</v>
      </c>
      <c r="G1714" t="str">
        <f>HYPERLINK("https://vk.com/wall-61101621_254705?reply=254706")</f>
        <v>https://vk.com/wall-61101621_254705?reply=254706</v>
      </c>
      <c r="H1714" t="s">
        <v>119</v>
      </c>
      <c r="I1714" t="s">
        <v>6303</v>
      </c>
      <c r="J1714" t="str">
        <f>HYPERLINK("http://vk.com/id160097252")</f>
        <v>http://vk.com/id160097252</v>
      </c>
      <c r="K1714">
        <v>190</v>
      </c>
      <c r="L1714" t="s">
        <v>121</v>
      </c>
      <c r="N1714" t="s">
        <v>122</v>
      </c>
      <c r="O1714" t="s">
        <v>160</v>
      </c>
      <c r="P1714" t="str">
        <f>HYPERLINK("http://vk.com/club61101621")</f>
        <v>http://vk.com/club61101621</v>
      </c>
      <c r="Q1714">
        <v>21119</v>
      </c>
      <c r="R1714" t="s">
        <v>124</v>
      </c>
      <c r="S1714" t="s">
        <v>125</v>
      </c>
      <c r="W1714">
        <v>0</v>
      </c>
      <c r="X1714">
        <v>0</v>
      </c>
      <c r="AM1714" t="s">
        <v>129</v>
      </c>
      <c r="AN1714" t="s">
        <v>130</v>
      </c>
      <c r="AP1714" t="s">
        <v>41</v>
      </c>
      <c r="AZ1714" t="s">
        <v>51</v>
      </c>
      <c r="BA1714" t="s">
        <v>52</v>
      </c>
      <c r="BL1714" t="s">
        <v>63</v>
      </c>
    </row>
    <row r="1715" spans="1:100" x14ac:dyDescent="0.2">
      <c r="A1715" t="s">
        <v>6261</v>
      </c>
      <c r="B1715" t="s">
        <v>4590</v>
      </c>
      <c r="C1715" t="s">
        <v>6304</v>
      </c>
      <c r="D1715" t="s">
        <v>3261</v>
      </c>
      <c r="E1715" t="s">
        <v>6305</v>
      </c>
      <c r="F1715" t="s">
        <v>180</v>
      </c>
      <c r="G1715" t="str">
        <f>HYPERLINK("https://www.wildberries.ru/catalog/5691258/detail.aspx?targetUrl=ES#Comments")</f>
        <v>https://www.wildberries.ru/catalog/5691258/detail.aspx?targetUrl=ES#Comments</v>
      </c>
      <c r="H1715" t="s">
        <v>181</v>
      </c>
      <c r="I1715" t="s">
        <v>1347</v>
      </c>
      <c r="J1715" t="str">
        <f>HYPERLINK("https://www.wildberries.ru/profile/w7TDssOkw7PCu8K0wrXCtsKxwrHCtsK1wrY=")</f>
        <v>https://www.wildberries.ru/profile/w7TDssOkw7PCu8K0wrXCtsKxwrHCtsK1wrY=</v>
      </c>
      <c r="L1715" t="s">
        <v>121</v>
      </c>
      <c r="N1715" t="s">
        <v>534</v>
      </c>
      <c r="O1715" t="s">
        <v>3261</v>
      </c>
      <c r="P1715" t="str">
        <f>HYPERLINK("https://www.wildberries.ru/catalog/4570035/detail.aspx")</f>
        <v>https://www.wildberries.ru/catalog/4570035/detail.aspx</v>
      </c>
      <c r="R1715" t="s">
        <v>184</v>
      </c>
      <c r="S1715" t="s">
        <v>125</v>
      </c>
      <c r="W1715">
        <v>0</v>
      </c>
      <c r="X1715">
        <v>0</v>
      </c>
      <c r="AH1715">
        <v>5</v>
      </c>
      <c r="AM1715" t="s">
        <v>129</v>
      </c>
      <c r="AN1715" t="s">
        <v>130</v>
      </c>
      <c r="AP1715" t="s">
        <v>41</v>
      </c>
      <c r="AZ1715" t="s">
        <v>51</v>
      </c>
      <c r="BA1715" t="s">
        <v>52</v>
      </c>
      <c r="BK1715" t="s">
        <v>62</v>
      </c>
      <c r="BL1715" t="s">
        <v>63</v>
      </c>
    </row>
    <row r="1716" spans="1:100" x14ac:dyDescent="0.2">
      <c r="A1716" t="s">
        <v>6261</v>
      </c>
      <c r="B1716" t="s">
        <v>800</v>
      </c>
      <c r="C1716" t="s">
        <v>6301</v>
      </c>
      <c r="D1716" t="s">
        <v>129</v>
      </c>
      <c r="E1716" t="s">
        <v>6306</v>
      </c>
      <c r="F1716" t="s">
        <v>180</v>
      </c>
      <c r="G1716" t="str">
        <f>HYPERLINK("https://vk.com/wall-61101621_254705")</f>
        <v>https://vk.com/wall-61101621_254705</v>
      </c>
      <c r="H1716" t="s">
        <v>119</v>
      </c>
      <c r="I1716" t="s">
        <v>6214</v>
      </c>
      <c r="J1716" t="str">
        <f>HYPERLINK("http://vk.com/id90416769")</f>
        <v>http://vk.com/id90416769</v>
      </c>
      <c r="K1716">
        <v>74</v>
      </c>
      <c r="L1716" t="s">
        <v>121</v>
      </c>
      <c r="N1716" t="s">
        <v>122</v>
      </c>
      <c r="O1716" t="s">
        <v>160</v>
      </c>
      <c r="P1716" t="str">
        <f>HYPERLINK("http://vk.com/club61101621")</f>
        <v>http://vk.com/club61101621</v>
      </c>
      <c r="Q1716">
        <v>21119</v>
      </c>
      <c r="R1716" t="s">
        <v>124</v>
      </c>
      <c r="S1716" t="s">
        <v>1856</v>
      </c>
      <c r="T1716" t="s">
        <v>4012</v>
      </c>
      <c r="U1716" t="s">
        <v>4013</v>
      </c>
      <c r="W1716">
        <v>6</v>
      </c>
      <c r="X1716">
        <v>6</v>
      </c>
      <c r="AE1716">
        <v>7</v>
      </c>
      <c r="AF1716">
        <v>0</v>
      </c>
      <c r="AG1716">
        <v>1746</v>
      </c>
      <c r="AM1716" t="s">
        <v>129</v>
      </c>
      <c r="AN1716" t="s">
        <v>130</v>
      </c>
      <c r="AP1716" t="s">
        <v>41</v>
      </c>
      <c r="AU1716" t="s">
        <v>46</v>
      </c>
      <c r="AZ1716" t="s">
        <v>51</v>
      </c>
      <c r="BA1716" t="s">
        <v>52</v>
      </c>
      <c r="BL1716" t="s">
        <v>63</v>
      </c>
    </row>
    <row r="1717" spans="1:100" x14ac:dyDescent="0.2">
      <c r="A1717" t="s">
        <v>6261</v>
      </c>
      <c r="B1717" t="s">
        <v>812</v>
      </c>
      <c r="C1717" t="s">
        <v>6307</v>
      </c>
      <c r="D1717" t="s">
        <v>4094</v>
      </c>
      <c r="E1717" t="s">
        <v>6308</v>
      </c>
      <c r="F1717" t="s">
        <v>118</v>
      </c>
      <c r="G1717" t="str">
        <f>HYPERLINK("https://www.youtube.com/watch?v=XCtxDrX5LP0&amp;lc=UgyL5nFSeTA__98sGkt4AaABAg")</f>
        <v>https://www.youtube.com/watch?v=XCtxDrX5LP0&amp;lc=UgyL5nFSeTA__98sGkt4AaABAg</v>
      </c>
      <c r="H1717" t="s">
        <v>119</v>
      </c>
      <c r="I1717" t="s">
        <v>6309</v>
      </c>
      <c r="J1717" t="str">
        <f>HYPERLINK("https://www.youtube.com/channel/UCY_H6LsBEeBYNJlbH5YRp6Q")</f>
        <v>https://www.youtube.com/channel/UCY_H6LsBEeBYNJlbH5YRp6Q</v>
      </c>
      <c r="K1717">
        <v>2340</v>
      </c>
      <c r="N1717" t="s">
        <v>248</v>
      </c>
      <c r="O1717" t="s">
        <v>4096</v>
      </c>
      <c r="P1717" t="str">
        <f>HYPERLINK("https://www.youtube.com/channel/UCS_hQzqKW9msSt87cX24c8Q")</f>
        <v>https://www.youtube.com/channel/UCS_hQzqKW9msSt87cX24c8Q</v>
      </c>
      <c r="Q1717">
        <v>15600</v>
      </c>
      <c r="R1717" t="s">
        <v>124</v>
      </c>
      <c r="S1717" t="s">
        <v>125</v>
      </c>
      <c r="W1717">
        <v>0</v>
      </c>
      <c r="X1717">
        <v>0</v>
      </c>
      <c r="AE1717">
        <v>1</v>
      </c>
      <c r="AM1717" t="s">
        <v>129</v>
      </c>
      <c r="AN1717" t="s">
        <v>130</v>
      </c>
      <c r="AP1717" t="s">
        <v>41</v>
      </c>
      <c r="AW1717" t="s">
        <v>48</v>
      </c>
      <c r="AZ1717" t="s">
        <v>51</v>
      </c>
      <c r="BA1717" t="s">
        <v>52</v>
      </c>
      <c r="BM1717" t="s">
        <v>64</v>
      </c>
    </row>
    <row r="1718" spans="1:100" x14ac:dyDescent="0.2">
      <c r="A1718" t="s">
        <v>6261</v>
      </c>
      <c r="B1718" t="s">
        <v>1920</v>
      </c>
      <c r="C1718" t="s">
        <v>6310</v>
      </c>
      <c r="D1718" t="s">
        <v>608</v>
      </c>
      <c r="E1718" t="s">
        <v>6311</v>
      </c>
      <c r="F1718" t="s">
        <v>180</v>
      </c>
      <c r="G1718" t="str">
        <f>HYPERLINK("https://market.yandex.ru/product/297157063/reviews?id=134801826")</f>
        <v>https://market.yandex.ru/product/297157063/reviews?id=134801826</v>
      </c>
      <c r="H1718" t="s">
        <v>119</v>
      </c>
      <c r="I1718" t="s">
        <v>6312</v>
      </c>
      <c r="J1718" t="str">
        <f>HYPERLINK("https://market.yandex.ru/user/2a5err05m7mak73dxwbnmamv7r/reviews")</f>
        <v>https://market.yandex.ru/user/2a5err05m7mak73dxwbnmamv7r/reviews</v>
      </c>
      <c r="L1718" t="s">
        <v>121</v>
      </c>
      <c r="N1718" t="s">
        <v>611</v>
      </c>
      <c r="O1718" t="s">
        <v>608</v>
      </c>
      <c r="P1718" t="str">
        <f>HYPERLINK("https://market.yandex.ru/product/297157063")</f>
        <v>https://market.yandex.ru/product/297157063</v>
      </c>
      <c r="R1718" t="s">
        <v>184</v>
      </c>
      <c r="S1718" t="s">
        <v>125</v>
      </c>
      <c r="W1718">
        <v>0</v>
      </c>
      <c r="X1718">
        <v>0</v>
      </c>
      <c r="AH1718">
        <v>1</v>
      </c>
      <c r="AM1718" t="s">
        <v>129</v>
      </c>
      <c r="AN1718" t="s">
        <v>130</v>
      </c>
      <c r="AP1718" t="s">
        <v>41</v>
      </c>
      <c r="AT1718" t="s">
        <v>45</v>
      </c>
      <c r="AZ1718" t="s">
        <v>51</v>
      </c>
      <c r="BA1718" t="s">
        <v>52</v>
      </c>
    </row>
    <row r="1719" spans="1:100" x14ac:dyDescent="0.2">
      <c r="A1719" t="s">
        <v>6261</v>
      </c>
      <c r="B1719" t="s">
        <v>2363</v>
      </c>
      <c r="C1719" t="s">
        <v>6313</v>
      </c>
      <c r="D1719" t="s">
        <v>6314</v>
      </c>
      <c r="E1719" t="s">
        <v>6315</v>
      </c>
      <c r="F1719" t="s">
        <v>180</v>
      </c>
      <c r="G1719" t="str">
        <f>HYPERLINK("https://telesputnik.ru/forum/viewtopic.php?f=36&amp;t=51942&amp;start=1080#p2481670")</f>
        <v>https://telesputnik.ru/forum/viewtopic.php?f=36&amp;t=51942&amp;start=1080#p2481670</v>
      </c>
      <c r="H1719" t="s">
        <v>119</v>
      </c>
      <c r="I1719" t="s">
        <v>6316</v>
      </c>
      <c r="J1719" t="str">
        <f>HYPERLINK("https://telesputnik.ru/forum/memberlist.php?mode=viewprofile&amp;u=210986")</f>
        <v>https://telesputnik.ru/forum/memberlist.php?mode=viewprofile&amp;u=210986</v>
      </c>
      <c r="N1719" t="s">
        <v>335</v>
      </c>
      <c r="O1719" t="s">
        <v>909</v>
      </c>
      <c r="P1719" t="str">
        <f>HYPERLINK("https://telesputnik.ru/forum/viewforum.php?f=36")</f>
        <v>https://telesputnik.ru/forum/viewforum.php?f=36</v>
      </c>
      <c r="R1719" t="s">
        <v>295</v>
      </c>
      <c r="S1719" t="s">
        <v>125</v>
      </c>
      <c r="AM1719" t="s">
        <v>129</v>
      </c>
      <c r="AN1719" t="s">
        <v>130</v>
      </c>
      <c r="AP1719" t="s">
        <v>41</v>
      </c>
      <c r="AU1719" t="s">
        <v>46</v>
      </c>
      <c r="AZ1719" t="s">
        <v>51</v>
      </c>
      <c r="BA1719" t="s">
        <v>52</v>
      </c>
      <c r="BL1719" t="s">
        <v>63</v>
      </c>
      <c r="BM1719" t="s">
        <v>64</v>
      </c>
      <c r="CB1719" t="s">
        <v>79</v>
      </c>
    </row>
    <row r="1720" spans="1:100" x14ac:dyDescent="0.2">
      <c r="A1720" t="s">
        <v>6261</v>
      </c>
      <c r="B1720" t="s">
        <v>4135</v>
      </c>
      <c r="C1720" t="s">
        <v>6251</v>
      </c>
      <c r="D1720" t="s">
        <v>6252</v>
      </c>
      <c r="E1720" t="s">
        <v>6317</v>
      </c>
      <c r="F1720" t="s">
        <v>118</v>
      </c>
      <c r="G1720" t="str">
        <f>HYPERLINK("https://www.youtube.com/watch?v=1SBIbJI3czM&amp;lc=Ugwakg3NG8eXb-Clm7F4AaABAg")</f>
        <v>https://www.youtube.com/watch?v=1SBIbJI3czM&amp;lc=Ugwakg3NG8eXb-Clm7F4AaABAg</v>
      </c>
      <c r="H1720" t="s">
        <v>228</v>
      </c>
      <c r="I1720" t="s">
        <v>6318</v>
      </c>
      <c r="J1720" t="str">
        <f>HYPERLINK("https://www.youtube.com/channel/UC5nmw0ZU_P7bBUPL8PT-rwg")</f>
        <v>https://www.youtube.com/channel/UC5nmw0ZU_P7bBUPL8PT-rwg</v>
      </c>
      <c r="K1720">
        <v>0</v>
      </c>
      <c r="L1720" t="s">
        <v>121</v>
      </c>
      <c r="N1720" t="s">
        <v>248</v>
      </c>
      <c r="O1720" t="s">
        <v>4496</v>
      </c>
      <c r="P1720" t="str">
        <f>HYPERLINK("https://www.youtube.com/channel/UCIKsOvms5_CYAzWTRbiHWpQ")</f>
        <v>https://www.youtube.com/channel/UCIKsOvms5_CYAzWTRbiHWpQ</v>
      </c>
      <c r="Q1720">
        <v>7990</v>
      </c>
      <c r="R1720" t="s">
        <v>124</v>
      </c>
      <c r="S1720" t="s">
        <v>125</v>
      </c>
      <c r="W1720">
        <v>2</v>
      </c>
      <c r="X1720">
        <v>2</v>
      </c>
      <c r="AE1720">
        <v>0</v>
      </c>
      <c r="AM1720" t="s">
        <v>129</v>
      </c>
      <c r="AN1720" t="s">
        <v>130</v>
      </c>
      <c r="AP1720" t="s">
        <v>41</v>
      </c>
      <c r="BA1720" t="s">
        <v>52</v>
      </c>
      <c r="BF1720" t="s">
        <v>57</v>
      </c>
      <c r="BL1720" t="s">
        <v>63</v>
      </c>
    </row>
    <row r="1721" spans="1:100" x14ac:dyDescent="0.2">
      <c r="A1721" t="s">
        <v>6261</v>
      </c>
      <c r="B1721" t="s">
        <v>4141</v>
      </c>
      <c r="C1721" t="s">
        <v>6319</v>
      </c>
      <c r="D1721" t="s">
        <v>6320</v>
      </c>
      <c r="E1721" t="s">
        <v>6321</v>
      </c>
      <c r="F1721" t="s">
        <v>118</v>
      </c>
      <c r="G1721" t="str">
        <f>HYPERLINK("https://vk.com/wall-95067663_44605?reply=44684")</f>
        <v>https://vk.com/wall-95067663_44605?reply=44684</v>
      </c>
      <c r="H1721" t="s">
        <v>228</v>
      </c>
      <c r="I1721" t="s">
        <v>6322</v>
      </c>
      <c r="J1721" t="str">
        <f>HYPERLINK("http://vk.com/id25884286")</f>
        <v>http://vk.com/id25884286</v>
      </c>
      <c r="K1721">
        <v>6</v>
      </c>
      <c r="L1721" t="s">
        <v>121</v>
      </c>
      <c r="N1721" t="s">
        <v>122</v>
      </c>
      <c r="O1721" t="s">
        <v>6323</v>
      </c>
      <c r="P1721" t="str">
        <f>HYPERLINK("http://vk.com/club95067663")</f>
        <v>http://vk.com/club95067663</v>
      </c>
      <c r="Q1721">
        <v>6849</v>
      </c>
      <c r="R1721" t="s">
        <v>124</v>
      </c>
      <c r="S1721" t="s">
        <v>125</v>
      </c>
      <c r="AM1721" t="s">
        <v>129</v>
      </c>
      <c r="AN1721" t="s">
        <v>130</v>
      </c>
      <c r="AP1721" t="s">
        <v>41</v>
      </c>
      <c r="AZ1721" t="s">
        <v>51</v>
      </c>
      <c r="BA1721" t="s">
        <v>52</v>
      </c>
    </row>
    <row r="1722" spans="1:100" x14ac:dyDescent="0.2">
      <c r="A1722" t="s">
        <v>6261</v>
      </c>
      <c r="B1722" t="s">
        <v>4141</v>
      </c>
      <c r="C1722" t="s">
        <v>6324</v>
      </c>
      <c r="D1722" t="s">
        <v>2001</v>
      </c>
      <c r="E1722" t="s">
        <v>6325</v>
      </c>
      <c r="F1722" t="s">
        <v>118</v>
      </c>
      <c r="G1722" t="str">
        <f>HYPERLINK("https://vk.com/wall-27863223_291925?w=wall-27863223_291925_r291938")</f>
        <v>https://vk.com/wall-27863223_291925?w=wall-27863223_291925_r291938</v>
      </c>
      <c r="H1722" t="s">
        <v>228</v>
      </c>
      <c r="I1722" t="s">
        <v>3712</v>
      </c>
      <c r="J1722" t="str">
        <f>HYPERLINK("http://vk.com/id56014693")</f>
        <v>http://vk.com/id56014693</v>
      </c>
      <c r="K1722">
        <v>3</v>
      </c>
      <c r="L1722" t="s">
        <v>121</v>
      </c>
      <c r="N1722" t="s">
        <v>122</v>
      </c>
      <c r="O1722" t="s">
        <v>175</v>
      </c>
      <c r="P1722" t="str">
        <f>HYPERLINK("http://vk.com/club27863223")</f>
        <v>http://vk.com/club27863223</v>
      </c>
      <c r="Q1722">
        <v>134698</v>
      </c>
      <c r="R1722" t="s">
        <v>124</v>
      </c>
      <c r="S1722" t="s">
        <v>3713</v>
      </c>
      <c r="T1722" t="s">
        <v>3714</v>
      </c>
      <c r="U1722" t="s">
        <v>3714</v>
      </c>
      <c r="W1722">
        <v>0</v>
      </c>
      <c r="X1722">
        <v>0</v>
      </c>
      <c r="AM1722" t="s">
        <v>129</v>
      </c>
      <c r="AN1722" t="s">
        <v>130</v>
      </c>
      <c r="AP1722" t="s">
        <v>41</v>
      </c>
      <c r="AT1722" t="s">
        <v>45</v>
      </c>
      <c r="AW1722" t="s">
        <v>48</v>
      </c>
      <c r="AX1722" t="s">
        <v>49</v>
      </c>
      <c r="AZ1722" t="s">
        <v>51</v>
      </c>
      <c r="BA1722" t="s">
        <v>52</v>
      </c>
      <c r="CV1722" t="s">
        <v>99</v>
      </c>
    </row>
    <row r="1723" spans="1:100" x14ac:dyDescent="0.2">
      <c r="A1723" t="s">
        <v>6261</v>
      </c>
      <c r="B1723" t="s">
        <v>4144</v>
      </c>
      <c r="C1723" t="s">
        <v>6324</v>
      </c>
      <c r="D1723" t="s">
        <v>2001</v>
      </c>
      <c r="E1723" t="s">
        <v>6326</v>
      </c>
      <c r="F1723" t="s">
        <v>118</v>
      </c>
      <c r="G1723" t="str">
        <f>HYPERLINK("https://vk.com/wall-27863223_291925?reply=291933")</f>
        <v>https://vk.com/wall-27863223_291925?reply=291933</v>
      </c>
      <c r="H1723" t="s">
        <v>228</v>
      </c>
      <c r="I1723" t="s">
        <v>3712</v>
      </c>
      <c r="J1723" t="str">
        <f>HYPERLINK("http://vk.com/id56014693")</f>
        <v>http://vk.com/id56014693</v>
      </c>
      <c r="K1723">
        <v>3</v>
      </c>
      <c r="L1723" t="s">
        <v>121</v>
      </c>
      <c r="N1723" t="s">
        <v>122</v>
      </c>
      <c r="O1723" t="s">
        <v>175</v>
      </c>
      <c r="P1723" t="str">
        <f>HYPERLINK("http://vk.com/club27863223")</f>
        <v>http://vk.com/club27863223</v>
      </c>
      <c r="Q1723">
        <v>134698</v>
      </c>
      <c r="R1723" t="s">
        <v>124</v>
      </c>
      <c r="S1723" t="s">
        <v>3713</v>
      </c>
      <c r="T1723" t="s">
        <v>3714</v>
      </c>
      <c r="U1723" t="s">
        <v>3714</v>
      </c>
      <c r="W1723">
        <v>0</v>
      </c>
      <c r="X1723">
        <v>0</v>
      </c>
      <c r="AM1723" t="s">
        <v>129</v>
      </c>
      <c r="AN1723" t="s">
        <v>130</v>
      </c>
      <c r="AP1723" t="s">
        <v>41</v>
      </c>
      <c r="AY1723" t="s">
        <v>50</v>
      </c>
      <c r="AZ1723" t="s">
        <v>51</v>
      </c>
      <c r="BA1723" t="s">
        <v>52</v>
      </c>
    </row>
    <row r="1724" spans="1:100" x14ac:dyDescent="0.2">
      <c r="A1724" t="s">
        <v>6261</v>
      </c>
      <c r="B1724" t="s">
        <v>6327</v>
      </c>
      <c r="C1724" t="s">
        <v>6324</v>
      </c>
      <c r="D1724" t="s">
        <v>2001</v>
      </c>
      <c r="E1724" t="s">
        <v>6328</v>
      </c>
      <c r="F1724" t="s">
        <v>118</v>
      </c>
      <c r="G1724" t="str">
        <f>HYPERLINK("https://vk.com/wall-27863223_291925?reply=291931")</f>
        <v>https://vk.com/wall-27863223_291925?reply=291931</v>
      </c>
      <c r="H1724" t="s">
        <v>228</v>
      </c>
      <c r="I1724" t="s">
        <v>3712</v>
      </c>
      <c r="J1724" t="str">
        <f>HYPERLINK("http://vk.com/id56014693")</f>
        <v>http://vk.com/id56014693</v>
      </c>
      <c r="K1724">
        <v>3</v>
      </c>
      <c r="L1724" t="s">
        <v>121</v>
      </c>
      <c r="N1724" t="s">
        <v>122</v>
      </c>
      <c r="O1724" t="s">
        <v>175</v>
      </c>
      <c r="P1724" t="str">
        <f>HYPERLINK("http://vk.com/club27863223")</f>
        <v>http://vk.com/club27863223</v>
      </c>
      <c r="Q1724">
        <v>134698</v>
      </c>
      <c r="R1724" t="s">
        <v>124</v>
      </c>
      <c r="S1724" t="s">
        <v>3713</v>
      </c>
      <c r="T1724" t="s">
        <v>3714</v>
      </c>
      <c r="U1724" t="s">
        <v>3714</v>
      </c>
      <c r="W1724">
        <v>0</v>
      </c>
      <c r="X1724">
        <v>0</v>
      </c>
      <c r="AM1724" t="s">
        <v>129</v>
      </c>
      <c r="AN1724" t="s">
        <v>130</v>
      </c>
      <c r="AP1724" t="s">
        <v>41</v>
      </c>
      <c r="AZ1724" t="s">
        <v>51</v>
      </c>
      <c r="BD1724" t="s">
        <v>55</v>
      </c>
    </row>
    <row r="1725" spans="1:100" x14ac:dyDescent="0.2">
      <c r="A1725" t="s">
        <v>6261</v>
      </c>
      <c r="B1725" t="s">
        <v>5051</v>
      </c>
      <c r="C1725" t="s">
        <v>6307</v>
      </c>
      <c r="D1725" t="s">
        <v>4094</v>
      </c>
      <c r="E1725" t="s">
        <v>6329</v>
      </c>
      <c r="F1725" t="s">
        <v>118</v>
      </c>
      <c r="G1725" t="str">
        <f>HYPERLINK("https://www.youtube.com/watch?v=XCtxDrX5LP0&amp;lc=UgxQ1UEcSVOOXsaK1hV4AaABAg.9PwxXqcvyEH9Px3p536cUM")</f>
        <v>https://www.youtube.com/watch?v=XCtxDrX5LP0&amp;lc=UgxQ1UEcSVOOXsaK1hV4AaABAg.9PwxXqcvyEH9Px3p536cUM</v>
      </c>
      <c r="H1725" t="s">
        <v>119</v>
      </c>
      <c r="I1725" t="s">
        <v>4096</v>
      </c>
      <c r="J1725" t="str">
        <f>HYPERLINK("https://www.youtube.com/channel/UCS_hQzqKW9msSt87cX24c8Q")</f>
        <v>https://www.youtube.com/channel/UCS_hQzqKW9msSt87cX24c8Q</v>
      </c>
      <c r="K1725">
        <v>15600</v>
      </c>
      <c r="N1725" t="s">
        <v>248</v>
      </c>
      <c r="O1725" t="s">
        <v>4096</v>
      </c>
      <c r="P1725" t="str">
        <f>HYPERLINK("https://www.youtube.com/channel/UCS_hQzqKW9msSt87cX24c8Q")</f>
        <v>https://www.youtube.com/channel/UCS_hQzqKW9msSt87cX24c8Q</v>
      </c>
      <c r="Q1725">
        <v>15600</v>
      </c>
      <c r="R1725" t="s">
        <v>124</v>
      </c>
      <c r="S1725" t="s">
        <v>125</v>
      </c>
      <c r="W1725">
        <v>1</v>
      </c>
      <c r="X1725">
        <v>1</v>
      </c>
      <c r="AM1725" t="s">
        <v>129</v>
      </c>
      <c r="AN1725" t="s">
        <v>130</v>
      </c>
      <c r="AP1725" t="s">
        <v>41</v>
      </c>
      <c r="AU1725" t="s">
        <v>46</v>
      </c>
      <c r="AZ1725" t="s">
        <v>51</v>
      </c>
      <c r="BA1725" t="s">
        <v>52</v>
      </c>
    </row>
    <row r="1726" spans="1:100" x14ac:dyDescent="0.2">
      <c r="A1726" t="s">
        <v>6261</v>
      </c>
      <c r="B1726" t="s">
        <v>239</v>
      </c>
      <c r="C1726" t="s">
        <v>6307</v>
      </c>
      <c r="D1726" t="s">
        <v>4094</v>
      </c>
      <c r="E1726" t="s">
        <v>6330</v>
      </c>
      <c r="F1726" t="s">
        <v>118</v>
      </c>
      <c r="G1726" t="str">
        <f>HYPERLINK("https://www.youtube.com/watch?v=XCtxDrX5LP0&amp;lc=UgxREFbRDXsWTM1tQLx4AaABAg.9PwytItgdQl9Px3cFQ4Ti1")</f>
        <v>https://www.youtube.com/watch?v=XCtxDrX5LP0&amp;lc=UgxREFbRDXsWTM1tQLx4AaABAg.9PwytItgdQl9Px3cFQ4Ti1</v>
      </c>
      <c r="H1726" t="s">
        <v>228</v>
      </c>
      <c r="I1726" t="s">
        <v>4096</v>
      </c>
      <c r="J1726" t="str">
        <f>HYPERLINK("https://www.youtube.com/channel/UCS_hQzqKW9msSt87cX24c8Q")</f>
        <v>https://www.youtube.com/channel/UCS_hQzqKW9msSt87cX24c8Q</v>
      </c>
      <c r="K1726">
        <v>15600</v>
      </c>
      <c r="N1726" t="s">
        <v>248</v>
      </c>
      <c r="O1726" t="s">
        <v>4096</v>
      </c>
      <c r="P1726" t="str">
        <f>HYPERLINK("https://www.youtube.com/channel/UCS_hQzqKW9msSt87cX24c8Q")</f>
        <v>https://www.youtube.com/channel/UCS_hQzqKW9msSt87cX24c8Q</v>
      </c>
      <c r="Q1726">
        <v>15600</v>
      </c>
      <c r="R1726" t="s">
        <v>124</v>
      </c>
      <c r="S1726" t="s">
        <v>125</v>
      </c>
      <c r="W1726">
        <v>1</v>
      </c>
      <c r="X1726">
        <v>1</v>
      </c>
      <c r="AM1726" t="s">
        <v>129</v>
      </c>
      <c r="AN1726" t="s">
        <v>130</v>
      </c>
      <c r="AP1726" t="s">
        <v>41</v>
      </c>
      <c r="AZ1726" t="s">
        <v>51</v>
      </c>
      <c r="BA1726" t="s">
        <v>52</v>
      </c>
    </row>
    <row r="1727" spans="1:100" x14ac:dyDescent="0.2">
      <c r="A1727" t="s">
        <v>6261</v>
      </c>
      <c r="B1727" t="s">
        <v>3664</v>
      </c>
      <c r="C1727" t="s">
        <v>6331</v>
      </c>
      <c r="D1727" t="s">
        <v>204</v>
      </c>
      <c r="E1727" t="s">
        <v>6332</v>
      </c>
      <c r="F1727" t="s">
        <v>180</v>
      </c>
      <c r="G1727" t="str">
        <f>HYPERLINK("https://play.google.com/store/apps/details?id=ru.iflex.android.a3colortv&amp;reviewId=gp:AOqpTOGBDlgdWLOtrFGwkOitpg4613GrUl8fAPotGzJtwJCy7MgkLvzxPDS4LMDf0DJNpraN2jzzLZ6yS-ajhQ")</f>
        <v>https://play.google.com/store/apps/details?id=ru.iflex.android.a3colortv&amp;reviewId=gp:AOqpTOGBDlgdWLOtrFGwkOitpg4613GrUl8fAPotGzJtwJCy7MgkLvzxPDS4LMDf0DJNpraN2jzzLZ6yS-ajhQ</v>
      </c>
      <c r="H1727" t="s">
        <v>228</v>
      </c>
      <c r="I1727" t="s">
        <v>6333</v>
      </c>
      <c r="J1727" t="str">
        <f>HYPERLINK("https://plus.google.com/108746762222515799184")</f>
        <v>https://plus.google.com/108746762222515799184</v>
      </c>
      <c r="L1727" t="s">
        <v>121</v>
      </c>
      <c r="N1727" t="s">
        <v>207</v>
      </c>
      <c r="O1727" t="s">
        <v>204</v>
      </c>
      <c r="P1727" t="str">
        <f>HYPERLINK("https://play.google.com/store/apps/details?id=ru.iflex.android.a3colortv&amp;hl=ru")</f>
        <v>https://play.google.com/store/apps/details?id=ru.iflex.android.a3colortv&amp;hl=ru</v>
      </c>
      <c r="R1727" t="s">
        <v>184</v>
      </c>
      <c r="S1727" t="s">
        <v>125</v>
      </c>
      <c r="W1727">
        <v>0</v>
      </c>
      <c r="X1727">
        <v>0</v>
      </c>
      <c r="AH1727">
        <v>2</v>
      </c>
      <c r="AM1727" t="s">
        <v>129</v>
      </c>
      <c r="AN1727" t="s">
        <v>130</v>
      </c>
      <c r="AP1727" t="s">
        <v>41</v>
      </c>
      <c r="AZ1727" t="s">
        <v>51</v>
      </c>
      <c r="BA1727" t="s">
        <v>52</v>
      </c>
      <c r="BQ1727" t="s">
        <v>68</v>
      </c>
    </row>
    <row r="1728" spans="1:100" x14ac:dyDescent="0.2">
      <c r="A1728" t="s">
        <v>6261</v>
      </c>
      <c r="B1728" t="s">
        <v>5064</v>
      </c>
      <c r="C1728" t="s">
        <v>6307</v>
      </c>
      <c r="D1728" t="s">
        <v>4094</v>
      </c>
      <c r="E1728" t="s">
        <v>6334</v>
      </c>
      <c r="F1728" t="s">
        <v>118</v>
      </c>
      <c r="G1728" t="str">
        <f>HYPERLINK("https://www.youtube.com/watch?v=XCtxDrX5LP0&amp;lc=UgxNuNQHuf_hMSJ8kuF4AaABAg.9PwtRbRyyVf9Px2rKfTleb")</f>
        <v>https://www.youtube.com/watch?v=XCtxDrX5LP0&amp;lc=UgxNuNQHuf_hMSJ8kuF4AaABAg.9PwtRbRyyVf9Px2rKfTleb</v>
      </c>
      <c r="H1728" t="s">
        <v>228</v>
      </c>
      <c r="I1728" t="s">
        <v>4096</v>
      </c>
      <c r="J1728" t="str">
        <f>HYPERLINK("https://www.youtube.com/channel/UCS_hQzqKW9msSt87cX24c8Q")</f>
        <v>https://www.youtube.com/channel/UCS_hQzqKW9msSt87cX24c8Q</v>
      </c>
      <c r="K1728">
        <v>15600</v>
      </c>
      <c r="N1728" t="s">
        <v>248</v>
      </c>
      <c r="O1728" t="s">
        <v>4096</v>
      </c>
      <c r="P1728" t="str">
        <f>HYPERLINK("https://www.youtube.com/channel/UCS_hQzqKW9msSt87cX24c8Q")</f>
        <v>https://www.youtube.com/channel/UCS_hQzqKW9msSt87cX24c8Q</v>
      </c>
      <c r="Q1728">
        <v>15600</v>
      </c>
      <c r="R1728" t="s">
        <v>124</v>
      </c>
      <c r="S1728" t="s">
        <v>125</v>
      </c>
      <c r="W1728">
        <v>1</v>
      </c>
      <c r="X1728">
        <v>1</v>
      </c>
      <c r="AM1728" t="s">
        <v>129</v>
      </c>
      <c r="AN1728" t="s">
        <v>130</v>
      </c>
      <c r="AP1728" t="s">
        <v>41</v>
      </c>
      <c r="AZ1728" t="s">
        <v>51</v>
      </c>
      <c r="BA1728" t="s">
        <v>52</v>
      </c>
    </row>
    <row r="1729" spans="1:69" x14ac:dyDescent="0.2">
      <c r="A1729" t="s">
        <v>6261</v>
      </c>
      <c r="B1729" t="s">
        <v>6335</v>
      </c>
      <c r="C1729" t="s">
        <v>6336</v>
      </c>
      <c r="D1729" t="s">
        <v>6337</v>
      </c>
      <c r="E1729" t="s">
        <v>6338</v>
      </c>
      <c r="F1729" t="s">
        <v>118</v>
      </c>
      <c r="G1729" t="str">
        <f>HYPERLINK("https://vk.com/wall-61101621_254686?reply=254703")</f>
        <v>https://vk.com/wall-61101621_254686?reply=254703</v>
      </c>
      <c r="H1729" t="s">
        <v>119</v>
      </c>
      <c r="I1729" t="s">
        <v>1722</v>
      </c>
      <c r="J1729" t="str">
        <f>HYPERLINK("http://vk.com/id240644107")</f>
        <v>http://vk.com/id240644107</v>
      </c>
      <c r="K1729">
        <v>33</v>
      </c>
      <c r="L1729" t="s">
        <v>121</v>
      </c>
      <c r="N1729" t="s">
        <v>122</v>
      </c>
      <c r="O1729" t="s">
        <v>160</v>
      </c>
      <c r="P1729" t="str">
        <f>HYPERLINK("http://vk.com/club61101621")</f>
        <v>http://vk.com/club61101621</v>
      </c>
      <c r="Q1729">
        <v>21119</v>
      </c>
      <c r="R1729" t="s">
        <v>124</v>
      </c>
      <c r="S1729" t="s">
        <v>125</v>
      </c>
      <c r="T1729" t="s">
        <v>169</v>
      </c>
      <c r="U1729" t="s">
        <v>169</v>
      </c>
      <c r="W1729">
        <v>0</v>
      </c>
      <c r="X1729">
        <v>0</v>
      </c>
      <c r="AM1729" t="s">
        <v>129</v>
      </c>
      <c r="AN1729" t="s">
        <v>130</v>
      </c>
      <c r="AP1729" t="s">
        <v>41</v>
      </c>
      <c r="AU1729" t="s">
        <v>46</v>
      </c>
      <c r="AZ1729" t="s">
        <v>51</v>
      </c>
      <c r="BA1729" t="s">
        <v>52</v>
      </c>
      <c r="BQ1729" t="s">
        <v>68</v>
      </c>
    </row>
    <row r="1730" spans="1:69" x14ac:dyDescent="0.2">
      <c r="A1730" t="s">
        <v>6261</v>
      </c>
      <c r="B1730" t="s">
        <v>6335</v>
      </c>
      <c r="C1730" t="s">
        <v>6339</v>
      </c>
      <c r="D1730" t="s">
        <v>6173</v>
      </c>
      <c r="E1730" t="s">
        <v>6340</v>
      </c>
      <c r="F1730" t="s">
        <v>180</v>
      </c>
      <c r="G1730" t="str">
        <f>HYPERLINK("https://4pda.to/forum/index.php?showtopic=1006075&amp;st=1360#entry108070598")</f>
        <v>https://4pda.to/forum/index.php?showtopic=1006075&amp;st=1360#entry108070598</v>
      </c>
      <c r="H1730" t="s">
        <v>119</v>
      </c>
      <c r="I1730" t="s">
        <v>6175</v>
      </c>
      <c r="J1730" t="str">
        <f>HYPERLINK("https://4pda.to/forum/index.php?showuser=3177456")</f>
        <v>https://4pda.to/forum/index.php?showuser=3177456</v>
      </c>
      <c r="N1730" t="s">
        <v>293</v>
      </c>
      <c r="O1730" t="s">
        <v>1695</v>
      </c>
      <c r="P1730" t="str">
        <f>HYPERLINK("https://4pda.to/forum/index.php?showforum=640")</f>
        <v>https://4pda.to/forum/index.php?showforum=640</v>
      </c>
      <c r="R1730" t="s">
        <v>295</v>
      </c>
      <c r="S1730" t="s">
        <v>125</v>
      </c>
      <c r="AM1730" t="s">
        <v>129</v>
      </c>
      <c r="AN1730" t="s">
        <v>130</v>
      </c>
      <c r="AP1730" t="s">
        <v>41</v>
      </c>
      <c r="AZ1730" t="s">
        <v>51</v>
      </c>
      <c r="BA1730" t="s">
        <v>52</v>
      </c>
      <c r="BL1730" t="s">
        <v>63</v>
      </c>
      <c r="BM1730" t="s">
        <v>64</v>
      </c>
    </row>
    <row r="1731" spans="1:69" x14ac:dyDescent="0.2">
      <c r="A1731" t="s">
        <v>6261</v>
      </c>
      <c r="B1731" t="s">
        <v>243</v>
      </c>
      <c r="C1731" t="s">
        <v>6341</v>
      </c>
      <c r="D1731" t="s">
        <v>2001</v>
      </c>
      <c r="E1731" t="s">
        <v>6342</v>
      </c>
      <c r="F1731" t="s">
        <v>118</v>
      </c>
      <c r="G1731" t="str">
        <f>HYPERLINK("https://vk.com/wall-27863223_291925?reply=291929")</f>
        <v>https://vk.com/wall-27863223_291925?reply=291929</v>
      </c>
      <c r="H1731" t="s">
        <v>228</v>
      </c>
      <c r="I1731" t="s">
        <v>3712</v>
      </c>
      <c r="J1731" t="str">
        <f>HYPERLINK("http://vk.com/id56014693")</f>
        <v>http://vk.com/id56014693</v>
      </c>
      <c r="K1731">
        <v>3</v>
      </c>
      <c r="L1731" t="s">
        <v>121</v>
      </c>
      <c r="N1731" t="s">
        <v>122</v>
      </c>
      <c r="O1731" t="s">
        <v>175</v>
      </c>
      <c r="P1731" t="str">
        <f>HYPERLINK("http://vk.com/club27863223")</f>
        <v>http://vk.com/club27863223</v>
      </c>
      <c r="Q1731">
        <v>134698</v>
      </c>
      <c r="R1731" t="s">
        <v>124</v>
      </c>
      <c r="S1731" t="s">
        <v>3713</v>
      </c>
      <c r="T1731" t="s">
        <v>3714</v>
      </c>
      <c r="U1731" t="s">
        <v>3714</v>
      </c>
      <c r="W1731">
        <v>0</v>
      </c>
      <c r="X1731">
        <v>0</v>
      </c>
      <c r="AM1731" t="s">
        <v>129</v>
      </c>
      <c r="AN1731" t="s">
        <v>130</v>
      </c>
      <c r="AP1731" t="s">
        <v>41</v>
      </c>
      <c r="AT1731" t="s">
        <v>45</v>
      </c>
      <c r="AU1731" t="s">
        <v>46</v>
      </c>
      <c r="AY1731" t="s">
        <v>50</v>
      </c>
      <c r="AZ1731" t="s">
        <v>51</v>
      </c>
      <c r="BA1731" t="s">
        <v>52</v>
      </c>
    </row>
    <row r="1732" spans="1:69" x14ac:dyDescent="0.2">
      <c r="A1732" t="s">
        <v>6261</v>
      </c>
      <c r="B1732" t="s">
        <v>5533</v>
      </c>
      <c r="C1732" t="s">
        <v>5628</v>
      </c>
      <c r="D1732" t="s">
        <v>1727</v>
      </c>
      <c r="E1732" t="s">
        <v>6343</v>
      </c>
      <c r="F1732" t="s">
        <v>180</v>
      </c>
      <c r="G1732" t="str">
        <f>HYPERLINK("https://www.ozon.ru/context/detail/id/248909251/#60310244")</f>
        <v>https://www.ozon.ru/context/detail/id/248909251/#60310244</v>
      </c>
      <c r="H1732" t="s">
        <v>181</v>
      </c>
      <c r="I1732" t="s">
        <v>4942</v>
      </c>
      <c r="J1732" t="str">
        <f>HYPERLINK("https://www.ozon.ru/context/client_opinion/ClientGuid/cf0cffea-58a3-4f0d-a43c-5c92a58e6af3/")</f>
        <v>https://www.ozon.ru/context/client_opinion/ClientGuid/cf0cffea-58a3-4f0d-a43c-5c92a58e6af3/</v>
      </c>
      <c r="L1732" t="s">
        <v>121</v>
      </c>
      <c r="N1732" t="s">
        <v>183</v>
      </c>
      <c r="O1732" t="s">
        <v>1729</v>
      </c>
      <c r="P1732" t="str">
        <f>HYPERLINK("https://www.ozon.ru/context/detail/id/248909251/")</f>
        <v>https://www.ozon.ru/context/detail/id/248909251/</v>
      </c>
      <c r="R1732" t="s">
        <v>184</v>
      </c>
      <c r="S1732" t="s">
        <v>125</v>
      </c>
      <c r="W1732">
        <v>0</v>
      </c>
      <c r="X1732">
        <v>0</v>
      </c>
      <c r="AH1732">
        <v>5</v>
      </c>
      <c r="AM1732" t="s">
        <v>129</v>
      </c>
      <c r="AN1732" t="s">
        <v>130</v>
      </c>
      <c r="AP1732" t="s">
        <v>41</v>
      </c>
      <c r="AT1732" t="s">
        <v>45</v>
      </c>
      <c r="AZ1732" t="s">
        <v>51</v>
      </c>
      <c r="BA1732" t="s">
        <v>52</v>
      </c>
      <c r="BL1732" t="s">
        <v>63</v>
      </c>
    </row>
    <row r="1733" spans="1:69" x14ac:dyDescent="0.2">
      <c r="A1733" t="s">
        <v>6261</v>
      </c>
      <c r="B1733" t="s">
        <v>4172</v>
      </c>
      <c r="C1733" t="s">
        <v>6341</v>
      </c>
      <c r="D1733" t="s">
        <v>2001</v>
      </c>
      <c r="E1733" t="s">
        <v>6344</v>
      </c>
      <c r="F1733" t="s">
        <v>118</v>
      </c>
      <c r="G1733" t="str">
        <f>HYPERLINK("https://vk.com/wall-27863223_291925?reply=291927")</f>
        <v>https://vk.com/wall-27863223_291925?reply=291927</v>
      </c>
      <c r="H1733" t="s">
        <v>228</v>
      </c>
      <c r="I1733" t="s">
        <v>3712</v>
      </c>
      <c r="J1733" t="str">
        <f>HYPERLINK("http://vk.com/id56014693")</f>
        <v>http://vk.com/id56014693</v>
      </c>
      <c r="K1733">
        <v>3</v>
      </c>
      <c r="L1733" t="s">
        <v>121</v>
      </c>
      <c r="N1733" t="s">
        <v>122</v>
      </c>
      <c r="O1733" t="s">
        <v>175</v>
      </c>
      <c r="P1733" t="str">
        <f>HYPERLINK("http://vk.com/club27863223")</f>
        <v>http://vk.com/club27863223</v>
      </c>
      <c r="Q1733">
        <v>134698</v>
      </c>
      <c r="R1733" t="s">
        <v>124</v>
      </c>
      <c r="S1733" t="s">
        <v>3713</v>
      </c>
      <c r="T1733" t="s">
        <v>3714</v>
      </c>
      <c r="U1733" t="s">
        <v>3714</v>
      </c>
      <c r="W1733">
        <v>0</v>
      </c>
      <c r="X1733">
        <v>0</v>
      </c>
      <c r="AM1733" t="s">
        <v>129</v>
      </c>
      <c r="AN1733" t="s">
        <v>130</v>
      </c>
      <c r="AP1733" t="s">
        <v>41</v>
      </c>
      <c r="BD1733" t="s">
        <v>55</v>
      </c>
      <c r="BE1733" t="s">
        <v>56</v>
      </c>
    </row>
    <row r="1734" spans="1:69" x14ac:dyDescent="0.2">
      <c r="A1734" t="s">
        <v>6261</v>
      </c>
      <c r="B1734" t="s">
        <v>838</v>
      </c>
      <c r="C1734" t="s">
        <v>6307</v>
      </c>
      <c r="D1734" t="s">
        <v>4094</v>
      </c>
      <c r="E1734" t="s">
        <v>6345</v>
      </c>
      <c r="F1734" t="s">
        <v>118</v>
      </c>
      <c r="G1734" t="str">
        <f>HYPERLINK("https://www.youtube.com/watch?v=XCtxDrX5LP0&amp;lc=UgxREFbRDXsWTM1tQLx4AaABAg")</f>
        <v>https://www.youtube.com/watch?v=XCtxDrX5LP0&amp;lc=UgxREFbRDXsWTM1tQLx4AaABAg</v>
      </c>
      <c r="H1734" t="s">
        <v>119</v>
      </c>
      <c r="I1734" t="s">
        <v>6346</v>
      </c>
      <c r="J1734" t="str">
        <f>HYPERLINK("https://www.youtube.com/channel/UCc6CBn5kaAa8Q64rl2ebnHg")</f>
        <v>https://www.youtube.com/channel/UCc6CBn5kaAa8Q64rl2ebnHg</v>
      </c>
      <c r="K1734">
        <v>0</v>
      </c>
      <c r="L1734" t="s">
        <v>151</v>
      </c>
      <c r="N1734" t="s">
        <v>248</v>
      </c>
      <c r="O1734" t="s">
        <v>4096</v>
      </c>
      <c r="P1734" t="str">
        <f>HYPERLINK("https://www.youtube.com/channel/UCS_hQzqKW9msSt87cX24c8Q")</f>
        <v>https://www.youtube.com/channel/UCS_hQzqKW9msSt87cX24c8Q</v>
      </c>
      <c r="Q1734">
        <v>15600</v>
      </c>
      <c r="R1734" t="s">
        <v>124</v>
      </c>
      <c r="S1734" t="s">
        <v>125</v>
      </c>
      <c r="W1734">
        <v>1</v>
      </c>
      <c r="X1734">
        <v>1</v>
      </c>
      <c r="AE1734">
        <v>4</v>
      </c>
      <c r="AM1734" t="s">
        <v>129</v>
      </c>
      <c r="AN1734" t="s">
        <v>130</v>
      </c>
      <c r="AP1734" t="s">
        <v>41</v>
      </c>
      <c r="AY1734" t="s">
        <v>50</v>
      </c>
      <c r="AZ1734" t="s">
        <v>51</v>
      </c>
      <c r="BA1734" t="s">
        <v>52</v>
      </c>
      <c r="BM1734" t="s">
        <v>64</v>
      </c>
    </row>
    <row r="1735" spans="1:69" x14ac:dyDescent="0.2">
      <c r="A1735" t="s">
        <v>6261</v>
      </c>
      <c r="B1735" t="s">
        <v>4200</v>
      </c>
      <c r="C1735" t="s">
        <v>6347</v>
      </c>
      <c r="D1735" t="s">
        <v>2202</v>
      </c>
      <c r="E1735" t="s">
        <v>6348</v>
      </c>
      <c r="F1735" t="s">
        <v>180</v>
      </c>
      <c r="G1735" t="str">
        <f>HYPERLINK("https://www.wildberries.ru/catalog/16083135/detail.aspx?targetUrl=ES#Comments")</f>
        <v>https://www.wildberries.ru/catalog/16083135/detail.aspx?targetUrl=ES#Comments</v>
      </c>
      <c r="H1735" t="s">
        <v>181</v>
      </c>
      <c r="I1735" t="s">
        <v>924</v>
      </c>
      <c r="J1735" t="str">
        <f>HYPERLINK("https://www.wildberries.ru/profile/w7TDssOkw7PCu8KzwrnCtsKwwrTCscKxwrc=")</f>
        <v>https://www.wildberries.ru/profile/w7TDssOkw7PCu8KzwrnCtsKwwrTCscKxwrc=</v>
      </c>
      <c r="L1735" t="s">
        <v>121</v>
      </c>
      <c r="N1735" t="s">
        <v>534</v>
      </c>
      <c r="O1735" t="s">
        <v>2202</v>
      </c>
      <c r="P1735" t="str">
        <f>HYPERLINK("https://www.wildberries.ru/catalog/11979974/detail.aspx")</f>
        <v>https://www.wildberries.ru/catalog/11979974/detail.aspx</v>
      </c>
      <c r="R1735" t="s">
        <v>184</v>
      </c>
      <c r="S1735" t="s">
        <v>125</v>
      </c>
      <c r="W1735">
        <v>0</v>
      </c>
      <c r="X1735">
        <v>0</v>
      </c>
      <c r="AH1735">
        <v>5</v>
      </c>
      <c r="AM1735" t="s">
        <v>129</v>
      </c>
      <c r="AN1735" t="s">
        <v>130</v>
      </c>
      <c r="AP1735" t="s">
        <v>41</v>
      </c>
      <c r="AZ1735" t="s">
        <v>51</v>
      </c>
      <c r="BA1735" t="s">
        <v>52</v>
      </c>
      <c r="BK1735" t="s">
        <v>62</v>
      </c>
      <c r="BL1735" t="s">
        <v>63</v>
      </c>
    </row>
    <row r="1736" spans="1:69" x14ac:dyDescent="0.2">
      <c r="A1736" t="s">
        <v>6261</v>
      </c>
      <c r="B1736" t="s">
        <v>266</v>
      </c>
      <c r="C1736" t="s">
        <v>6349</v>
      </c>
      <c r="D1736" t="s">
        <v>1648</v>
      </c>
      <c r="E1736" t="s">
        <v>6350</v>
      </c>
      <c r="F1736" t="s">
        <v>180</v>
      </c>
      <c r="G1736" t="str">
        <f>HYPERLINK("https://www.wildberries.ru/catalog/26550113/detail.aspx?targetUrl=ES#Comments")</f>
        <v>https://www.wildberries.ru/catalog/26550113/detail.aspx?targetUrl=ES#Comments</v>
      </c>
      <c r="H1736" t="s">
        <v>181</v>
      </c>
      <c r="I1736" t="s">
        <v>924</v>
      </c>
      <c r="J1736" t="str">
        <f>HYPERLINK("https://www.wildberries.ru/profile/w7TDssOkw7PCu8KzwrnCtsKwwrTCscKxwrc=")</f>
        <v>https://www.wildberries.ru/profile/w7TDssOkw7PCu8KzwrnCtsKwwrTCscKxwrc=</v>
      </c>
      <c r="L1736" t="s">
        <v>121</v>
      </c>
      <c r="N1736" t="s">
        <v>534</v>
      </c>
      <c r="O1736" t="s">
        <v>1648</v>
      </c>
      <c r="P1736" t="str">
        <f>HYPERLINK("https://www.wildberries.ru/catalog/19471768/detail.aspx")</f>
        <v>https://www.wildberries.ru/catalog/19471768/detail.aspx</v>
      </c>
      <c r="R1736" t="s">
        <v>184</v>
      </c>
      <c r="S1736" t="s">
        <v>125</v>
      </c>
      <c r="W1736">
        <v>0</v>
      </c>
      <c r="X1736">
        <v>0</v>
      </c>
      <c r="AH1736">
        <v>5</v>
      </c>
      <c r="AM1736" t="s">
        <v>129</v>
      </c>
      <c r="AN1736" t="s">
        <v>130</v>
      </c>
      <c r="AP1736" t="s">
        <v>41</v>
      </c>
      <c r="AZ1736" t="s">
        <v>51</v>
      </c>
      <c r="BA1736" t="s">
        <v>52</v>
      </c>
      <c r="BK1736" t="s">
        <v>62</v>
      </c>
      <c r="BL1736" t="s">
        <v>63</v>
      </c>
    </row>
    <row r="1737" spans="1:69" x14ac:dyDescent="0.2">
      <c r="A1737" t="s">
        <v>6261</v>
      </c>
      <c r="B1737" t="s">
        <v>6351</v>
      </c>
      <c r="C1737" t="s">
        <v>6352</v>
      </c>
      <c r="D1737" t="s">
        <v>6320</v>
      </c>
      <c r="E1737" t="s">
        <v>6353</v>
      </c>
      <c r="F1737" t="s">
        <v>118</v>
      </c>
      <c r="G1737" t="str">
        <f>HYPERLINK("https://ok.ru/group/53918693523698/topic/153732351245810#MTYyNjYyNjQxNzU3MDotMTUzMjc6MTYyNjYyNjQxNzU3MDoxNTM3MzIzNTEyNDU4MTA6MQ==")</f>
        <v>https://ok.ru/group/53918693523698/topic/153732351245810#MTYyNjYyNjQxNzU3MDotMTUzMjc6MTYyNjYyNjQxNzU3MDoxNTM3MzIzNTEyNDU4MTA6MQ==</v>
      </c>
      <c r="H1737" t="s">
        <v>119</v>
      </c>
      <c r="I1737" t="s">
        <v>6354</v>
      </c>
      <c r="J1737" t="str">
        <f>HYPERLINK("https://ok.ru/profile/577157592403")</f>
        <v>https://ok.ru/profile/577157592403</v>
      </c>
      <c r="K1737">
        <v>86</v>
      </c>
      <c r="L1737" t="s">
        <v>121</v>
      </c>
      <c r="M1737">
        <v>54</v>
      </c>
      <c r="N1737" t="s">
        <v>347</v>
      </c>
      <c r="O1737" t="s">
        <v>6071</v>
      </c>
      <c r="P1737" t="str">
        <f>HYPERLINK("https://ok.ru/group/53918693523698")</f>
        <v>https://ok.ru/group/53918693523698</v>
      </c>
      <c r="Q1737">
        <v>17454</v>
      </c>
      <c r="R1737" t="s">
        <v>124</v>
      </c>
      <c r="S1737" t="s">
        <v>125</v>
      </c>
      <c r="W1737">
        <v>0</v>
      </c>
      <c r="X1737">
        <v>0</v>
      </c>
      <c r="AM1737" t="s">
        <v>129</v>
      </c>
      <c r="AN1737" t="s">
        <v>130</v>
      </c>
      <c r="AP1737" t="s">
        <v>41</v>
      </c>
      <c r="AT1737" t="s">
        <v>45</v>
      </c>
      <c r="AW1737" t="s">
        <v>48</v>
      </c>
      <c r="AZ1737" t="s">
        <v>51</v>
      </c>
      <c r="BA1737" t="s">
        <v>52</v>
      </c>
      <c r="BL1737" t="s">
        <v>63</v>
      </c>
      <c r="BM1737" t="s">
        <v>64</v>
      </c>
    </row>
    <row r="1738" spans="1:69" x14ac:dyDescent="0.2">
      <c r="A1738" t="s">
        <v>6261</v>
      </c>
      <c r="B1738" t="s">
        <v>5087</v>
      </c>
      <c r="C1738" t="s">
        <v>6355</v>
      </c>
      <c r="D1738" t="s">
        <v>6356</v>
      </c>
      <c r="E1738" t="s">
        <v>6357</v>
      </c>
      <c r="F1738" t="s">
        <v>118</v>
      </c>
      <c r="G1738" t="str">
        <f>HYPERLINK("https://www.youtube.com/watch?v=Rut_VIYY9K0&amp;lc=UgyBsuz7W9gcGuemszh4AaABAg")</f>
        <v>https://www.youtube.com/watch?v=Rut_VIYY9K0&amp;lc=UgyBsuz7W9gcGuemszh4AaABAg</v>
      </c>
      <c r="H1738" t="s">
        <v>119</v>
      </c>
      <c r="I1738" t="s">
        <v>1310</v>
      </c>
      <c r="J1738" t="str">
        <f>HYPERLINK("https://www.youtube.com/channel/UCyAfnDZqRM3t3s0xUWm0FCw")</f>
        <v>https://www.youtube.com/channel/UCyAfnDZqRM3t3s0xUWm0FCw</v>
      </c>
      <c r="K1738">
        <v>4</v>
      </c>
      <c r="L1738" t="s">
        <v>121</v>
      </c>
      <c r="N1738" t="s">
        <v>248</v>
      </c>
      <c r="O1738" t="s">
        <v>6358</v>
      </c>
      <c r="P1738" t="str">
        <f>HYPERLINK("https://www.youtube.com/channel/UCAL5hMRwgUHpflxQf386eXA")</f>
        <v>https://www.youtube.com/channel/UCAL5hMRwgUHpflxQf386eXA</v>
      </c>
      <c r="Q1738">
        <v>57300</v>
      </c>
      <c r="R1738" t="s">
        <v>124</v>
      </c>
      <c r="S1738" t="s">
        <v>125</v>
      </c>
      <c r="W1738">
        <v>0</v>
      </c>
      <c r="X1738">
        <v>0</v>
      </c>
      <c r="AE1738">
        <v>1</v>
      </c>
      <c r="AM1738" t="s">
        <v>129</v>
      </c>
      <c r="AN1738" t="s">
        <v>130</v>
      </c>
      <c r="AP1738" t="s">
        <v>41</v>
      </c>
      <c r="AT1738" t="s">
        <v>45</v>
      </c>
      <c r="AZ1738" t="s">
        <v>51</v>
      </c>
      <c r="BA1738" t="s">
        <v>52</v>
      </c>
      <c r="BQ1738" t="s">
        <v>68</v>
      </c>
    </row>
    <row r="1739" spans="1:69" x14ac:dyDescent="0.2">
      <c r="A1739" t="s">
        <v>6261</v>
      </c>
      <c r="B1739" t="s">
        <v>5087</v>
      </c>
      <c r="C1739" t="s">
        <v>5594</v>
      </c>
      <c r="D1739" t="s">
        <v>6359</v>
      </c>
      <c r="E1739" t="s">
        <v>6360</v>
      </c>
      <c r="F1739" t="s">
        <v>180</v>
      </c>
      <c r="G1739" t="str">
        <f>HYPERLINK("https://www.ozon.ru/context/detail/id/203401812/#60300493")</f>
        <v>https://www.ozon.ru/context/detail/id/203401812/#60300493</v>
      </c>
      <c r="H1739" t="s">
        <v>181</v>
      </c>
      <c r="I1739" t="s">
        <v>6361</v>
      </c>
      <c r="J1739" t="str">
        <f>HYPERLINK("https://www.ozon.ru/context/client_opinion/ClientGuid/d69123c9-2626-484e-9753-ef5263f20348/")</f>
        <v>https://www.ozon.ru/context/client_opinion/ClientGuid/d69123c9-2626-484e-9753-ef5263f20348/</v>
      </c>
      <c r="L1739" t="s">
        <v>151</v>
      </c>
      <c r="N1739" t="s">
        <v>183</v>
      </c>
      <c r="O1739" t="s">
        <v>6359</v>
      </c>
      <c r="P1739" t="str">
        <f>HYPERLINK("https://www.ozon.ru/context/detail/id/203401812/")</f>
        <v>https://www.ozon.ru/context/detail/id/203401812/</v>
      </c>
      <c r="R1739" t="s">
        <v>184</v>
      </c>
      <c r="S1739" t="s">
        <v>125</v>
      </c>
      <c r="W1739">
        <v>0</v>
      </c>
      <c r="X1739">
        <v>0</v>
      </c>
      <c r="AH1739">
        <v>5</v>
      </c>
      <c r="AM1739" t="s">
        <v>129</v>
      </c>
      <c r="AN1739" t="s">
        <v>130</v>
      </c>
      <c r="AP1739" t="s">
        <v>41</v>
      </c>
      <c r="AT1739" t="s">
        <v>45</v>
      </c>
      <c r="AZ1739" t="s">
        <v>51</v>
      </c>
      <c r="BA1739" t="s">
        <v>52</v>
      </c>
    </row>
    <row r="1740" spans="1:69" x14ac:dyDescent="0.2">
      <c r="A1740" t="s">
        <v>6261</v>
      </c>
      <c r="B1740" t="s">
        <v>5576</v>
      </c>
      <c r="C1740" t="s">
        <v>5345</v>
      </c>
      <c r="D1740" t="s">
        <v>3482</v>
      </c>
      <c r="E1740" t="s">
        <v>6362</v>
      </c>
      <c r="F1740" t="s">
        <v>180</v>
      </c>
      <c r="G1740" t="str">
        <f>HYPERLINK("https://www.ozon.ru/context/detail/id/202443226/#60300354")</f>
        <v>https://www.ozon.ru/context/detail/id/202443226/#60300354</v>
      </c>
      <c r="H1740" t="s">
        <v>181</v>
      </c>
      <c r="I1740" t="s">
        <v>6361</v>
      </c>
      <c r="J1740" t="str">
        <f>HYPERLINK("https://www.ozon.ru/context/client_opinion/ClientGuid/d69123c9-2626-484e-9753-ef5263f20348/")</f>
        <v>https://www.ozon.ru/context/client_opinion/ClientGuid/d69123c9-2626-484e-9753-ef5263f20348/</v>
      </c>
      <c r="L1740" t="s">
        <v>151</v>
      </c>
      <c r="N1740" t="s">
        <v>183</v>
      </c>
      <c r="O1740" t="s">
        <v>3482</v>
      </c>
      <c r="P1740" t="str">
        <f>HYPERLINK("https://www.ozon.ru/context/detail/id/202443226/")</f>
        <v>https://www.ozon.ru/context/detail/id/202443226/</v>
      </c>
      <c r="R1740" t="s">
        <v>184</v>
      </c>
      <c r="S1740" t="s">
        <v>125</v>
      </c>
      <c r="W1740">
        <v>0</v>
      </c>
      <c r="X1740">
        <v>0</v>
      </c>
      <c r="AH1740">
        <v>5</v>
      </c>
      <c r="AM1740" t="s">
        <v>129</v>
      </c>
      <c r="AN1740" t="s">
        <v>130</v>
      </c>
      <c r="AP1740" t="s">
        <v>41</v>
      </c>
      <c r="AZ1740" t="s">
        <v>51</v>
      </c>
      <c r="BA1740" t="s">
        <v>52</v>
      </c>
      <c r="BK1740" t="s">
        <v>62</v>
      </c>
      <c r="BL1740" t="s">
        <v>63</v>
      </c>
    </row>
    <row r="1741" spans="1:69" x14ac:dyDescent="0.2">
      <c r="A1741" t="s">
        <v>6261</v>
      </c>
      <c r="B1741" t="s">
        <v>1414</v>
      </c>
      <c r="C1741" t="s">
        <v>6307</v>
      </c>
      <c r="D1741" t="s">
        <v>4094</v>
      </c>
      <c r="E1741" t="s">
        <v>6363</v>
      </c>
      <c r="F1741" t="s">
        <v>118</v>
      </c>
      <c r="G1741" t="str">
        <f>HYPERLINK("https://www.youtube.com/watch?v=XCtxDrX5LP0&amp;lc=UgxNuNQHuf_hMSJ8kuF4AaABAg")</f>
        <v>https://www.youtube.com/watch?v=XCtxDrX5LP0&amp;lc=UgxNuNQHuf_hMSJ8kuF4AaABAg</v>
      </c>
      <c r="H1741" t="s">
        <v>228</v>
      </c>
      <c r="I1741" t="s">
        <v>6364</v>
      </c>
      <c r="J1741" t="str">
        <f>HYPERLINK("https://www.youtube.com/channel/UCZkKrNnUXoPAldG89T7xgkg")</f>
        <v>https://www.youtube.com/channel/UCZkKrNnUXoPAldG89T7xgkg</v>
      </c>
      <c r="K1741">
        <v>26</v>
      </c>
      <c r="L1741" t="s">
        <v>151</v>
      </c>
      <c r="N1741" t="s">
        <v>248</v>
      </c>
      <c r="O1741" t="s">
        <v>4096</v>
      </c>
      <c r="P1741" t="str">
        <f>HYPERLINK("https://www.youtube.com/channel/UCS_hQzqKW9msSt87cX24c8Q")</f>
        <v>https://www.youtube.com/channel/UCS_hQzqKW9msSt87cX24c8Q</v>
      </c>
      <c r="Q1741">
        <v>15600</v>
      </c>
      <c r="R1741" t="s">
        <v>124</v>
      </c>
      <c r="S1741" t="s">
        <v>125</v>
      </c>
      <c r="W1741">
        <v>1</v>
      </c>
      <c r="X1741">
        <v>1</v>
      </c>
      <c r="AE1741">
        <v>1</v>
      </c>
      <c r="AM1741" t="s">
        <v>129</v>
      </c>
      <c r="AN1741" t="s">
        <v>130</v>
      </c>
      <c r="AP1741" t="s">
        <v>41</v>
      </c>
      <c r="AZ1741" t="s">
        <v>51</v>
      </c>
      <c r="BA1741" t="s">
        <v>52</v>
      </c>
      <c r="BL1741" t="s">
        <v>63</v>
      </c>
    </row>
    <row r="1742" spans="1:69" x14ac:dyDescent="0.2">
      <c r="A1742" t="s">
        <v>6261</v>
      </c>
      <c r="B1742" t="s">
        <v>883</v>
      </c>
      <c r="C1742" t="s">
        <v>6365</v>
      </c>
      <c r="D1742" t="s">
        <v>1697</v>
      </c>
      <c r="E1742" t="s">
        <v>6366</v>
      </c>
      <c r="F1742" t="s">
        <v>180</v>
      </c>
      <c r="G1742" t="str">
        <f>HYPERLINK("https://apps.apple.com/ru/app/мой-триколор/id1204321194#7591052190")</f>
        <v>https://apps.apple.com/ru/app/мой-триколор/id1204321194#7591052190</v>
      </c>
      <c r="H1742" t="s">
        <v>181</v>
      </c>
      <c r="I1742" t="s">
        <v>6367</v>
      </c>
      <c r="J1742" t="str">
        <f>HYPERLINK("https://itunes.apple.com/reviews?userProfileId=280577936")</f>
        <v>https://itunes.apple.com/reviews?userProfileId=280577936</v>
      </c>
      <c r="N1742" t="s">
        <v>1411</v>
      </c>
      <c r="O1742" t="s">
        <v>1697</v>
      </c>
      <c r="P1742" t="str">
        <f>HYPERLINK("https://apps.apple.com/ru/app/мой-триколор/id1204321194")</f>
        <v>https://apps.apple.com/ru/app/мой-триколор/id1204321194</v>
      </c>
      <c r="R1742" t="s">
        <v>184</v>
      </c>
      <c r="S1742" t="s">
        <v>125</v>
      </c>
      <c r="AH1742">
        <v>5</v>
      </c>
      <c r="AM1742" t="s">
        <v>129</v>
      </c>
      <c r="AN1742" t="s">
        <v>130</v>
      </c>
      <c r="AP1742" t="s">
        <v>41</v>
      </c>
      <c r="AZ1742" t="s">
        <v>51</v>
      </c>
      <c r="BA1742" t="s">
        <v>52</v>
      </c>
      <c r="BQ1742" t="s">
        <v>68</v>
      </c>
    </row>
    <row r="1743" spans="1:69" x14ac:dyDescent="0.2">
      <c r="A1743" t="s">
        <v>6261</v>
      </c>
      <c r="B1743" t="s">
        <v>5119</v>
      </c>
      <c r="C1743" t="s">
        <v>6368</v>
      </c>
      <c r="D1743" t="s">
        <v>6053</v>
      </c>
      <c r="E1743" t="s">
        <v>6369</v>
      </c>
      <c r="F1743" t="s">
        <v>118</v>
      </c>
      <c r="G1743" t="str">
        <f>HYPERLINK("https://vk.com/wall-22935147_368378?w=wall-22935147_368378_r368454")</f>
        <v>https://vk.com/wall-22935147_368378?w=wall-22935147_368378_r368454</v>
      </c>
      <c r="H1743" t="s">
        <v>119</v>
      </c>
      <c r="I1743" t="s">
        <v>6055</v>
      </c>
      <c r="J1743" t="str">
        <f>HYPERLINK("http://vk.com/id154372840")</f>
        <v>http://vk.com/id154372840</v>
      </c>
      <c r="K1743">
        <v>19</v>
      </c>
      <c r="L1743" t="s">
        <v>121</v>
      </c>
      <c r="N1743" t="s">
        <v>122</v>
      </c>
      <c r="O1743" t="s">
        <v>1093</v>
      </c>
      <c r="P1743" t="str">
        <f>HYPERLINK("http://vk.com/club22935147")</f>
        <v>http://vk.com/club22935147</v>
      </c>
      <c r="Q1743">
        <v>8943</v>
      </c>
      <c r="R1743" t="s">
        <v>124</v>
      </c>
      <c r="S1743" t="s">
        <v>1884</v>
      </c>
      <c r="T1743" t="s">
        <v>3228</v>
      </c>
      <c r="U1743" t="s">
        <v>6056</v>
      </c>
      <c r="W1743">
        <v>0</v>
      </c>
      <c r="X1743">
        <v>0</v>
      </c>
      <c r="AM1743" t="s">
        <v>129</v>
      </c>
      <c r="AN1743" t="s">
        <v>130</v>
      </c>
      <c r="AP1743" t="s">
        <v>41</v>
      </c>
      <c r="AU1743" t="s">
        <v>46</v>
      </c>
      <c r="AZ1743" t="s">
        <v>51</v>
      </c>
      <c r="BA1743" t="s">
        <v>52</v>
      </c>
      <c r="BM1743" t="s">
        <v>64</v>
      </c>
    </row>
    <row r="1744" spans="1:69" x14ac:dyDescent="0.2">
      <c r="A1744" t="s">
        <v>6261</v>
      </c>
      <c r="B1744" t="s">
        <v>296</v>
      </c>
      <c r="C1744" t="s">
        <v>6352</v>
      </c>
      <c r="D1744" t="s">
        <v>6320</v>
      </c>
      <c r="E1744" t="s">
        <v>6370</v>
      </c>
      <c r="F1744" t="s">
        <v>118</v>
      </c>
      <c r="G1744" t="str">
        <f>HYPERLINK("https://ok.ru/group/53918693523698/topic/153732351245810#MTYyNjYyMzQyODMzNTotOTk1OToxNjI2NjIzNDI4MzM1OjE1MzczMjM1MTI0NTgxMDox")</f>
        <v>https://ok.ru/group/53918693523698/topic/153732351245810#MTYyNjYyMzQyODMzNTotOTk1OToxNjI2NjIzNDI4MzM1OjE1MzczMjM1MTI0NTgxMDox</v>
      </c>
      <c r="H1744" t="s">
        <v>119</v>
      </c>
      <c r="I1744" t="s">
        <v>6371</v>
      </c>
      <c r="J1744" t="str">
        <f>HYPERLINK("https://ok.ru/profile/506692183927")</f>
        <v>https://ok.ru/profile/506692183927</v>
      </c>
      <c r="K1744">
        <v>572</v>
      </c>
      <c r="L1744" t="s">
        <v>151</v>
      </c>
      <c r="M1744">
        <v>31</v>
      </c>
      <c r="N1744" t="s">
        <v>347</v>
      </c>
      <c r="O1744" t="s">
        <v>6071</v>
      </c>
      <c r="P1744" t="str">
        <f>HYPERLINK("https://ok.ru/group/53918693523698")</f>
        <v>https://ok.ru/group/53918693523698</v>
      </c>
      <c r="Q1744">
        <v>17454</v>
      </c>
      <c r="R1744" t="s">
        <v>124</v>
      </c>
      <c r="S1744" t="s">
        <v>125</v>
      </c>
      <c r="T1744" t="s">
        <v>256</v>
      </c>
      <c r="U1744" t="s">
        <v>6372</v>
      </c>
      <c r="W1744">
        <v>0</v>
      </c>
      <c r="X1744">
        <v>0</v>
      </c>
      <c r="AM1744" t="s">
        <v>129</v>
      </c>
      <c r="AN1744" t="s">
        <v>130</v>
      </c>
      <c r="AP1744" t="s">
        <v>41</v>
      </c>
      <c r="AW1744" t="s">
        <v>48</v>
      </c>
      <c r="AZ1744" t="s">
        <v>51</v>
      </c>
      <c r="BA1744" t="s">
        <v>52</v>
      </c>
    </row>
    <row r="1745" spans="1:70" x14ac:dyDescent="0.2">
      <c r="A1745" t="s">
        <v>6261</v>
      </c>
      <c r="B1745" t="s">
        <v>3390</v>
      </c>
      <c r="C1745" t="s">
        <v>6373</v>
      </c>
      <c r="D1745" t="s">
        <v>6374</v>
      </c>
      <c r="E1745" t="s">
        <v>6375</v>
      </c>
      <c r="F1745" t="s">
        <v>180</v>
      </c>
      <c r="G1745" t="str">
        <f>HYPERLINK("https://www.ozon.ru/context/detail/id/261519364/#60292561")</f>
        <v>https://www.ozon.ru/context/detail/id/261519364/#60292561</v>
      </c>
      <c r="H1745" t="s">
        <v>181</v>
      </c>
      <c r="I1745" t="s">
        <v>6376</v>
      </c>
      <c r="J1745" t="str">
        <f>HYPERLINK("https://www.ozon.ru/context/client_opinion/ClientGuid/22034c51-29ca-4c84-a1c0-5ac8991fe5a3/")</f>
        <v>https://www.ozon.ru/context/client_opinion/ClientGuid/22034c51-29ca-4c84-a1c0-5ac8991fe5a3/</v>
      </c>
      <c r="N1745" t="s">
        <v>183</v>
      </c>
      <c r="O1745" t="s">
        <v>6374</v>
      </c>
      <c r="P1745" t="str">
        <f>HYPERLINK("https://www.ozon.ru/context/detail/id/261519364/")</f>
        <v>https://www.ozon.ru/context/detail/id/261519364/</v>
      </c>
      <c r="R1745" t="s">
        <v>184</v>
      </c>
      <c r="S1745" t="s">
        <v>125</v>
      </c>
      <c r="W1745">
        <v>0</v>
      </c>
      <c r="X1745">
        <v>0</v>
      </c>
      <c r="AH1745">
        <v>5</v>
      </c>
      <c r="AM1745" t="s">
        <v>129</v>
      </c>
      <c r="AN1745" t="s">
        <v>130</v>
      </c>
      <c r="AP1745" t="s">
        <v>41</v>
      </c>
      <c r="AT1745" t="s">
        <v>45</v>
      </c>
      <c r="AW1745" t="s">
        <v>48</v>
      </c>
      <c r="AZ1745" t="s">
        <v>51</v>
      </c>
      <c r="BA1745" t="s">
        <v>52</v>
      </c>
    </row>
    <row r="1746" spans="1:70" x14ac:dyDescent="0.2">
      <c r="A1746" t="s">
        <v>6261</v>
      </c>
      <c r="B1746" t="s">
        <v>2457</v>
      </c>
      <c r="C1746" t="s">
        <v>6377</v>
      </c>
      <c r="D1746" t="s">
        <v>6204</v>
      </c>
      <c r="E1746" t="s">
        <v>6378</v>
      </c>
      <c r="F1746" t="s">
        <v>180</v>
      </c>
      <c r="G1746" t="str">
        <f>HYPERLINK("https://telesputnik.ru/forum/viewtopic.php?f=36&amp;t=38434&amp;start=8540#p2481644")</f>
        <v>https://telesputnik.ru/forum/viewtopic.php?f=36&amp;t=38434&amp;start=8540#p2481644</v>
      </c>
      <c r="H1746" t="s">
        <v>119</v>
      </c>
      <c r="I1746" t="s">
        <v>6206</v>
      </c>
      <c r="J1746" t="str">
        <f>HYPERLINK("https://telesputnik.ru/forum/memberlist.php?mode=viewprofile&amp;u=50330")</f>
        <v>https://telesputnik.ru/forum/memberlist.php?mode=viewprofile&amp;u=50330</v>
      </c>
      <c r="N1746" t="s">
        <v>335</v>
      </c>
      <c r="O1746" t="s">
        <v>336</v>
      </c>
      <c r="P1746" t="str">
        <f>HYPERLINK("https://telesputnik.ru/forum/viewforum.php?f=11")</f>
        <v>https://telesputnik.ru/forum/viewforum.php?f=11</v>
      </c>
      <c r="R1746" t="s">
        <v>295</v>
      </c>
      <c r="S1746" t="s">
        <v>125</v>
      </c>
      <c r="AM1746" t="s">
        <v>129</v>
      </c>
      <c r="AN1746" t="s">
        <v>130</v>
      </c>
      <c r="AP1746" t="s">
        <v>41</v>
      </c>
      <c r="AU1746" t="s">
        <v>46</v>
      </c>
      <c r="AZ1746" t="s">
        <v>51</v>
      </c>
      <c r="BA1746" t="s">
        <v>52</v>
      </c>
    </row>
    <row r="1747" spans="1:70" x14ac:dyDescent="0.2">
      <c r="A1747" t="s">
        <v>6261</v>
      </c>
      <c r="B1747" t="s">
        <v>1433</v>
      </c>
      <c r="C1747" t="s">
        <v>6368</v>
      </c>
      <c r="D1747" t="s">
        <v>6265</v>
      </c>
      <c r="E1747" t="s">
        <v>6379</v>
      </c>
      <c r="F1747" t="s">
        <v>118</v>
      </c>
      <c r="G1747" t="str">
        <f>HYPERLINK("https://vk.com/wall-22935147_368447?reply=368452")</f>
        <v>https://vk.com/wall-22935147_368447?reply=368452</v>
      </c>
      <c r="H1747" t="s">
        <v>119</v>
      </c>
      <c r="I1747" t="s">
        <v>6267</v>
      </c>
      <c r="J1747" t="str">
        <f>HYPERLINK("http://vk.com/id124014423")</f>
        <v>http://vk.com/id124014423</v>
      </c>
      <c r="K1747">
        <v>731</v>
      </c>
      <c r="L1747" t="s">
        <v>121</v>
      </c>
      <c r="M1747">
        <v>29</v>
      </c>
      <c r="N1747" t="s">
        <v>122</v>
      </c>
      <c r="O1747" t="s">
        <v>1093</v>
      </c>
      <c r="P1747" t="str">
        <f>HYPERLINK("http://vk.com/club22935147")</f>
        <v>http://vk.com/club22935147</v>
      </c>
      <c r="Q1747">
        <v>8943</v>
      </c>
      <c r="R1747" t="s">
        <v>124</v>
      </c>
      <c r="S1747" t="s">
        <v>125</v>
      </c>
      <c r="T1747" t="s">
        <v>6268</v>
      </c>
      <c r="U1747" t="s">
        <v>6269</v>
      </c>
      <c r="W1747">
        <v>0</v>
      </c>
      <c r="X1747">
        <v>0</v>
      </c>
      <c r="AM1747" t="s">
        <v>129</v>
      </c>
      <c r="AN1747" t="s">
        <v>130</v>
      </c>
      <c r="AP1747" t="s">
        <v>41</v>
      </c>
      <c r="AW1747" t="s">
        <v>48</v>
      </c>
      <c r="AZ1747" t="s">
        <v>51</v>
      </c>
      <c r="BA1747" t="s">
        <v>52</v>
      </c>
      <c r="BL1747" t="s">
        <v>63</v>
      </c>
    </row>
    <row r="1748" spans="1:70" x14ac:dyDescent="0.2">
      <c r="A1748" t="s">
        <v>6261</v>
      </c>
      <c r="B1748" t="s">
        <v>2459</v>
      </c>
      <c r="C1748" t="s">
        <v>6380</v>
      </c>
      <c r="D1748" t="s">
        <v>204</v>
      </c>
      <c r="E1748" t="s">
        <v>6381</v>
      </c>
      <c r="F1748" t="s">
        <v>180</v>
      </c>
      <c r="G1748" t="str">
        <f>HYPERLINK("https://play.google.com/store/apps/details?id=ru.iflex.android.a3colortv&amp;reviewId=gp:AOqpTOEtUDaj5Fag4fPzq0llGq7XZUd9fDllHKBx_FyinA0FET1kNBirsym_0qBVh5k9OTNdhmtCpth8vhVWIQ")</f>
        <v>https://play.google.com/store/apps/details?id=ru.iflex.android.a3colortv&amp;reviewId=gp:AOqpTOEtUDaj5Fag4fPzq0llGq7XZUd9fDllHKBx_FyinA0FET1kNBirsym_0qBVh5k9OTNdhmtCpth8vhVWIQ</v>
      </c>
      <c r="H1748" t="s">
        <v>181</v>
      </c>
      <c r="I1748" t="s">
        <v>6382</v>
      </c>
      <c r="J1748" t="str">
        <f>HYPERLINK("https://plus.google.com/110983762557770102144")</f>
        <v>https://plus.google.com/110983762557770102144</v>
      </c>
      <c r="L1748" t="s">
        <v>121</v>
      </c>
      <c r="N1748" t="s">
        <v>207</v>
      </c>
      <c r="O1748" t="s">
        <v>204</v>
      </c>
      <c r="P1748" t="str">
        <f>HYPERLINK("https://play.google.com/store/apps/details?id=ru.iflex.android.a3colortv&amp;hl=ru")</f>
        <v>https://play.google.com/store/apps/details?id=ru.iflex.android.a3colortv&amp;hl=ru</v>
      </c>
      <c r="R1748" t="s">
        <v>184</v>
      </c>
      <c r="S1748" t="s">
        <v>125</v>
      </c>
      <c r="W1748">
        <v>0</v>
      </c>
      <c r="X1748">
        <v>0</v>
      </c>
      <c r="AH1748">
        <v>5</v>
      </c>
      <c r="AM1748" t="s">
        <v>129</v>
      </c>
      <c r="AN1748" t="s">
        <v>130</v>
      </c>
      <c r="AP1748" t="s">
        <v>41</v>
      </c>
      <c r="AZ1748" t="s">
        <v>51</v>
      </c>
      <c r="BA1748" t="s">
        <v>52</v>
      </c>
      <c r="BQ1748" t="s">
        <v>68</v>
      </c>
    </row>
    <row r="1749" spans="1:70" x14ac:dyDescent="0.2">
      <c r="A1749" t="s">
        <v>6261</v>
      </c>
      <c r="B1749" t="s">
        <v>4243</v>
      </c>
      <c r="C1749" t="s">
        <v>6383</v>
      </c>
      <c r="D1749" t="s">
        <v>6053</v>
      </c>
      <c r="E1749" t="s">
        <v>6384</v>
      </c>
      <c r="F1749" t="s">
        <v>118</v>
      </c>
      <c r="G1749" t="str">
        <f>HYPERLINK("https://vk.com/wall-22935147_368378?w=wall-22935147_368378_r368450")</f>
        <v>https://vk.com/wall-22935147_368378?w=wall-22935147_368378_r368450</v>
      </c>
      <c r="H1749" t="s">
        <v>228</v>
      </c>
      <c r="I1749" t="s">
        <v>6055</v>
      </c>
      <c r="J1749" t="str">
        <f>HYPERLINK("http://vk.com/id154372840")</f>
        <v>http://vk.com/id154372840</v>
      </c>
      <c r="K1749">
        <v>19</v>
      </c>
      <c r="L1749" t="s">
        <v>121</v>
      </c>
      <c r="N1749" t="s">
        <v>122</v>
      </c>
      <c r="O1749" t="s">
        <v>1093</v>
      </c>
      <c r="P1749" t="str">
        <f>HYPERLINK("http://vk.com/club22935147")</f>
        <v>http://vk.com/club22935147</v>
      </c>
      <c r="Q1749">
        <v>8943</v>
      </c>
      <c r="R1749" t="s">
        <v>124</v>
      </c>
      <c r="S1749" t="s">
        <v>1884</v>
      </c>
      <c r="T1749" t="s">
        <v>3228</v>
      </c>
      <c r="U1749" t="s">
        <v>6056</v>
      </c>
      <c r="W1749">
        <v>0</v>
      </c>
      <c r="X1749">
        <v>0</v>
      </c>
      <c r="AM1749" t="s">
        <v>129</v>
      </c>
      <c r="AN1749" t="s">
        <v>130</v>
      </c>
      <c r="AP1749" t="s">
        <v>41</v>
      </c>
      <c r="AY1749" t="s">
        <v>50</v>
      </c>
      <c r="AZ1749" t="s">
        <v>51</v>
      </c>
      <c r="BA1749" t="s">
        <v>52</v>
      </c>
      <c r="BL1749" t="s">
        <v>63</v>
      </c>
    </row>
    <row r="1750" spans="1:70" x14ac:dyDescent="0.2">
      <c r="A1750" t="s">
        <v>6261</v>
      </c>
      <c r="B1750" t="s">
        <v>374</v>
      </c>
      <c r="C1750" t="s">
        <v>6385</v>
      </c>
      <c r="D1750" t="s">
        <v>2326</v>
      </c>
      <c r="E1750" t="s">
        <v>6386</v>
      </c>
      <c r="F1750" t="s">
        <v>118</v>
      </c>
      <c r="G1750" t="str">
        <f>HYPERLINK("https://vk.com/topic-27863223_35421989?post=115958")</f>
        <v>https://vk.com/topic-27863223_35421989?post=115958</v>
      </c>
      <c r="H1750" t="s">
        <v>119</v>
      </c>
      <c r="I1750" t="s">
        <v>3195</v>
      </c>
      <c r="J1750" t="str">
        <f>HYPERLINK("http://vk.com/id271566196")</f>
        <v>http://vk.com/id271566196</v>
      </c>
      <c r="K1750">
        <v>62</v>
      </c>
      <c r="L1750" t="s">
        <v>121</v>
      </c>
      <c r="M1750">
        <v>31</v>
      </c>
      <c r="N1750" t="s">
        <v>122</v>
      </c>
      <c r="O1750" t="s">
        <v>175</v>
      </c>
      <c r="P1750" t="str">
        <f>HYPERLINK("http://vk.com/club27863223")</f>
        <v>http://vk.com/club27863223</v>
      </c>
      <c r="Q1750">
        <v>134698</v>
      </c>
      <c r="R1750" t="s">
        <v>124</v>
      </c>
      <c r="S1750" t="s">
        <v>125</v>
      </c>
      <c r="T1750" t="s">
        <v>189</v>
      </c>
      <c r="U1750" t="s">
        <v>190</v>
      </c>
      <c r="AM1750" t="s">
        <v>129</v>
      </c>
      <c r="AN1750" t="s">
        <v>130</v>
      </c>
      <c r="AP1750" t="s">
        <v>41</v>
      </c>
      <c r="AZ1750" t="s">
        <v>51</v>
      </c>
      <c r="BA1750" t="s">
        <v>52</v>
      </c>
      <c r="BO1750" t="s">
        <v>66</v>
      </c>
    </row>
    <row r="1751" spans="1:70" x14ac:dyDescent="0.2">
      <c r="A1751" t="s">
        <v>6261</v>
      </c>
      <c r="B1751" t="s">
        <v>1479</v>
      </c>
      <c r="C1751" t="s">
        <v>6387</v>
      </c>
      <c r="D1751" t="s">
        <v>6230</v>
      </c>
      <c r="E1751" t="s">
        <v>6388</v>
      </c>
      <c r="F1751" t="s">
        <v>180</v>
      </c>
      <c r="G1751" t="str">
        <f>HYPERLINK("https://telesputnik.ru/forum/viewtopic.php?f=7&amp;t=55905&amp;start=380#p2481531")</f>
        <v>https://telesputnik.ru/forum/viewtopic.php?f=7&amp;t=55905&amp;start=380#p2481531</v>
      </c>
      <c r="H1751" t="s">
        <v>119</v>
      </c>
      <c r="I1751" t="s">
        <v>6389</v>
      </c>
      <c r="J1751" t="str">
        <f>HYPERLINK("https://telesputnik.ru/forum/memberlist.php?mode=viewprofile&amp;u=64070")</f>
        <v>https://telesputnik.ru/forum/memberlist.php?mode=viewprofile&amp;u=64070</v>
      </c>
      <c r="N1751" t="s">
        <v>335</v>
      </c>
      <c r="O1751" t="s">
        <v>1126</v>
      </c>
      <c r="P1751" t="str">
        <f>HYPERLINK("https://telesputnik.ru/forum/viewforum.php?f=7")</f>
        <v>https://telesputnik.ru/forum/viewforum.php?f=7</v>
      </c>
      <c r="R1751" t="s">
        <v>295</v>
      </c>
      <c r="S1751" t="s">
        <v>125</v>
      </c>
      <c r="AM1751" t="s">
        <v>129</v>
      </c>
      <c r="AN1751" t="s">
        <v>130</v>
      </c>
      <c r="AP1751" t="s">
        <v>41</v>
      </c>
      <c r="AZ1751" t="s">
        <v>51</v>
      </c>
      <c r="BA1751" t="s">
        <v>52</v>
      </c>
      <c r="BL1751" t="s">
        <v>63</v>
      </c>
    </row>
    <row r="1752" spans="1:70" x14ac:dyDescent="0.2">
      <c r="A1752" t="s">
        <v>6261</v>
      </c>
      <c r="B1752" t="s">
        <v>4264</v>
      </c>
      <c r="C1752" t="s">
        <v>6390</v>
      </c>
      <c r="D1752" t="s">
        <v>6391</v>
      </c>
      <c r="E1752" t="s">
        <v>6392</v>
      </c>
      <c r="F1752" t="s">
        <v>118</v>
      </c>
      <c r="G1752" t="str">
        <f>HYPERLINK("https://vk.com/wall-117842132_1509399?reply=1509842")</f>
        <v>https://vk.com/wall-117842132_1509399?reply=1509842</v>
      </c>
      <c r="H1752" t="s">
        <v>181</v>
      </c>
      <c r="I1752" t="s">
        <v>6393</v>
      </c>
      <c r="J1752" t="str">
        <f>HYPERLINK("http://vk.com/id10138737")</f>
        <v>http://vk.com/id10138737</v>
      </c>
      <c r="K1752">
        <v>2781</v>
      </c>
      <c r="L1752" t="s">
        <v>151</v>
      </c>
      <c r="M1752">
        <v>31</v>
      </c>
      <c r="N1752" t="s">
        <v>122</v>
      </c>
      <c r="O1752" t="s">
        <v>6394</v>
      </c>
      <c r="P1752" t="str">
        <f>HYPERLINK("http://vk.com/club117842132")</f>
        <v>http://vk.com/club117842132</v>
      </c>
      <c r="Q1752">
        <v>58287</v>
      </c>
      <c r="R1752" t="s">
        <v>124</v>
      </c>
      <c r="S1752" t="s">
        <v>125</v>
      </c>
      <c r="T1752" t="s">
        <v>169</v>
      </c>
      <c r="U1752" t="s">
        <v>169</v>
      </c>
      <c r="AM1752" t="s">
        <v>129</v>
      </c>
      <c r="AN1752" t="s">
        <v>130</v>
      </c>
      <c r="AP1752" t="s">
        <v>41</v>
      </c>
      <c r="AT1752" t="s">
        <v>45</v>
      </c>
      <c r="AZ1752" t="s">
        <v>51</v>
      </c>
      <c r="BA1752" t="s">
        <v>52</v>
      </c>
    </row>
    <row r="1753" spans="1:70" x14ac:dyDescent="0.2">
      <c r="A1753" t="s">
        <v>6261</v>
      </c>
      <c r="B1753" t="s">
        <v>3038</v>
      </c>
      <c r="C1753" t="s">
        <v>6395</v>
      </c>
      <c r="D1753" t="s">
        <v>6053</v>
      </c>
      <c r="E1753" t="s">
        <v>6396</v>
      </c>
      <c r="F1753" t="s">
        <v>118</v>
      </c>
      <c r="G1753" t="str">
        <f>HYPERLINK("https://vk.com/wall-22935147_368378?w=wall-22935147_368378_r368449")</f>
        <v>https://vk.com/wall-22935147_368378?w=wall-22935147_368378_r368449</v>
      </c>
      <c r="H1753" t="s">
        <v>119</v>
      </c>
      <c r="I1753" t="s">
        <v>6397</v>
      </c>
      <c r="J1753" t="str">
        <f>HYPERLINK("http://vk.com/id216618885")</f>
        <v>http://vk.com/id216618885</v>
      </c>
      <c r="K1753">
        <v>883</v>
      </c>
      <c r="L1753" t="s">
        <v>121</v>
      </c>
      <c r="M1753">
        <v>40</v>
      </c>
      <c r="N1753" t="s">
        <v>122</v>
      </c>
      <c r="O1753" t="s">
        <v>1093</v>
      </c>
      <c r="P1753" t="str">
        <f>HYPERLINK("http://vk.com/club22935147")</f>
        <v>http://vk.com/club22935147</v>
      </c>
      <c r="Q1753">
        <v>8943</v>
      </c>
      <c r="R1753" t="s">
        <v>124</v>
      </c>
      <c r="S1753" t="s">
        <v>1884</v>
      </c>
      <c r="T1753" t="s">
        <v>6398</v>
      </c>
      <c r="U1753" t="s">
        <v>6399</v>
      </c>
      <c r="W1753">
        <v>0</v>
      </c>
      <c r="X1753">
        <v>0</v>
      </c>
      <c r="AM1753" t="s">
        <v>129</v>
      </c>
      <c r="AN1753" t="s">
        <v>130</v>
      </c>
      <c r="AP1753" t="s">
        <v>41</v>
      </c>
      <c r="AU1753" t="s">
        <v>46</v>
      </c>
      <c r="AZ1753" t="s">
        <v>51</v>
      </c>
      <c r="BA1753" t="s">
        <v>52</v>
      </c>
    </row>
    <row r="1754" spans="1:70" x14ac:dyDescent="0.2">
      <c r="A1754" t="s">
        <v>6261</v>
      </c>
      <c r="B1754" t="s">
        <v>1999</v>
      </c>
      <c r="C1754" t="s">
        <v>6400</v>
      </c>
      <c r="D1754" t="s">
        <v>3094</v>
      </c>
      <c r="E1754" t="s">
        <v>6401</v>
      </c>
      <c r="F1754" t="s">
        <v>118</v>
      </c>
      <c r="G1754" t="str">
        <f>HYPERLINK("https://vk.com/wall-61101621_254687?reply=254701")</f>
        <v>https://vk.com/wall-61101621_254687?reply=254701</v>
      </c>
      <c r="H1754" t="s">
        <v>119</v>
      </c>
      <c r="I1754" t="s">
        <v>2251</v>
      </c>
      <c r="J1754" t="str">
        <f>HYPERLINK("http://vk.com/id170066130")</f>
        <v>http://vk.com/id170066130</v>
      </c>
      <c r="K1754">
        <v>166</v>
      </c>
      <c r="N1754" t="s">
        <v>122</v>
      </c>
      <c r="O1754" t="s">
        <v>160</v>
      </c>
      <c r="P1754" t="str">
        <f>HYPERLINK("http://vk.com/club61101621")</f>
        <v>http://vk.com/club61101621</v>
      </c>
      <c r="Q1754">
        <v>21119</v>
      </c>
      <c r="R1754" t="s">
        <v>124</v>
      </c>
      <c r="S1754" t="s">
        <v>125</v>
      </c>
      <c r="W1754">
        <v>0</v>
      </c>
      <c r="X1754">
        <v>0</v>
      </c>
      <c r="AM1754" t="s">
        <v>129</v>
      </c>
      <c r="AN1754" t="s">
        <v>130</v>
      </c>
      <c r="AP1754" t="s">
        <v>41</v>
      </c>
      <c r="AZ1754" t="s">
        <v>51</v>
      </c>
      <c r="BA1754" t="s">
        <v>52</v>
      </c>
      <c r="BL1754" t="s">
        <v>63</v>
      </c>
      <c r="BO1754" t="s">
        <v>66</v>
      </c>
    </row>
    <row r="1755" spans="1:70" x14ac:dyDescent="0.2">
      <c r="A1755" t="s">
        <v>6261</v>
      </c>
      <c r="B1755" t="s">
        <v>936</v>
      </c>
      <c r="C1755" t="s">
        <v>6402</v>
      </c>
      <c r="D1755" t="s">
        <v>204</v>
      </c>
      <c r="E1755" t="s">
        <v>6403</v>
      </c>
      <c r="F1755" t="s">
        <v>180</v>
      </c>
      <c r="G1755" t="str">
        <f>HYPERLINK("https://play.google.com/store/apps/details?id=ru.iflex.android.a3colortv&amp;reviewId=gp:AOqpTOGag0GAPl5aiY6MJd2gANyW3MaRrY6t99NVdEla7Quol2si8gEhKAYgoEkVp2UdtDZNxFMNGGaOGxTE8A")</f>
        <v>https://play.google.com/store/apps/details?id=ru.iflex.android.a3colortv&amp;reviewId=gp:AOqpTOGag0GAPl5aiY6MJd2gANyW3MaRrY6t99NVdEla7Quol2si8gEhKAYgoEkVp2UdtDZNxFMNGGaOGxTE8A</v>
      </c>
      <c r="H1755" t="s">
        <v>228</v>
      </c>
      <c r="I1755" t="s">
        <v>6404</v>
      </c>
      <c r="J1755" t="str">
        <f>HYPERLINK("https://plus.google.com/105324286173046278668")</f>
        <v>https://plus.google.com/105324286173046278668</v>
      </c>
      <c r="K1755">
        <v>0</v>
      </c>
      <c r="L1755" t="s">
        <v>151</v>
      </c>
      <c r="N1755" t="s">
        <v>207</v>
      </c>
      <c r="O1755" t="s">
        <v>204</v>
      </c>
      <c r="P1755" t="str">
        <f>HYPERLINK("https://play.google.com/store/apps/details?id=ru.iflex.android.a3colortv&amp;hl=ru")</f>
        <v>https://play.google.com/store/apps/details?id=ru.iflex.android.a3colortv&amp;hl=ru</v>
      </c>
      <c r="R1755" t="s">
        <v>184</v>
      </c>
      <c r="S1755" t="s">
        <v>125</v>
      </c>
      <c r="W1755">
        <v>0</v>
      </c>
      <c r="X1755">
        <v>0</v>
      </c>
      <c r="AH1755">
        <v>1</v>
      </c>
      <c r="AM1755" t="s">
        <v>129</v>
      </c>
      <c r="AN1755" t="s">
        <v>130</v>
      </c>
      <c r="AP1755" t="s">
        <v>41</v>
      </c>
      <c r="AX1755" t="s">
        <v>49</v>
      </c>
      <c r="AZ1755" t="s">
        <v>51</v>
      </c>
      <c r="BA1755" t="s">
        <v>52</v>
      </c>
      <c r="BL1755" t="s">
        <v>63</v>
      </c>
      <c r="BQ1755" t="s">
        <v>68</v>
      </c>
    </row>
    <row r="1756" spans="1:70" x14ac:dyDescent="0.2">
      <c r="A1756" t="s">
        <v>6261</v>
      </c>
      <c r="B1756" t="s">
        <v>1504</v>
      </c>
      <c r="C1756" t="s">
        <v>6405</v>
      </c>
      <c r="D1756" t="s">
        <v>3094</v>
      </c>
      <c r="E1756" t="s">
        <v>6406</v>
      </c>
      <c r="F1756" t="s">
        <v>118</v>
      </c>
      <c r="G1756" t="str">
        <f>HYPERLINK("https://vk.com/wall-61101621_254687?reply=254698&amp;thread=254695")</f>
        <v>https://vk.com/wall-61101621_254687?reply=254698&amp;thread=254695</v>
      </c>
      <c r="H1756" t="s">
        <v>119</v>
      </c>
      <c r="I1756" t="s">
        <v>6407</v>
      </c>
      <c r="J1756" t="str">
        <f>HYPERLINK("http://vk.com/id7065324")</f>
        <v>http://vk.com/id7065324</v>
      </c>
      <c r="K1756">
        <v>83</v>
      </c>
      <c r="L1756" t="s">
        <v>121</v>
      </c>
      <c r="N1756" t="s">
        <v>122</v>
      </c>
      <c r="O1756" t="s">
        <v>160</v>
      </c>
      <c r="P1756" t="str">
        <f>HYPERLINK("http://vk.com/club61101621")</f>
        <v>http://vk.com/club61101621</v>
      </c>
      <c r="Q1756">
        <v>21119</v>
      </c>
      <c r="R1756" t="s">
        <v>124</v>
      </c>
      <c r="S1756" t="s">
        <v>125</v>
      </c>
      <c r="T1756" t="s">
        <v>2388</v>
      </c>
      <c r="U1756" t="s">
        <v>6408</v>
      </c>
      <c r="AM1756" t="s">
        <v>129</v>
      </c>
      <c r="AN1756" t="s">
        <v>130</v>
      </c>
      <c r="AP1756" t="s">
        <v>41</v>
      </c>
      <c r="AU1756" t="s">
        <v>46</v>
      </c>
      <c r="AY1756" t="s">
        <v>50</v>
      </c>
      <c r="AZ1756" t="s">
        <v>51</v>
      </c>
      <c r="BA1756" t="s">
        <v>52</v>
      </c>
    </row>
    <row r="1757" spans="1:70" x14ac:dyDescent="0.2">
      <c r="A1757" t="s">
        <v>6261</v>
      </c>
      <c r="B1757" t="s">
        <v>2026</v>
      </c>
      <c r="C1757" t="s">
        <v>6409</v>
      </c>
      <c r="D1757" t="s">
        <v>129</v>
      </c>
      <c r="E1757" t="s">
        <v>6265</v>
      </c>
      <c r="F1757" t="s">
        <v>180</v>
      </c>
      <c r="G1757" t="str">
        <f>HYPERLINK("https://vk.com/wall-22935147_368447")</f>
        <v>https://vk.com/wall-22935147_368447</v>
      </c>
      <c r="H1757" t="s">
        <v>119</v>
      </c>
      <c r="I1757" t="s">
        <v>4327</v>
      </c>
      <c r="J1757" t="str">
        <f>HYPERLINK("http://vk.com/id365342892")</f>
        <v>http://vk.com/id365342892</v>
      </c>
      <c r="K1757">
        <v>11</v>
      </c>
      <c r="L1757" t="s">
        <v>121</v>
      </c>
      <c r="N1757" t="s">
        <v>122</v>
      </c>
      <c r="O1757" t="s">
        <v>1093</v>
      </c>
      <c r="P1757" t="str">
        <f>HYPERLINK("http://vk.com/club22935147")</f>
        <v>http://vk.com/club22935147</v>
      </c>
      <c r="Q1757">
        <v>8943</v>
      </c>
      <c r="R1757" t="s">
        <v>124</v>
      </c>
      <c r="S1757" t="s">
        <v>125</v>
      </c>
      <c r="T1757" t="s">
        <v>364</v>
      </c>
      <c r="U1757" t="s">
        <v>4328</v>
      </c>
      <c r="W1757">
        <v>7</v>
      </c>
      <c r="X1757">
        <v>7</v>
      </c>
      <c r="AE1757">
        <v>4</v>
      </c>
      <c r="AF1757">
        <v>0</v>
      </c>
      <c r="AG1757">
        <v>1600</v>
      </c>
      <c r="AM1757" t="s">
        <v>129</v>
      </c>
      <c r="AN1757" t="s">
        <v>130</v>
      </c>
      <c r="AP1757" t="s">
        <v>41</v>
      </c>
      <c r="AU1757" t="s">
        <v>46</v>
      </c>
      <c r="AZ1757" t="s">
        <v>51</v>
      </c>
      <c r="BA1757" t="s">
        <v>52</v>
      </c>
    </row>
    <row r="1758" spans="1:70" x14ac:dyDescent="0.2">
      <c r="A1758" t="s">
        <v>6261</v>
      </c>
      <c r="B1758" t="s">
        <v>2571</v>
      </c>
      <c r="C1758" t="s">
        <v>6410</v>
      </c>
      <c r="D1758" t="s">
        <v>204</v>
      </c>
      <c r="E1758" t="s">
        <v>6411</v>
      </c>
      <c r="F1758" t="s">
        <v>180</v>
      </c>
      <c r="G1758" t="str">
        <f>HYPERLINK("https://play.google.com/store/apps/details?id=ru.iflex.android.a3colortv&amp;reviewId=gp:AOqpTOG80xpUjCCpdDkZBp6LG-IvwBemjA3jVhaiMa-RskOmoIpC2_62Qx-sPnEcGdrowyHbhaL1JWiWWRlfBA")</f>
        <v>https://play.google.com/store/apps/details?id=ru.iflex.android.a3colortv&amp;reviewId=gp:AOqpTOG80xpUjCCpdDkZBp6LG-IvwBemjA3jVhaiMa-RskOmoIpC2_62Qx-sPnEcGdrowyHbhaL1JWiWWRlfBA</v>
      </c>
      <c r="H1758" t="s">
        <v>228</v>
      </c>
      <c r="I1758" t="s">
        <v>6412</v>
      </c>
      <c r="J1758" t="str">
        <f>HYPERLINK("https://plus.google.com/102066005240881325209")</f>
        <v>https://plus.google.com/102066005240881325209</v>
      </c>
      <c r="L1758" t="s">
        <v>121</v>
      </c>
      <c r="N1758" t="s">
        <v>207</v>
      </c>
      <c r="O1758" t="s">
        <v>204</v>
      </c>
      <c r="P1758" t="str">
        <f>HYPERLINK("https://play.google.com/store/apps/details?id=ru.iflex.android.a3colortv&amp;hl=ru")</f>
        <v>https://play.google.com/store/apps/details?id=ru.iflex.android.a3colortv&amp;hl=ru</v>
      </c>
      <c r="R1758" t="s">
        <v>184</v>
      </c>
      <c r="S1758" t="s">
        <v>125</v>
      </c>
      <c r="W1758">
        <v>0</v>
      </c>
      <c r="X1758">
        <v>0</v>
      </c>
      <c r="AH1758">
        <v>1</v>
      </c>
      <c r="AM1758" t="s">
        <v>129</v>
      </c>
      <c r="AN1758" t="s">
        <v>130</v>
      </c>
      <c r="AP1758" t="s">
        <v>41</v>
      </c>
      <c r="AZ1758" t="s">
        <v>51</v>
      </c>
      <c r="BA1758" t="s">
        <v>52</v>
      </c>
      <c r="BQ1758" t="s">
        <v>68</v>
      </c>
      <c r="BR1758" t="s">
        <v>69</v>
      </c>
    </row>
    <row r="1759" spans="1:70" x14ac:dyDescent="0.2">
      <c r="A1759" t="s">
        <v>6261</v>
      </c>
      <c r="B1759" t="s">
        <v>1546</v>
      </c>
      <c r="C1759" t="s">
        <v>6413</v>
      </c>
      <c r="D1759" t="s">
        <v>4147</v>
      </c>
      <c r="E1759" t="s">
        <v>6414</v>
      </c>
      <c r="F1759" t="s">
        <v>180</v>
      </c>
      <c r="G1759" t="str">
        <f>HYPERLINK("https://www.wildberries.ru/catalog/15145842/detail.aspx?targetUrl=ES#Comments")</f>
        <v>https://www.wildberries.ru/catalog/15145842/detail.aspx?targetUrl=ES#Comments</v>
      </c>
      <c r="H1759" t="s">
        <v>181</v>
      </c>
      <c r="I1759" t="s">
        <v>3460</v>
      </c>
      <c r="J1759" t="str">
        <f>HYPERLINK("https://www.wildberries.ru/profile/w7TDssOkw7PCu8KzwrPCtsKxwrPCuMK5wrg=")</f>
        <v>https://www.wildberries.ru/profile/w7TDssOkw7PCu8KzwrPCtsKxwrPCuMK5wrg=</v>
      </c>
      <c r="L1759" t="s">
        <v>121</v>
      </c>
      <c r="N1759" t="s">
        <v>534</v>
      </c>
      <c r="O1759" t="s">
        <v>4147</v>
      </c>
      <c r="P1759" t="str">
        <f>HYPERLINK("https://www.wildberries.ru/catalog/11323741/detail.aspx")</f>
        <v>https://www.wildberries.ru/catalog/11323741/detail.aspx</v>
      </c>
      <c r="R1759" t="s">
        <v>184</v>
      </c>
      <c r="S1759" t="s">
        <v>125</v>
      </c>
      <c r="W1759">
        <v>0</v>
      </c>
      <c r="X1759">
        <v>0</v>
      </c>
      <c r="AH1759">
        <v>5</v>
      </c>
      <c r="AM1759" t="s">
        <v>129</v>
      </c>
      <c r="AN1759" t="s">
        <v>130</v>
      </c>
      <c r="AP1759" t="s">
        <v>41</v>
      </c>
      <c r="AZ1759" t="s">
        <v>51</v>
      </c>
      <c r="BA1759" t="s">
        <v>52</v>
      </c>
      <c r="BK1759" t="s">
        <v>62</v>
      </c>
      <c r="BL1759" t="s">
        <v>63</v>
      </c>
    </row>
    <row r="1760" spans="1:70" x14ac:dyDescent="0.2">
      <c r="A1760" t="s">
        <v>6261</v>
      </c>
      <c r="B1760" t="s">
        <v>3468</v>
      </c>
      <c r="C1760" t="s">
        <v>6415</v>
      </c>
      <c r="D1760" t="s">
        <v>6416</v>
      </c>
      <c r="E1760" t="s">
        <v>6417</v>
      </c>
      <c r="F1760" t="s">
        <v>118</v>
      </c>
      <c r="G1760" t="str">
        <f>HYPERLINK("https://vk.com/wall-61101621_254670?reply=254697")</f>
        <v>https://vk.com/wall-61101621_254670?reply=254697</v>
      </c>
      <c r="H1760" t="s">
        <v>119</v>
      </c>
      <c r="I1760" t="s">
        <v>6418</v>
      </c>
      <c r="J1760" t="str">
        <f>HYPERLINK("http://vk.com/id138484430")</f>
        <v>http://vk.com/id138484430</v>
      </c>
      <c r="K1760">
        <v>749</v>
      </c>
      <c r="L1760" t="s">
        <v>121</v>
      </c>
      <c r="M1760">
        <v>38</v>
      </c>
      <c r="N1760" t="s">
        <v>122</v>
      </c>
      <c r="O1760" t="s">
        <v>160</v>
      </c>
      <c r="P1760" t="str">
        <f>HYPERLINK("http://vk.com/club61101621")</f>
        <v>http://vk.com/club61101621</v>
      </c>
      <c r="Q1760">
        <v>21119</v>
      </c>
      <c r="R1760" t="s">
        <v>124</v>
      </c>
      <c r="S1760" t="s">
        <v>125</v>
      </c>
      <c r="T1760" t="s">
        <v>5146</v>
      </c>
      <c r="U1760" t="s">
        <v>6419</v>
      </c>
      <c r="W1760">
        <v>0</v>
      </c>
      <c r="X1760">
        <v>0</v>
      </c>
      <c r="AM1760" t="s">
        <v>129</v>
      </c>
      <c r="AN1760" t="s">
        <v>130</v>
      </c>
      <c r="AP1760" t="s">
        <v>41</v>
      </c>
      <c r="AY1760" t="s">
        <v>50</v>
      </c>
      <c r="AZ1760" t="s">
        <v>51</v>
      </c>
      <c r="BA1760" t="s">
        <v>52</v>
      </c>
    </row>
    <row r="1761" spans="1:77" x14ac:dyDescent="0.2">
      <c r="A1761" t="s">
        <v>6261</v>
      </c>
      <c r="B1761" t="s">
        <v>1581</v>
      </c>
      <c r="C1761" t="s">
        <v>6420</v>
      </c>
      <c r="D1761" t="s">
        <v>6421</v>
      </c>
      <c r="E1761" t="s">
        <v>6422</v>
      </c>
      <c r="F1761" t="s">
        <v>118</v>
      </c>
      <c r="G1761" t="str">
        <f>HYPERLINK("https://vk.com/wall-56704159_348672?reply=348674")</f>
        <v>https://vk.com/wall-56704159_348672?reply=348674</v>
      </c>
      <c r="H1761" t="s">
        <v>228</v>
      </c>
      <c r="I1761" t="s">
        <v>254</v>
      </c>
      <c r="J1761" t="str">
        <f>HYPERLINK("http://vk.com/id286061518")</f>
        <v>http://vk.com/id286061518</v>
      </c>
      <c r="K1761">
        <v>5170</v>
      </c>
      <c r="L1761" t="s">
        <v>121</v>
      </c>
      <c r="M1761">
        <v>34</v>
      </c>
      <c r="N1761" t="s">
        <v>122</v>
      </c>
      <c r="O1761" t="s">
        <v>6423</v>
      </c>
      <c r="P1761" t="str">
        <f>HYPERLINK("http://vk.com/club56704159")</f>
        <v>http://vk.com/club56704159</v>
      </c>
      <c r="Q1761">
        <v>11146</v>
      </c>
      <c r="R1761" t="s">
        <v>124</v>
      </c>
      <c r="S1761" t="s">
        <v>125</v>
      </c>
      <c r="T1761" t="s">
        <v>256</v>
      </c>
      <c r="U1761" t="s">
        <v>257</v>
      </c>
      <c r="AM1761" t="s">
        <v>129</v>
      </c>
      <c r="AN1761" t="s">
        <v>130</v>
      </c>
      <c r="AP1761" t="s">
        <v>41</v>
      </c>
      <c r="AU1761" t="s">
        <v>46</v>
      </c>
      <c r="AZ1761" t="s">
        <v>51</v>
      </c>
      <c r="BA1761" t="s">
        <v>52</v>
      </c>
      <c r="BY1761" t="s">
        <v>76</v>
      </c>
    </row>
    <row r="1762" spans="1:77" x14ac:dyDescent="0.2">
      <c r="A1762" t="s">
        <v>6261</v>
      </c>
      <c r="B1762" t="s">
        <v>991</v>
      </c>
      <c r="C1762" t="s">
        <v>6424</v>
      </c>
      <c r="D1762" t="s">
        <v>6053</v>
      </c>
      <c r="E1762" t="s">
        <v>6425</v>
      </c>
      <c r="F1762" t="s">
        <v>118</v>
      </c>
      <c r="G1762" t="str">
        <f>HYPERLINK("https://vk.com/wall-22935147_368378?w=wall-22935147_368378_r368444")</f>
        <v>https://vk.com/wall-22935147_368378?w=wall-22935147_368378_r368444</v>
      </c>
      <c r="H1762" t="s">
        <v>119</v>
      </c>
      <c r="I1762" t="s">
        <v>6055</v>
      </c>
      <c r="J1762" t="str">
        <f>HYPERLINK("http://vk.com/id154372840")</f>
        <v>http://vk.com/id154372840</v>
      </c>
      <c r="K1762">
        <v>19</v>
      </c>
      <c r="L1762" t="s">
        <v>121</v>
      </c>
      <c r="N1762" t="s">
        <v>122</v>
      </c>
      <c r="O1762" t="s">
        <v>1093</v>
      </c>
      <c r="P1762" t="str">
        <f>HYPERLINK("http://vk.com/club22935147")</f>
        <v>http://vk.com/club22935147</v>
      </c>
      <c r="Q1762">
        <v>8943</v>
      </c>
      <c r="R1762" t="s">
        <v>124</v>
      </c>
      <c r="S1762" t="s">
        <v>1884</v>
      </c>
      <c r="T1762" t="s">
        <v>3228</v>
      </c>
      <c r="U1762" t="s">
        <v>6056</v>
      </c>
      <c r="W1762">
        <v>0</v>
      </c>
      <c r="X1762">
        <v>0</v>
      </c>
      <c r="AM1762" t="s">
        <v>129</v>
      </c>
      <c r="AN1762" t="s">
        <v>130</v>
      </c>
      <c r="AP1762" t="s">
        <v>41</v>
      </c>
      <c r="AZ1762" t="s">
        <v>51</v>
      </c>
      <c r="BA1762" t="s">
        <v>52</v>
      </c>
      <c r="BL1762" t="s">
        <v>63</v>
      </c>
      <c r="BM1762" t="s">
        <v>64</v>
      </c>
    </row>
    <row r="1763" spans="1:77" x14ac:dyDescent="0.2">
      <c r="A1763" t="s">
        <v>6261</v>
      </c>
      <c r="B1763" t="s">
        <v>2604</v>
      </c>
      <c r="C1763" t="s">
        <v>6426</v>
      </c>
      <c r="D1763" t="s">
        <v>3261</v>
      </c>
      <c r="E1763" t="s">
        <v>6427</v>
      </c>
      <c r="F1763" t="s">
        <v>180</v>
      </c>
      <c r="G1763" t="str">
        <f>HYPERLINK("https://www.wildberries.ru/catalog/5691258/detail.aspx?targetUrl=ES#Comments")</f>
        <v>https://www.wildberries.ru/catalog/5691258/detail.aspx?targetUrl=ES#Comments</v>
      </c>
      <c r="H1763" t="s">
        <v>119</v>
      </c>
      <c r="I1763" t="s">
        <v>1395</v>
      </c>
      <c r="J1763" t="str">
        <f>HYPERLINK("https://www.wildberries.ru/profile/w7TDssOkw7PCu8KzwrbCucK2wrbCt8KywrA=")</f>
        <v>https://www.wildberries.ru/profile/w7TDssOkw7PCu8KzwrbCucK2wrbCt8KywrA=</v>
      </c>
      <c r="L1763" t="s">
        <v>121</v>
      </c>
      <c r="N1763" t="s">
        <v>534</v>
      </c>
      <c r="O1763" t="s">
        <v>3261</v>
      </c>
      <c r="P1763" t="str">
        <f>HYPERLINK("https://www.wildberries.ru/catalog/4570035/detail.aspx")</f>
        <v>https://www.wildberries.ru/catalog/4570035/detail.aspx</v>
      </c>
      <c r="R1763" t="s">
        <v>184</v>
      </c>
      <c r="S1763" t="s">
        <v>125</v>
      </c>
      <c r="W1763">
        <v>0</v>
      </c>
      <c r="X1763">
        <v>0</v>
      </c>
      <c r="AH1763">
        <v>2</v>
      </c>
      <c r="AM1763" t="s">
        <v>129</v>
      </c>
      <c r="AN1763" t="s">
        <v>130</v>
      </c>
      <c r="AP1763" t="s">
        <v>41</v>
      </c>
      <c r="AZ1763" t="s">
        <v>51</v>
      </c>
      <c r="BA1763" t="s">
        <v>52</v>
      </c>
      <c r="BK1763" t="s">
        <v>62</v>
      </c>
      <c r="BL1763" t="s">
        <v>63</v>
      </c>
    </row>
    <row r="1764" spans="1:77" x14ac:dyDescent="0.2">
      <c r="A1764" t="s">
        <v>6261</v>
      </c>
      <c r="B1764" t="s">
        <v>1008</v>
      </c>
      <c r="C1764" t="s">
        <v>5598</v>
      </c>
      <c r="D1764" t="s">
        <v>3482</v>
      </c>
      <c r="E1764" t="s">
        <v>6428</v>
      </c>
      <c r="F1764" t="s">
        <v>180</v>
      </c>
      <c r="G1764" t="str">
        <f>HYPERLINK("https://www.ozon.ru/context/detail/id/177839081/#60238139")</f>
        <v>https://www.ozon.ru/context/detail/id/177839081/#60238139</v>
      </c>
      <c r="H1764" t="s">
        <v>181</v>
      </c>
      <c r="I1764" t="s">
        <v>6429</v>
      </c>
      <c r="J1764" t="str">
        <f>HYPERLINK("https://www.ozon.ru/context/client_opinion/ClientGuid/ac140d41-2519-4416-80b8-2f0212cebbef/")</f>
        <v>https://www.ozon.ru/context/client_opinion/ClientGuid/ac140d41-2519-4416-80b8-2f0212cebbef/</v>
      </c>
      <c r="L1764" t="s">
        <v>121</v>
      </c>
      <c r="N1764" t="s">
        <v>183</v>
      </c>
      <c r="O1764" t="s">
        <v>3482</v>
      </c>
      <c r="P1764" t="str">
        <f>HYPERLINK("https://www.ozon.ru/context/detail/id/177839081/")</f>
        <v>https://www.ozon.ru/context/detail/id/177839081/</v>
      </c>
      <c r="R1764" t="s">
        <v>184</v>
      </c>
      <c r="S1764" t="s">
        <v>125</v>
      </c>
      <c r="W1764">
        <v>0</v>
      </c>
      <c r="X1764">
        <v>0</v>
      </c>
      <c r="AH1764">
        <v>5</v>
      </c>
      <c r="AM1764" t="s">
        <v>129</v>
      </c>
      <c r="AN1764" t="s">
        <v>130</v>
      </c>
      <c r="AP1764" t="s">
        <v>41</v>
      </c>
      <c r="AZ1764" t="s">
        <v>51</v>
      </c>
      <c r="BA1764" t="s">
        <v>52</v>
      </c>
      <c r="BK1764" t="s">
        <v>62</v>
      </c>
      <c r="BL1764" t="s">
        <v>63</v>
      </c>
    </row>
    <row r="1765" spans="1:77" x14ac:dyDescent="0.2">
      <c r="A1765" t="s">
        <v>6261</v>
      </c>
      <c r="B1765" t="s">
        <v>1017</v>
      </c>
      <c r="C1765" t="s">
        <v>6430</v>
      </c>
      <c r="D1765" t="s">
        <v>6431</v>
      </c>
      <c r="E1765" t="s">
        <v>6432</v>
      </c>
      <c r="F1765" t="s">
        <v>118</v>
      </c>
      <c r="G1765" t="str">
        <f>HYPERLINK("https://www.youtube.com/watch?v=GpzS3NiRkW8&amp;lc=UgwkLXSELoM1Zuyvl-94AaABAg")</f>
        <v>https://www.youtube.com/watch?v=GpzS3NiRkW8&amp;lc=UgwkLXSELoM1Zuyvl-94AaABAg</v>
      </c>
      <c r="H1765" t="s">
        <v>119</v>
      </c>
      <c r="I1765" t="s">
        <v>6433</v>
      </c>
      <c r="J1765" t="str">
        <f>HYPERLINK("https://www.youtube.com/channel/UCyNzvfbJOyj6yNx-O3WnLlA")</f>
        <v>https://www.youtube.com/channel/UCyNzvfbJOyj6yNx-O3WnLlA</v>
      </c>
      <c r="K1765">
        <v>0</v>
      </c>
      <c r="L1765" t="s">
        <v>121</v>
      </c>
      <c r="N1765" t="s">
        <v>248</v>
      </c>
      <c r="O1765" t="s">
        <v>6434</v>
      </c>
      <c r="P1765" t="str">
        <f>HYPERLINK("https://www.youtube.com/channel/UCbJ2GvQ1-dZvMy8QJ30Xlhw")</f>
        <v>https://www.youtube.com/channel/UCbJ2GvQ1-dZvMy8QJ30Xlhw</v>
      </c>
      <c r="Q1765">
        <v>498</v>
      </c>
      <c r="R1765" t="s">
        <v>124</v>
      </c>
      <c r="W1765">
        <v>0</v>
      </c>
      <c r="X1765">
        <v>0</v>
      </c>
      <c r="AE1765">
        <v>0</v>
      </c>
      <c r="AM1765" t="s">
        <v>129</v>
      </c>
      <c r="AN1765" t="s">
        <v>130</v>
      </c>
      <c r="AP1765" t="s">
        <v>41</v>
      </c>
      <c r="AU1765" t="s">
        <v>46</v>
      </c>
      <c r="AZ1765" t="s">
        <v>51</v>
      </c>
      <c r="BA1765" t="s">
        <v>52</v>
      </c>
    </row>
    <row r="1766" spans="1:77" x14ac:dyDescent="0.2">
      <c r="A1766" t="s">
        <v>6261</v>
      </c>
      <c r="B1766" t="s">
        <v>4771</v>
      </c>
      <c r="C1766" t="s">
        <v>6435</v>
      </c>
      <c r="D1766" t="s">
        <v>6436</v>
      </c>
      <c r="E1766" t="s">
        <v>6437</v>
      </c>
      <c r="F1766" t="s">
        <v>118</v>
      </c>
      <c r="G1766" t="str">
        <f>HYPERLINK("https://vk.com/wall-14098618_8604?reply=8661")</f>
        <v>https://vk.com/wall-14098618_8604?reply=8661</v>
      </c>
      <c r="H1766" t="s">
        <v>119</v>
      </c>
      <c r="I1766" t="s">
        <v>6438</v>
      </c>
      <c r="J1766" t="str">
        <f>HYPERLINK("http://vk.com/id593969274")</f>
        <v>http://vk.com/id593969274</v>
      </c>
      <c r="L1766" t="s">
        <v>121</v>
      </c>
      <c r="M1766">
        <v>44</v>
      </c>
      <c r="N1766" t="s">
        <v>122</v>
      </c>
      <c r="O1766" t="s">
        <v>1663</v>
      </c>
      <c r="P1766" t="str">
        <f>HYPERLINK("http://vk.com/club14098618")</f>
        <v>http://vk.com/club14098618</v>
      </c>
      <c r="Q1766">
        <v>4681</v>
      </c>
      <c r="R1766" t="s">
        <v>124</v>
      </c>
      <c r="W1766">
        <v>0</v>
      </c>
      <c r="X1766">
        <v>0</v>
      </c>
      <c r="AM1766" t="s">
        <v>129</v>
      </c>
      <c r="AN1766" t="s">
        <v>130</v>
      </c>
      <c r="AP1766" t="s">
        <v>41</v>
      </c>
      <c r="AZ1766" t="s">
        <v>51</v>
      </c>
      <c r="BA1766" t="s">
        <v>52</v>
      </c>
      <c r="BQ1766" t="s">
        <v>68</v>
      </c>
    </row>
    <row r="1767" spans="1:77" x14ac:dyDescent="0.2">
      <c r="A1767" t="s">
        <v>6261</v>
      </c>
      <c r="B1767" t="s">
        <v>4776</v>
      </c>
      <c r="C1767" t="s">
        <v>6439</v>
      </c>
      <c r="D1767" t="s">
        <v>6058</v>
      </c>
      <c r="E1767" t="s">
        <v>6440</v>
      </c>
      <c r="F1767" t="s">
        <v>118</v>
      </c>
      <c r="G1767" t="str">
        <f>HYPERLINK("https://vk.com/wall-22576083_176695?reply=176988")</f>
        <v>https://vk.com/wall-22576083_176695?reply=176988</v>
      </c>
      <c r="H1767" t="s">
        <v>228</v>
      </c>
      <c r="I1767" t="s">
        <v>6060</v>
      </c>
      <c r="J1767" t="str">
        <f>HYPERLINK("http://vk.com/id525157410")</f>
        <v>http://vk.com/id525157410</v>
      </c>
      <c r="K1767">
        <v>40</v>
      </c>
      <c r="L1767" t="s">
        <v>121</v>
      </c>
      <c r="M1767">
        <v>35</v>
      </c>
      <c r="N1767" t="s">
        <v>122</v>
      </c>
      <c r="O1767" t="s">
        <v>6061</v>
      </c>
      <c r="P1767" t="str">
        <f>HYPERLINK("http://vk.com/club22576083")</f>
        <v>http://vk.com/club22576083</v>
      </c>
      <c r="Q1767">
        <v>11986</v>
      </c>
      <c r="R1767" t="s">
        <v>124</v>
      </c>
      <c r="S1767" t="s">
        <v>125</v>
      </c>
      <c r="T1767" t="s">
        <v>1466</v>
      </c>
      <c r="U1767" t="s">
        <v>6062</v>
      </c>
      <c r="AM1767" t="s">
        <v>129</v>
      </c>
      <c r="AN1767" t="s">
        <v>130</v>
      </c>
      <c r="AP1767" t="s">
        <v>41</v>
      </c>
      <c r="AY1767" t="s">
        <v>50</v>
      </c>
      <c r="AZ1767" t="s">
        <v>51</v>
      </c>
      <c r="BA1767" t="s">
        <v>52</v>
      </c>
    </row>
    <row r="1768" spans="1:77" x14ac:dyDescent="0.2">
      <c r="A1768" t="s">
        <v>6261</v>
      </c>
      <c r="B1768" t="s">
        <v>6441</v>
      </c>
      <c r="C1768" t="s">
        <v>6442</v>
      </c>
      <c r="D1768" t="s">
        <v>204</v>
      </c>
      <c r="E1768" t="s">
        <v>6443</v>
      </c>
      <c r="F1768" t="s">
        <v>180</v>
      </c>
      <c r="G1768" t="str">
        <f>HYPERLINK("https://play.google.com/store/apps/details?id=ru.iflex.android.a3colortv&amp;reviewId=gp:AOqpTOGngxlU9xYfFU54IsIj4bMrjUMWxPDl_ZdQh06mcH8jIBG4jV6wEkYofuQemEFEeTSX05NWgxkC7JvQBw")</f>
        <v>https://play.google.com/store/apps/details?id=ru.iflex.android.a3colortv&amp;reviewId=gp:AOqpTOGngxlU9xYfFU54IsIj4bMrjUMWxPDl_ZdQh06mcH8jIBG4jV6wEkYofuQemEFEeTSX05NWgxkC7JvQBw</v>
      </c>
      <c r="H1768" t="s">
        <v>181</v>
      </c>
      <c r="I1768" t="s">
        <v>6444</v>
      </c>
      <c r="J1768" t="str">
        <f>HYPERLINK("https://plus.google.com/108002598043879042170")</f>
        <v>https://plus.google.com/108002598043879042170</v>
      </c>
      <c r="L1768" t="s">
        <v>121</v>
      </c>
      <c r="N1768" t="s">
        <v>207</v>
      </c>
      <c r="O1768" t="s">
        <v>204</v>
      </c>
      <c r="P1768" t="str">
        <f>HYPERLINK("https://play.google.com/store/apps/details?id=ru.iflex.android.a3colortv&amp;hl=ru")</f>
        <v>https://play.google.com/store/apps/details?id=ru.iflex.android.a3colortv&amp;hl=ru</v>
      </c>
      <c r="R1768" t="s">
        <v>184</v>
      </c>
      <c r="S1768" t="s">
        <v>125</v>
      </c>
      <c r="W1768">
        <v>0</v>
      </c>
      <c r="X1768">
        <v>0</v>
      </c>
      <c r="AH1768">
        <v>5</v>
      </c>
      <c r="AM1768" t="s">
        <v>129</v>
      </c>
      <c r="AN1768" t="s">
        <v>130</v>
      </c>
      <c r="AP1768" t="s">
        <v>41</v>
      </c>
      <c r="AU1768" t="s">
        <v>46</v>
      </c>
      <c r="AY1768" t="s">
        <v>50</v>
      </c>
      <c r="AZ1768" t="s">
        <v>51</v>
      </c>
      <c r="BA1768" t="s">
        <v>52</v>
      </c>
      <c r="BQ1768" t="s">
        <v>68</v>
      </c>
    </row>
    <row r="1769" spans="1:77" x14ac:dyDescent="0.2">
      <c r="A1769" t="s">
        <v>6261</v>
      </c>
      <c r="B1769" t="s">
        <v>1020</v>
      </c>
      <c r="C1769" t="s">
        <v>6445</v>
      </c>
      <c r="D1769" t="s">
        <v>2110</v>
      </c>
      <c r="E1769" t="s">
        <v>6446</v>
      </c>
      <c r="F1769" t="s">
        <v>118</v>
      </c>
      <c r="G1769" t="str">
        <f>HYPERLINK("https://vk.com/topic-14098618_34670460?post=2000")</f>
        <v>https://vk.com/topic-14098618_34670460?post=2000</v>
      </c>
      <c r="H1769" t="s">
        <v>119</v>
      </c>
      <c r="I1769" t="s">
        <v>6447</v>
      </c>
      <c r="J1769" t="str">
        <f>HYPERLINK("http://vk.com/id507147840")</f>
        <v>http://vk.com/id507147840</v>
      </c>
      <c r="K1769">
        <v>42</v>
      </c>
      <c r="L1769" t="s">
        <v>151</v>
      </c>
      <c r="M1769">
        <v>57</v>
      </c>
      <c r="N1769" t="s">
        <v>122</v>
      </c>
      <c r="O1769" t="s">
        <v>1663</v>
      </c>
      <c r="P1769" t="str">
        <f>HYPERLINK("http://vk.com/club14098618")</f>
        <v>http://vk.com/club14098618</v>
      </c>
      <c r="Q1769">
        <v>4681</v>
      </c>
      <c r="R1769" t="s">
        <v>124</v>
      </c>
      <c r="AM1769" t="s">
        <v>129</v>
      </c>
      <c r="AN1769" t="s">
        <v>130</v>
      </c>
      <c r="AP1769" t="s">
        <v>41</v>
      </c>
      <c r="AU1769" t="s">
        <v>46</v>
      </c>
      <c r="AY1769" t="s">
        <v>50</v>
      </c>
      <c r="AZ1769" t="s">
        <v>51</v>
      </c>
      <c r="BA1769" t="s">
        <v>52</v>
      </c>
    </row>
    <row r="1770" spans="1:77" x14ac:dyDescent="0.2">
      <c r="A1770" t="s">
        <v>6261</v>
      </c>
      <c r="B1770" t="s">
        <v>474</v>
      </c>
      <c r="C1770" t="s">
        <v>6448</v>
      </c>
      <c r="D1770" t="s">
        <v>129</v>
      </c>
      <c r="E1770" t="s">
        <v>6449</v>
      </c>
      <c r="F1770" t="s">
        <v>180</v>
      </c>
      <c r="G1770" t="str">
        <f>HYPERLINK("https://vk.com/wall-14098618_8659")</f>
        <v>https://vk.com/wall-14098618_8659</v>
      </c>
      <c r="H1770" t="s">
        <v>119</v>
      </c>
      <c r="I1770" t="s">
        <v>6447</v>
      </c>
      <c r="J1770" t="str">
        <f>HYPERLINK("http://vk.com/id507147840")</f>
        <v>http://vk.com/id507147840</v>
      </c>
      <c r="K1770">
        <v>42</v>
      </c>
      <c r="L1770" t="s">
        <v>151</v>
      </c>
      <c r="M1770">
        <v>57</v>
      </c>
      <c r="N1770" t="s">
        <v>122</v>
      </c>
      <c r="O1770" t="s">
        <v>1663</v>
      </c>
      <c r="P1770" t="str">
        <f>HYPERLINK("http://vk.com/club14098618")</f>
        <v>http://vk.com/club14098618</v>
      </c>
      <c r="Q1770">
        <v>4681</v>
      </c>
      <c r="R1770" t="s">
        <v>124</v>
      </c>
      <c r="AM1770" t="s">
        <v>129</v>
      </c>
      <c r="AN1770" t="s">
        <v>130</v>
      </c>
      <c r="AP1770" t="s">
        <v>41</v>
      </c>
      <c r="AT1770" t="s">
        <v>45</v>
      </c>
      <c r="AU1770" t="s">
        <v>46</v>
      </c>
      <c r="AY1770" t="s">
        <v>50</v>
      </c>
      <c r="AZ1770" t="s">
        <v>51</v>
      </c>
      <c r="BA1770" t="s">
        <v>52</v>
      </c>
    </row>
    <row r="1771" spans="1:77" x14ac:dyDescent="0.2">
      <c r="A1771" t="s">
        <v>6261</v>
      </c>
      <c r="B1771" t="s">
        <v>3151</v>
      </c>
      <c r="C1771" t="s">
        <v>6426</v>
      </c>
      <c r="D1771" t="s">
        <v>2052</v>
      </c>
      <c r="E1771" t="s">
        <v>6450</v>
      </c>
      <c r="F1771" t="s">
        <v>180</v>
      </c>
      <c r="G1771" t="str">
        <f>HYPERLINK("https://www.wildberries.ru/catalog/17288086/detail.aspx?targetUrl=ES#Comments")</f>
        <v>https://www.wildberries.ru/catalog/17288086/detail.aspx?targetUrl=ES#Comments</v>
      </c>
      <c r="H1771" t="s">
        <v>181</v>
      </c>
      <c r="I1771" t="s">
        <v>3326</v>
      </c>
      <c r="J1771" t="str">
        <f>HYPERLINK("https://www.wildberries.ru/profile/w7TDssOkw7PCu8K1wrLCuMKwwrPCs8KywrI=")</f>
        <v>https://www.wildberries.ru/profile/w7TDssOkw7PCu8K1wrLCuMKwwrPCs8KywrI=</v>
      </c>
      <c r="L1771" t="s">
        <v>151</v>
      </c>
      <c r="N1771" t="s">
        <v>534</v>
      </c>
      <c r="O1771" t="s">
        <v>2052</v>
      </c>
      <c r="P1771" t="str">
        <f>HYPERLINK("https://www.wildberries.ru/catalog/12874318/detail.aspx")</f>
        <v>https://www.wildberries.ru/catalog/12874318/detail.aspx</v>
      </c>
      <c r="R1771" t="s">
        <v>184</v>
      </c>
      <c r="S1771" t="s">
        <v>125</v>
      </c>
      <c r="W1771">
        <v>0</v>
      </c>
      <c r="X1771">
        <v>0</v>
      </c>
      <c r="AH1771">
        <v>5</v>
      </c>
      <c r="AM1771" t="s">
        <v>129</v>
      </c>
      <c r="AN1771" t="s">
        <v>130</v>
      </c>
      <c r="AP1771" t="s">
        <v>41</v>
      </c>
      <c r="AZ1771" t="s">
        <v>51</v>
      </c>
      <c r="BA1771" t="s">
        <v>52</v>
      </c>
      <c r="BK1771" t="s">
        <v>62</v>
      </c>
      <c r="BL1771" t="s">
        <v>63</v>
      </c>
    </row>
    <row r="1772" spans="1:77" x14ac:dyDescent="0.2">
      <c r="A1772" t="s">
        <v>6261</v>
      </c>
      <c r="B1772" t="s">
        <v>2622</v>
      </c>
      <c r="C1772" t="s">
        <v>6451</v>
      </c>
      <c r="D1772" t="s">
        <v>6452</v>
      </c>
      <c r="E1772" t="s">
        <v>6453</v>
      </c>
      <c r="F1772" t="s">
        <v>118</v>
      </c>
      <c r="G1772" t="str">
        <f>HYPERLINK("https://vk.com/wall-14098618_8624?reply=8658")</f>
        <v>https://vk.com/wall-14098618_8624?reply=8658</v>
      </c>
      <c r="H1772" t="s">
        <v>119</v>
      </c>
      <c r="I1772" t="s">
        <v>6438</v>
      </c>
      <c r="J1772" t="str">
        <f>HYPERLINK("http://vk.com/id593969274")</f>
        <v>http://vk.com/id593969274</v>
      </c>
      <c r="L1772" t="s">
        <v>121</v>
      </c>
      <c r="M1772">
        <v>44</v>
      </c>
      <c r="N1772" t="s">
        <v>122</v>
      </c>
      <c r="O1772" t="s">
        <v>1663</v>
      </c>
      <c r="P1772" t="str">
        <f>HYPERLINK("http://vk.com/club14098618")</f>
        <v>http://vk.com/club14098618</v>
      </c>
      <c r="Q1772">
        <v>4681</v>
      </c>
      <c r="R1772" t="s">
        <v>124</v>
      </c>
      <c r="W1772">
        <v>0</v>
      </c>
      <c r="X1772">
        <v>0</v>
      </c>
      <c r="AM1772" t="s">
        <v>129</v>
      </c>
      <c r="AN1772" t="s">
        <v>130</v>
      </c>
      <c r="AP1772" t="s">
        <v>41</v>
      </c>
      <c r="AT1772" t="s">
        <v>45</v>
      </c>
      <c r="AZ1772" t="s">
        <v>51</v>
      </c>
      <c r="BA1772" t="s">
        <v>52</v>
      </c>
      <c r="BL1772" t="s">
        <v>63</v>
      </c>
    </row>
    <row r="1773" spans="1:77" x14ac:dyDescent="0.2">
      <c r="A1773" t="s">
        <v>6261</v>
      </c>
      <c r="B1773" t="s">
        <v>2622</v>
      </c>
      <c r="C1773" t="s">
        <v>6454</v>
      </c>
      <c r="D1773" t="s">
        <v>855</v>
      </c>
      <c r="E1773" t="s">
        <v>6455</v>
      </c>
      <c r="F1773" t="s">
        <v>180</v>
      </c>
      <c r="G1773" t="str">
        <f>HYPERLINK("https://www.ozon.ru/context/detail/id/170215696/#60226909")</f>
        <v>https://www.ozon.ru/context/detail/id/170215696/#60226909</v>
      </c>
      <c r="H1773" t="s">
        <v>181</v>
      </c>
      <c r="I1773" t="s">
        <v>6456</v>
      </c>
      <c r="J1773" t="str">
        <f>HYPERLINK("https://www.ozon.ru/context/client_opinion/ClientGuid/82e20d20-3eed-45f6-ab30-a81a22a850e7/")</f>
        <v>https://www.ozon.ru/context/client_opinion/ClientGuid/82e20d20-3eed-45f6-ab30-a81a22a850e7/</v>
      </c>
      <c r="L1773" t="s">
        <v>121</v>
      </c>
      <c r="N1773" t="s">
        <v>183</v>
      </c>
      <c r="O1773" t="s">
        <v>855</v>
      </c>
      <c r="P1773" t="str">
        <f>HYPERLINK("https://www.ozon.ru/context/detail/id/170215696/")</f>
        <v>https://www.ozon.ru/context/detail/id/170215696/</v>
      </c>
      <c r="R1773" t="s">
        <v>184</v>
      </c>
      <c r="S1773" t="s">
        <v>125</v>
      </c>
      <c r="W1773">
        <v>0</v>
      </c>
      <c r="X1773">
        <v>0</v>
      </c>
      <c r="AH1773">
        <v>5</v>
      </c>
      <c r="AM1773" t="s">
        <v>129</v>
      </c>
      <c r="AN1773" t="s">
        <v>130</v>
      </c>
      <c r="AP1773" t="s">
        <v>41</v>
      </c>
      <c r="AZ1773" t="s">
        <v>51</v>
      </c>
      <c r="BA1773" t="s">
        <v>52</v>
      </c>
      <c r="BK1773" t="s">
        <v>62</v>
      </c>
    </row>
    <row r="1774" spans="1:77" x14ac:dyDescent="0.2">
      <c r="A1774" t="s">
        <v>6261</v>
      </c>
      <c r="B1774" t="s">
        <v>6457</v>
      </c>
      <c r="C1774" t="s">
        <v>6458</v>
      </c>
      <c r="D1774" t="s">
        <v>2001</v>
      </c>
      <c r="E1774" t="s">
        <v>6459</v>
      </c>
      <c r="F1774" t="s">
        <v>180</v>
      </c>
      <c r="G1774" t="str">
        <f>HYPERLINK("https://ok.ru/group/51085510115462/topic/153461283857798")</f>
        <v>https://ok.ru/group/51085510115462/topic/153461283857798</v>
      </c>
      <c r="H1774" t="s">
        <v>119</v>
      </c>
      <c r="I1774" t="s">
        <v>175</v>
      </c>
      <c r="J1774" t="str">
        <f>HYPERLINK("https://ok.ru/group/51085510115462")</f>
        <v>https://ok.ru/group/51085510115462</v>
      </c>
      <c r="K1774">
        <v>94768</v>
      </c>
      <c r="L1774" t="s">
        <v>340</v>
      </c>
      <c r="N1774" t="s">
        <v>347</v>
      </c>
      <c r="O1774" t="s">
        <v>175</v>
      </c>
      <c r="P1774" t="str">
        <f>HYPERLINK("https://ok.ru/group/51085510115462")</f>
        <v>https://ok.ru/group/51085510115462</v>
      </c>
      <c r="Q1774">
        <v>94768</v>
      </c>
      <c r="R1774" t="s">
        <v>124</v>
      </c>
      <c r="W1774">
        <v>37</v>
      </c>
      <c r="X1774">
        <v>37</v>
      </c>
      <c r="Y1774">
        <v>0</v>
      </c>
      <c r="Z1774">
        <v>0</v>
      </c>
      <c r="AA1774">
        <v>0</v>
      </c>
      <c r="AB1774">
        <v>0</v>
      </c>
      <c r="AE1774">
        <v>67</v>
      </c>
      <c r="AF1774">
        <v>0</v>
      </c>
      <c r="AJ1774" t="s">
        <v>6460</v>
      </c>
      <c r="AK1774" t="s">
        <v>453</v>
      </c>
      <c r="AL1774" t="str">
        <f>HYPERLINK("https://i.mycdn.me/image?id=918685607814&amp;t=20&amp;plc=API&amp;aid=1131601408&amp;tkn=*N4OHi99M3hpn3RJLVUFjM9Oe74s")</f>
        <v>https://i.mycdn.me/image?id=918685607814&amp;t=20&amp;plc=API&amp;aid=1131601408&amp;tkn=*N4OHi99M3hpn3RJLVUFjM9Oe74s</v>
      </c>
      <c r="AM1774" t="s">
        <v>129</v>
      </c>
      <c r="AN1774" t="s">
        <v>130</v>
      </c>
      <c r="BI1774" t="s">
        <v>60</v>
      </c>
    </row>
    <row r="1775" spans="1:77" x14ac:dyDescent="0.2">
      <c r="A1775" t="s">
        <v>6261</v>
      </c>
      <c r="B1775" t="s">
        <v>2637</v>
      </c>
      <c r="C1775" t="s">
        <v>6415</v>
      </c>
      <c r="D1775" t="s">
        <v>129</v>
      </c>
      <c r="E1775" t="s">
        <v>6461</v>
      </c>
      <c r="F1775" t="s">
        <v>180</v>
      </c>
      <c r="G1775" t="str">
        <f>HYPERLINK("https://www.facebook.com/tricolortv/posts/4095215527199353")</f>
        <v>https://www.facebook.com/tricolortv/posts/4095215527199353</v>
      </c>
      <c r="H1775" t="s">
        <v>119</v>
      </c>
      <c r="I1775" t="s">
        <v>175</v>
      </c>
      <c r="J1775" t="str">
        <f>HYPERLINK("https://www.facebook.com/206198386101106")</f>
        <v>https://www.facebook.com/206198386101106</v>
      </c>
      <c r="K1775">
        <v>16432</v>
      </c>
      <c r="L1775" t="s">
        <v>340</v>
      </c>
      <c r="N1775" t="s">
        <v>305</v>
      </c>
      <c r="O1775" t="s">
        <v>175</v>
      </c>
      <c r="P1775" t="str">
        <f>HYPERLINK("https://www.facebook.com/206198386101106")</f>
        <v>https://www.facebook.com/206198386101106</v>
      </c>
      <c r="Q1775">
        <v>16432</v>
      </c>
      <c r="R1775" t="s">
        <v>124</v>
      </c>
      <c r="W1775">
        <v>4</v>
      </c>
      <c r="X1775">
        <v>4</v>
      </c>
      <c r="Y1775">
        <v>0</v>
      </c>
      <c r="Z1775">
        <v>0</v>
      </c>
      <c r="AA1775">
        <v>0</v>
      </c>
      <c r="AB1775">
        <v>0</v>
      </c>
      <c r="AC1775">
        <v>0</v>
      </c>
      <c r="AE1775">
        <v>5</v>
      </c>
      <c r="AF1775">
        <v>0</v>
      </c>
      <c r="AJ1775" t="s">
        <v>6460</v>
      </c>
      <c r="AK1775" t="s">
        <v>453</v>
      </c>
      <c r="AL1775" t="s">
        <v>6462</v>
      </c>
      <c r="AM1775" t="s">
        <v>129</v>
      </c>
      <c r="AN1775" t="s">
        <v>130</v>
      </c>
      <c r="BI1775" t="s">
        <v>60</v>
      </c>
    </row>
    <row r="1776" spans="1:77" x14ac:dyDescent="0.2">
      <c r="A1776" t="s">
        <v>6261</v>
      </c>
      <c r="B1776" t="s">
        <v>6463</v>
      </c>
      <c r="C1776" t="s">
        <v>6464</v>
      </c>
      <c r="D1776" t="s">
        <v>3094</v>
      </c>
      <c r="E1776" t="s">
        <v>6465</v>
      </c>
      <c r="F1776" t="s">
        <v>118</v>
      </c>
      <c r="G1776" t="str">
        <f>HYPERLINK("https://vk.com/wall-61101621_254687?w=wall-61101621_254687_r254693")</f>
        <v>https://vk.com/wall-61101621_254687?w=wall-61101621_254687_r254693</v>
      </c>
      <c r="H1776" t="s">
        <v>119</v>
      </c>
      <c r="I1776" t="s">
        <v>6466</v>
      </c>
      <c r="J1776" t="str">
        <f>HYPERLINK("http://vk.com/id538285952")</f>
        <v>http://vk.com/id538285952</v>
      </c>
      <c r="K1776">
        <v>3</v>
      </c>
      <c r="L1776" t="s">
        <v>151</v>
      </c>
      <c r="M1776">
        <v>37</v>
      </c>
      <c r="N1776" t="s">
        <v>122</v>
      </c>
      <c r="O1776" t="s">
        <v>160</v>
      </c>
      <c r="P1776" t="str">
        <f>HYPERLINK("http://vk.com/club61101621")</f>
        <v>http://vk.com/club61101621</v>
      </c>
      <c r="Q1776">
        <v>21119</v>
      </c>
      <c r="R1776" t="s">
        <v>124</v>
      </c>
      <c r="S1776" t="s">
        <v>125</v>
      </c>
      <c r="T1776" t="s">
        <v>169</v>
      </c>
      <c r="U1776" t="s">
        <v>169</v>
      </c>
      <c r="W1776">
        <v>0</v>
      </c>
      <c r="X1776">
        <v>0</v>
      </c>
      <c r="AM1776" t="s">
        <v>129</v>
      </c>
      <c r="AN1776" t="s">
        <v>130</v>
      </c>
      <c r="AP1776" t="s">
        <v>41</v>
      </c>
      <c r="AU1776" t="s">
        <v>46</v>
      </c>
      <c r="AZ1776" t="s">
        <v>51</v>
      </c>
      <c r="BA1776" t="s">
        <v>52</v>
      </c>
    </row>
    <row r="1777" spans="1:65" x14ac:dyDescent="0.2">
      <c r="A1777" t="s">
        <v>6261</v>
      </c>
      <c r="B1777" t="s">
        <v>6463</v>
      </c>
      <c r="C1777" t="s">
        <v>6467</v>
      </c>
      <c r="D1777" t="s">
        <v>6468</v>
      </c>
      <c r="E1777" t="s">
        <v>6469</v>
      </c>
      <c r="F1777" t="s">
        <v>118</v>
      </c>
      <c r="G1777" t="str">
        <f>HYPERLINK("https://vk.com/wall-8665910_1198050?reply=1198071")</f>
        <v>https://vk.com/wall-8665910_1198050?reply=1198071</v>
      </c>
      <c r="H1777" t="s">
        <v>119</v>
      </c>
      <c r="I1777" t="s">
        <v>6470</v>
      </c>
      <c r="J1777" t="str">
        <f>HYPERLINK("http://vk.com/id182107971")</f>
        <v>http://vk.com/id182107971</v>
      </c>
      <c r="K1777">
        <v>195</v>
      </c>
      <c r="L1777" t="s">
        <v>121</v>
      </c>
      <c r="M1777">
        <v>26</v>
      </c>
      <c r="N1777" t="s">
        <v>122</v>
      </c>
      <c r="O1777" t="s">
        <v>1942</v>
      </c>
      <c r="P1777" t="str">
        <f>HYPERLINK("http://vk.com/club8665910")</f>
        <v>http://vk.com/club8665910</v>
      </c>
      <c r="Q1777">
        <v>253332</v>
      </c>
      <c r="R1777" t="s">
        <v>124</v>
      </c>
      <c r="S1777" t="s">
        <v>125</v>
      </c>
      <c r="AM1777" t="s">
        <v>129</v>
      </c>
      <c r="AN1777" t="s">
        <v>130</v>
      </c>
      <c r="AP1777" t="s">
        <v>41</v>
      </c>
      <c r="AZ1777" t="s">
        <v>51</v>
      </c>
      <c r="BA1777" t="s">
        <v>52</v>
      </c>
      <c r="BL1777" t="s">
        <v>63</v>
      </c>
    </row>
    <row r="1778" spans="1:65" x14ac:dyDescent="0.2">
      <c r="A1778" t="s">
        <v>6261</v>
      </c>
      <c r="B1778" t="s">
        <v>6471</v>
      </c>
      <c r="C1778" t="s">
        <v>6472</v>
      </c>
      <c r="D1778" t="s">
        <v>6473</v>
      </c>
      <c r="E1778" t="s">
        <v>6474</v>
      </c>
      <c r="F1778" t="s">
        <v>118</v>
      </c>
      <c r="G1778" t="str">
        <f>HYPERLINK("https://vk.com/wall-22935147_361397?reply=368439")</f>
        <v>https://vk.com/wall-22935147_361397?reply=368439</v>
      </c>
      <c r="H1778" t="s">
        <v>119</v>
      </c>
      <c r="I1778" t="s">
        <v>4327</v>
      </c>
      <c r="J1778" t="str">
        <f>HYPERLINK("http://vk.com/id365342892")</f>
        <v>http://vk.com/id365342892</v>
      </c>
      <c r="K1778">
        <v>11</v>
      </c>
      <c r="L1778" t="s">
        <v>121</v>
      </c>
      <c r="N1778" t="s">
        <v>122</v>
      </c>
      <c r="O1778" t="s">
        <v>1093</v>
      </c>
      <c r="P1778" t="str">
        <f>HYPERLINK("http://vk.com/club22935147")</f>
        <v>http://vk.com/club22935147</v>
      </c>
      <c r="Q1778">
        <v>8943</v>
      </c>
      <c r="R1778" t="s">
        <v>124</v>
      </c>
      <c r="S1778" t="s">
        <v>125</v>
      </c>
      <c r="T1778" t="s">
        <v>364</v>
      </c>
      <c r="U1778" t="s">
        <v>4328</v>
      </c>
      <c r="AM1778" t="s">
        <v>129</v>
      </c>
      <c r="AN1778" t="s">
        <v>130</v>
      </c>
      <c r="AP1778" t="s">
        <v>41</v>
      </c>
      <c r="AU1778" t="s">
        <v>46</v>
      </c>
      <c r="AW1778" t="s">
        <v>48</v>
      </c>
      <c r="AZ1778" t="s">
        <v>51</v>
      </c>
      <c r="BA1778" t="s">
        <v>52</v>
      </c>
    </row>
    <row r="1779" spans="1:65" x14ac:dyDescent="0.2">
      <c r="A1779" t="s">
        <v>6261</v>
      </c>
      <c r="B1779" t="s">
        <v>1640</v>
      </c>
      <c r="C1779" t="s">
        <v>6475</v>
      </c>
      <c r="D1779" t="s">
        <v>6297</v>
      </c>
      <c r="E1779" t="s">
        <v>6476</v>
      </c>
      <c r="F1779" t="s">
        <v>118</v>
      </c>
      <c r="G1779" t="str">
        <f>HYPERLINK("https://vk.com/wall-1072740_167134?reply=167918&amp;thread=167270")</f>
        <v>https://vk.com/wall-1072740_167134?reply=167918&amp;thread=167270</v>
      </c>
      <c r="H1779" t="s">
        <v>119</v>
      </c>
      <c r="I1779" t="s">
        <v>6477</v>
      </c>
      <c r="J1779" t="str">
        <f>HYPERLINK("http://vk.com/id396190163")</f>
        <v>http://vk.com/id396190163</v>
      </c>
      <c r="K1779">
        <v>20</v>
      </c>
      <c r="L1779" t="s">
        <v>151</v>
      </c>
      <c r="N1779" t="s">
        <v>122</v>
      </c>
      <c r="O1779" t="s">
        <v>6300</v>
      </c>
      <c r="P1779" t="str">
        <f>HYPERLINK("http://vk.com/club1072740")</f>
        <v>http://vk.com/club1072740</v>
      </c>
      <c r="Q1779">
        <v>15812</v>
      </c>
      <c r="R1779" t="s">
        <v>124</v>
      </c>
      <c r="S1779" t="s">
        <v>125</v>
      </c>
      <c r="T1779" t="s">
        <v>137</v>
      </c>
      <c r="U1779" t="s">
        <v>137</v>
      </c>
      <c r="AM1779" t="s">
        <v>129</v>
      </c>
      <c r="AN1779" t="s">
        <v>130</v>
      </c>
      <c r="AP1779" t="s">
        <v>41</v>
      </c>
      <c r="AT1779" t="s">
        <v>45</v>
      </c>
      <c r="AU1779" t="s">
        <v>46</v>
      </c>
      <c r="AZ1779" t="s">
        <v>51</v>
      </c>
      <c r="BA1779" t="s">
        <v>52</v>
      </c>
      <c r="BL1779" t="s">
        <v>63</v>
      </c>
    </row>
    <row r="1780" spans="1:65" x14ac:dyDescent="0.2">
      <c r="A1780" t="s">
        <v>6261</v>
      </c>
      <c r="B1780" t="s">
        <v>6478</v>
      </c>
      <c r="C1780" t="s">
        <v>6479</v>
      </c>
      <c r="D1780" t="s">
        <v>6480</v>
      </c>
      <c r="E1780" t="s">
        <v>6481</v>
      </c>
      <c r="F1780" t="s">
        <v>118</v>
      </c>
      <c r="G1780" t="str">
        <f>HYPERLINK("https://www.youtube.com/watch?v=N_svAvckG8g&amp;lc=UgzLMdrtxZAW-ldHiop4AaABAg")</f>
        <v>https://www.youtube.com/watch?v=N_svAvckG8g&amp;lc=UgzLMdrtxZAW-ldHiop4AaABAg</v>
      </c>
      <c r="H1780" t="s">
        <v>228</v>
      </c>
      <c r="I1780" t="s">
        <v>6482</v>
      </c>
      <c r="J1780" t="str">
        <f>HYPERLINK("https://www.youtube.com/channel/UCYy_PEEotfxbcs5Wp7eP6Mw")</f>
        <v>https://www.youtube.com/channel/UCYy_PEEotfxbcs5Wp7eP6Mw</v>
      </c>
      <c r="K1780">
        <v>2</v>
      </c>
      <c r="N1780" t="s">
        <v>248</v>
      </c>
      <c r="O1780" t="s">
        <v>6483</v>
      </c>
      <c r="P1780" t="str">
        <f>HYPERLINK("https://www.youtube.com/channel/UCvGq-_DVFKc3Q_mKNz_b7iw")</f>
        <v>https://www.youtube.com/channel/UCvGq-_DVFKc3Q_mKNz_b7iw</v>
      </c>
      <c r="Q1780">
        <v>79600</v>
      </c>
      <c r="R1780" t="s">
        <v>124</v>
      </c>
      <c r="S1780" t="s">
        <v>125</v>
      </c>
      <c r="W1780">
        <v>0</v>
      </c>
      <c r="X1780">
        <v>0</v>
      </c>
      <c r="AE1780">
        <v>0</v>
      </c>
      <c r="AM1780" t="s">
        <v>129</v>
      </c>
      <c r="AN1780" t="s">
        <v>130</v>
      </c>
      <c r="AP1780" t="s">
        <v>41</v>
      </c>
      <c r="AZ1780" t="s">
        <v>51</v>
      </c>
      <c r="BB1780" t="s">
        <v>53</v>
      </c>
    </row>
    <row r="1781" spans="1:65" x14ac:dyDescent="0.2">
      <c r="A1781" t="s">
        <v>6261</v>
      </c>
      <c r="B1781" t="s">
        <v>1109</v>
      </c>
      <c r="C1781" t="s">
        <v>6484</v>
      </c>
      <c r="D1781" t="s">
        <v>3094</v>
      </c>
      <c r="E1781" t="s">
        <v>6485</v>
      </c>
      <c r="F1781" t="s">
        <v>118</v>
      </c>
      <c r="G1781" t="str">
        <f>HYPERLINK("https://vk.com/wall-61101621_254687?reply=254690")</f>
        <v>https://vk.com/wall-61101621_254687?reply=254690</v>
      </c>
      <c r="H1781" t="s">
        <v>119</v>
      </c>
      <c r="I1781" t="s">
        <v>6407</v>
      </c>
      <c r="J1781" t="str">
        <f>HYPERLINK("http://vk.com/id7065324")</f>
        <v>http://vk.com/id7065324</v>
      </c>
      <c r="K1781">
        <v>83</v>
      </c>
      <c r="L1781" t="s">
        <v>121</v>
      </c>
      <c r="N1781" t="s">
        <v>122</v>
      </c>
      <c r="O1781" t="s">
        <v>160</v>
      </c>
      <c r="P1781" t="str">
        <f>HYPERLINK("http://vk.com/club61101621")</f>
        <v>http://vk.com/club61101621</v>
      </c>
      <c r="Q1781">
        <v>21119</v>
      </c>
      <c r="R1781" t="s">
        <v>124</v>
      </c>
      <c r="S1781" t="s">
        <v>125</v>
      </c>
      <c r="T1781" t="s">
        <v>2388</v>
      </c>
      <c r="U1781" t="s">
        <v>6408</v>
      </c>
      <c r="W1781">
        <v>0</v>
      </c>
      <c r="X1781">
        <v>0</v>
      </c>
      <c r="AM1781" t="s">
        <v>129</v>
      </c>
      <c r="AN1781" t="s">
        <v>130</v>
      </c>
      <c r="AP1781" t="s">
        <v>41</v>
      </c>
      <c r="AT1781" t="s">
        <v>45</v>
      </c>
      <c r="AZ1781" t="s">
        <v>51</v>
      </c>
      <c r="BA1781" t="s">
        <v>52</v>
      </c>
      <c r="BL1781" t="s">
        <v>63</v>
      </c>
    </row>
    <row r="1782" spans="1:65" x14ac:dyDescent="0.2">
      <c r="A1782" t="s">
        <v>6261</v>
      </c>
      <c r="B1782" t="s">
        <v>2145</v>
      </c>
      <c r="C1782" t="s">
        <v>6486</v>
      </c>
      <c r="D1782" t="s">
        <v>6487</v>
      </c>
      <c r="E1782" t="s">
        <v>6488</v>
      </c>
      <c r="F1782" t="s">
        <v>118</v>
      </c>
      <c r="G1782" t="str">
        <f>HYPERLINK("https://www.youtube.com/watch?v=7-I7ZjXnNt4&amp;lc=Ugy7fZ9C6UwiTiUe36J4AaABAg")</f>
        <v>https://www.youtube.com/watch?v=7-I7ZjXnNt4&amp;lc=Ugy7fZ9C6UwiTiUe36J4AaABAg</v>
      </c>
      <c r="H1782" t="s">
        <v>119</v>
      </c>
      <c r="I1782" t="s">
        <v>6489</v>
      </c>
      <c r="J1782" t="str">
        <f>HYPERLINK("https://www.youtube.com/channel/UCWxwdBV-_mK_-GDIPP_qE9Q")</f>
        <v>https://www.youtube.com/channel/UCWxwdBV-_mK_-GDIPP_qE9Q</v>
      </c>
      <c r="K1782">
        <v>0</v>
      </c>
      <c r="N1782" t="s">
        <v>248</v>
      </c>
      <c r="O1782" t="s">
        <v>5564</v>
      </c>
      <c r="P1782" t="str">
        <f>HYPERLINK("https://www.youtube.com/channel/UCTUx4EVcZIIKPG517num88g")</f>
        <v>https://www.youtube.com/channel/UCTUx4EVcZIIKPG517num88g</v>
      </c>
      <c r="Q1782">
        <v>2430</v>
      </c>
      <c r="R1782" t="s">
        <v>124</v>
      </c>
      <c r="S1782" t="s">
        <v>125</v>
      </c>
      <c r="W1782">
        <v>0</v>
      </c>
      <c r="X1782">
        <v>0</v>
      </c>
      <c r="AE1782">
        <v>0</v>
      </c>
      <c r="AM1782" t="s">
        <v>129</v>
      </c>
      <c r="AN1782" t="s">
        <v>130</v>
      </c>
      <c r="AP1782" t="s">
        <v>41</v>
      </c>
      <c r="AZ1782" t="s">
        <v>51</v>
      </c>
      <c r="BA1782" t="s">
        <v>52</v>
      </c>
      <c r="BL1782" t="s">
        <v>63</v>
      </c>
    </row>
    <row r="1783" spans="1:65" x14ac:dyDescent="0.2">
      <c r="A1783" t="s">
        <v>6261</v>
      </c>
      <c r="B1783" t="s">
        <v>580</v>
      </c>
      <c r="C1783" t="s">
        <v>6490</v>
      </c>
      <c r="D1783" t="s">
        <v>6491</v>
      </c>
      <c r="E1783" t="s">
        <v>6492</v>
      </c>
      <c r="F1783" t="s">
        <v>118</v>
      </c>
      <c r="G1783" t="str">
        <f>HYPERLINK("https://vk.com/wall-149715390_37132?reply=37137")</f>
        <v>https://vk.com/wall-149715390_37132?reply=37137</v>
      </c>
      <c r="H1783" t="s">
        <v>181</v>
      </c>
      <c r="I1783" t="s">
        <v>6493</v>
      </c>
      <c r="J1783" t="str">
        <f>HYPERLINK("http://vk.com/id7891625")</f>
        <v>http://vk.com/id7891625</v>
      </c>
      <c r="K1783">
        <v>202</v>
      </c>
      <c r="L1783" t="s">
        <v>121</v>
      </c>
      <c r="M1783">
        <v>44</v>
      </c>
      <c r="N1783" t="s">
        <v>122</v>
      </c>
      <c r="O1783" t="s">
        <v>6494</v>
      </c>
      <c r="P1783" t="str">
        <f>HYPERLINK("http://vk.com/club149715390")</f>
        <v>http://vk.com/club149715390</v>
      </c>
      <c r="Q1783">
        <v>4987</v>
      </c>
      <c r="R1783" t="s">
        <v>124</v>
      </c>
      <c r="S1783" t="s">
        <v>125</v>
      </c>
      <c r="T1783" t="s">
        <v>137</v>
      </c>
      <c r="U1783" t="s">
        <v>137</v>
      </c>
      <c r="AM1783" t="s">
        <v>129</v>
      </c>
      <c r="AN1783" t="s">
        <v>130</v>
      </c>
      <c r="AP1783" t="s">
        <v>41</v>
      </c>
      <c r="AZ1783" t="s">
        <v>51</v>
      </c>
      <c r="BA1783" t="s">
        <v>52</v>
      </c>
    </row>
    <row r="1784" spans="1:65" x14ac:dyDescent="0.2">
      <c r="A1784" t="s">
        <v>6261</v>
      </c>
      <c r="B1784" t="s">
        <v>6495</v>
      </c>
      <c r="C1784" t="s">
        <v>6484</v>
      </c>
      <c r="D1784" t="s">
        <v>3094</v>
      </c>
      <c r="E1784" t="s">
        <v>6496</v>
      </c>
      <c r="F1784" t="s">
        <v>118</v>
      </c>
      <c r="G1784" t="str">
        <f>HYPERLINK("https://vk.com/wall-61101621_254687?reply=254689")</f>
        <v>https://vk.com/wall-61101621_254687?reply=254689</v>
      </c>
      <c r="H1784" t="s">
        <v>119</v>
      </c>
      <c r="I1784" t="s">
        <v>3125</v>
      </c>
      <c r="J1784" t="str">
        <f>HYPERLINK("http://vk.com/id163176940")</f>
        <v>http://vk.com/id163176940</v>
      </c>
      <c r="K1784">
        <v>20</v>
      </c>
      <c r="L1784" t="s">
        <v>121</v>
      </c>
      <c r="N1784" t="s">
        <v>122</v>
      </c>
      <c r="O1784" t="s">
        <v>160</v>
      </c>
      <c r="P1784" t="str">
        <f>HYPERLINK("http://vk.com/club61101621")</f>
        <v>http://vk.com/club61101621</v>
      </c>
      <c r="Q1784">
        <v>21119</v>
      </c>
      <c r="R1784" t="s">
        <v>124</v>
      </c>
      <c r="S1784" t="s">
        <v>125</v>
      </c>
      <c r="T1784" t="s">
        <v>1103</v>
      </c>
      <c r="U1784" t="s">
        <v>1104</v>
      </c>
      <c r="W1784">
        <v>0</v>
      </c>
      <c r="X1784">
        <v>0</v>
      </c>
      <c r="AM1784" t="s">
        <v>129</v>
      </c>
      <c r="AN1784" t="s">
        <v>130</v>
      </c>
      <c r="AP1784" t="s">
        <v>41</v>
      </c>
      <c r="AZ1784" t="s">
        <v>51</v>
      </c>
      <c r="BA1784" t="s">
        <v>52</v>
      </c>
      <c r="BL1784" t="s">
        <v>63</v>
      </c>
    </row>
    <row r="1785" spans="1:65" x14ac:dyDescent="0.2">
      <c r="A1785" t="s">
        <v>6261</v>
      </c>
      <c r="B1785" t="s">
        <v>586</v>
      </c>
      <c r="C1785" t="s">
        <v>6497</v>
      </c>
      <c r="D1785" t="s">
        <v>6498</v>
      </c>
      <c r="E1785" t="s">
        <v>6499</v>
      </c>
      <c r="F1785" t="s">
        <v>118</v>
      </c>
      <c r="G1785" t="str">
        <f>HYPERLINK("https://vk.com/wall-8665910_1197921?reply=1197939")</f>
        <v>https://vk.com/wall-8665910_1197921?reply=1197939</v>
      </c>
      <c r="H1785" t="s">
        <v>119</v>
      </c>
      <c r="I1785" t="s">
        <v>6500</v>
      </c>
      <c r="J1785" t="str">
        <f>HYPERLINK("http://vk.com/id143059219")</f>
        <v>http://vk.com/id143059219</v>
      </c>
      <c r="K1785">
        <v>601</v>
      </c>
      <c r="L1785" t="s">
        <v>121</v>
      </c>
      <c r="M1785">
        <v>26</v>
      </c>
      <c r="N1785" t="s">
        <v>122</v>
      </c>
      <c r="O1785" t="s">
        <v>1942</v>
      </c>
      <c r="P1785" t="str">
        <f>HYPERLINK("http://vk.com/club8665910")</f>
        <v>http://vk.com/club8665910</v>
      </c>
      <c r="Q1785">
        <v>253332</v>
      </c>
      <c r="R1785" t="s">
        <v>124</v>
      </c>
      <c r="S1785" t="s">
        <v>125</v>
      </c>
      <c r="T1785" t="s">
        <v>3158</v>
      </c>
      <c r="U1785" t="s">
        <v>6501</v>
      </c>
      <c r="AM1785" t="s">
        <v>129</v>
      </c>
      <c r="AN1785" t="s">
        <v>130</v>
      </c>
      <c r="AP1785" t="s">
        <v>41</v>
      </c>
      <c r="AU1785" t="s">
        <v>46</v>
      </c>
      <c r="AZ1785" t="s">
        <v>51</v>
      </c>
      <c r="BA1785" t="s">
        <v>52</v>
      </c>
    </row>
    <row r="1786" spans="1:65" x14ac:dyDescent="0.2">
      <c r="A1786" t="s">
        <v>6261</v>
      </c>
      <c r="B1786" t="s">
        <v>5830</v>
      </c>
      <c r="C1786" t="s">
        <v>6502</v>
      </c>
      <c r="D1786" t="s">
        <v>6053</v>
      </c>
      <c r="E1786" t="s">
        <v>6503</v>
      </c>
      <c r="F1786" t="s">
        <v>118</v>
      </c>
      <c r="G1786" t="str">
        <f>HYPERLINK("https://vk.com/wall-22935147_368378?w=wall-22935147_368378_r368436")</f>
        <v>https://vk.com/wall-22935147_368378?w=wall-22935147_368378_r368436</v>
      </c>
      <c r="H1786" t="s">
        <v>119</v>
      </c>
      <c r="I1786" t="s">
        <v>6055</v>
      </c>
      <c r="J1786" t="str">
        <f>HYPERLINK("http://vk.com/id154372840")</f>
        <v>http://vk.com/id154372840</v>
      </c>
      <c r="K1786">
        <v>19</v>
      </c>
      <c r="L1786" t="s">
        <v>121</v>
      </c>
      <c r="N1786" t="s">
        <v>122</v>
      </c>
      <c r="O1786" t="s">
        <v>1093</v>
      </c>
      <c r="P1786" t="str">
        <f>HYPERLINK("http://vk.com/club22935147")</f>
        <v>http://vk.com/club22935147</v>
      </c>
      <c r="Q1786">
        <v>8943</v>
      </c>
      <c r="R1786" t="s">
        <v>124</v>
      </c>
      <c r="S1786" t="s">
        <v>1884</v>
      </c>
      <c r="T1786" t="s">
        <v>3228</v>
      </c>
      <c r="U1786" t="s">
        <v>6056</v>
      </c>
      <c r="W1786">
        <v>0</v>
      </c>
      <c r="X1786">
        <v>0</v>
      </c>
      <c r="AM1786" t="s">
        <v>129</v>
      </c>
      <c r="AN1786" t="s">
        <v>130</v>
      </c>
      <c r="AP1786" t="s">
        <v>41</v>
      </c>
      <c r="AZ1786" t="s">
        <v>51</v>
      </c>
      <c r="BA1786" t="s">
        <v>52</v>
      </c>
      <c r="BM1786" t="s">
        <v>64</v>
      </c>
    </row>
    <row r="1787" spans="1:65" x14ac:dyDescent="0.2">
      <c r="A1787" t="s">
        <v>6261</v>
      </c>
      <c r="B1787" t="s">
        <v>3237</v>
      </c>
      <c r="C1787" t="s">
        <v>6426</v>
      </c>
      <c r="D1787" t="s">
        <v>3261</v>
      </c>
      <c r="E1787" t="s">
        <v>6504</v>
      </c>
      <c r="F1787" t="s">
        <v>180</v>
      </c>
      <c r="G1787" t="str">
        <f>HYPERLINK("https://www.wildberries.ru/catalog/5691258/detail.aspx?targetUrl=ES#Comments")</f>
        <v>https://www.wildberries.ru/catalog/5691258/detail.aspx?targetUrl=ES#Comments</v>
      </c>
      <c r="H1787" t="s">
        <v>181</v>
      </c>
      <c r="I1787" t="s">
        <v>6187</v>
      </c>
      <c r="J1787" t="str">
        <f>HYPERLINK("https://www.wildberries.ru/profile/w7TDssOkw7PCu8KwwrTCs8KwwrjCucK1wrI=")</f>
        <v>https://www.wildberries.ru/profile/w7TDssOkw7PCu8KwwrTCs8KwwrjCucK1wrI=</v>
      </c>
      <c r="L1787" t="s">
        <v>151</v>
      </c>
      <c r="N1787" t="s">
        <v>534</v>
      </c>
      <c r="O1787" t="s">
        <v>3261</v>
      </c>
      <c r="P1787" t="str">
        <f>HYPERLINK("https://www.wildberries.ru/catalog/4570035/detail.aspx")</f>
        <v>https://www.wildberries.ru/catalog/4570035/detail.aspx</v>
      </c>
      <c r="R1787" t="s">
        <v>184</v>
      </c>
      <c r="S1787" t="s">
        <v>125</v>
      </c>
      <c r="W1787">
        <v>0</v>
      </c>
      <c r="X1787">
        <v>0</v>
      </c>
      <c r="AH1787">
        <v>5</v>
      </c>
      <c r="AM1787" t="s">
        <v>129</v>
      </c>
      <c r="AN1787" t="s">
        <v>130</v>
      </c>
      <c r="AP1787" t="s">
        <v>41</v>
      </c>
      <c r="AZ1787" t="s">
        <v>51</v>
      </c>
      <c r="BA1787" t="s">
        <v>52</v>
      </c>
      <c r="BK1787" t="s">
        <v>62</v>
      </c>
      <c r="BL1787" t="s">
        <v>63</v>
      </c>
    </row>
    <row r="1788" spans="1:65" x14ac:dyDescent="0.2">
      <c r="A1788" t="s">
        <v>6261</v>
      </c>
      <c r="B1788" t="s">
        <v>6505</v>
      </c>
      <c r="C1788" t="s">
        <v>6029</v>
      </c>
      <c r="D1788" t="s">
        <v>6030</v>
      </c>
      <c r="E1788" t="s">
        <v>6506</v>
      </c>
      <c r="F1788" t="s">
        <v>118</v>
      </c>
      <c r="G1788" t="str">
        <f>HYPERLINK("https://www.facebook.com/groups/BAPHA/permalink/1941912839290070/?comment_id=1941965532618134")</f>
        <v>https://www.facebook.com/groups/BAPHA/permalink/1941912839290070/?comment_id=1941965532618134</v>
      </c>
      <c r="H1788" t="s">
        <v>119</v>
      </c>
      <c r="I1788" t="s">
        <v>6032</v>
      </c>
      <c r="J1788" t="str">
        <f>HYPERLINK("https://www.facebook.com/100025413665766")</f>
        <v>https://www.facebook.com/100025413665766</v>
      </c>
      <c r="K1788">
        <v>75</v>
      </c>
      <c r="L1788" t="s">
        <v>151</v>
      </c>
      <c r="N1788" t="s">
        <v>305</v>
      </c>
      <c r="O1788" t="s">
        <v>6033</v>
      </c>
      <c r="P1788" t="str">
        <f>HYPERLINK("https://www.facebook.com/300397690108268")</f>
        <v>https://www.facebook.com/300397690108268</v>
      </c>
      <c r="Q1788">
        <v>4171</v>
      </c>
      <c r="R1788" t="s">
        <v>124</v>
      </c>
      <c r="S1788" t="s">
        <v>125</v>
      </c>
      <c r="T1788" t="s">
        <v>169</v>
      </c>
      <c r="U1788" t="s">
        <v>169</v>
      </c>
      <c r="W1788">
        <v>1</v>
      </c>
      <c r="X1788">
        <v>1</v>
      </c>
      <c r="AE1788">
        <v>3</v>
      </c>
      <c r="AM1788" t="s">
        <v>129</v>
      </c>
      <c r="AN1788" t="s">
        <v>130</v>
      </c>
      <c r="AP1788" t="s">
        <v>41</v>
      </c>
      <c r="AU1788" t="s">
        <v>46</v>
      </c>
      <c r="AY1788" t="s">
        <v>50</v>
      </c>
      <c r="AZ1788" t="s">
        <v>51</v>
      </c>
      <c r="BA1788" t="s">
        <v>52</v>
      </c>
      <c r="BL1788" t="s">
        <v>63</v>
      </c>
    </row>
    <row r="1789" spans="1:65" x14ac:dyDescent="0.2">
      <c r="A1789" t="s">
        <v>6261</v>
      </c>
      <c r="B1789" t="s">
        <v>6507</v>
      </c>
      <c r="C1789" t="s">
        <v>5628</v>
      </c>
      <c r="D1789" t="s">
        <v>1727</v>
      </c>
      <c r="E1789" t="s">
        <v>6508</v>
      </c>
      <c r="F1789" t="s">
        <v>180</v>
      </c>
      <c r="G1789" t="str">
        <f>HYPERLINK("https://www.ozon.ru/context/detail/id/248909251/#60174359")</f>
        <v>https://www.ozon.ru/context/detail/id/248909251/#60174359</v>
      </c>
      <c r="H1789" t="s">
        <v>181</v>
      </c>
      <c r="I1789" t="s">
        <v>6509</v>
      </c>
      <c r="J1789" t="str">
        <f>HYPERLINK("https://www.ozon.ru/context/client_opinion/ClientGuid/538d573c-66b5-487d-a706-eaa0ced5f93e/")</f>
        <v>https://www.ozon.ru/context/client_opinion/ClientGuid/538d573c-66b5-487d-a706-eaa0ced5f93e/</v>
      </c>
      <c r="L1789" t="s">
        <v>151</v>
      </c>
      <c r="N1789" t="s">
        <v>183</v>
      </c>
      <c r="O1789" t="s">
        <v>1729</v>
      </c>
      <c r="P1789" t="str">
        <f>HYPERLINK("https://www.ozon.ru/context/detail/id/248909251/")</f>
        <v>https://www.ozon.ru/context/detail/id/248909251/</v>
      </c>
      <c r="R1789" t="s">
        <v>184</v>
      </c>
      <c r="S1789" t="s">
        <v>125</v>
      </c>
      <c r="W1789">
        <v>0</v>
      </c>
      <c r="X1789">
        <v>0</v>
      </c>
      <c r="AH1789">
        <v>5</v>
      </c>
      <c r="AM1789" t="s">
        <v>129</v>
      </c>
      <c r="AN1789" t="s">
        <v>130</v>
      </c>
      <c r="AP1789" t="s">
        <v>41</v>
      </c>
      <c r="AT1789" t="s">
        <v>45</v>
      </c>
      <c r="AY1789" t="s">
        <v>50</v>
      </c>
      <c r="AZ1789" t="s">
        <v>51</v>
      </c>
      <c r="BA1789" t="s">
        <v>52</v>
      </c>
      <c r="BL1789" t="s">
        <v>63</v>
      </c>
    </row>
    <row r="1790" spans="1:65" x14ac:dyDescent="0.2">
      <c r="A1790" t="s">
        <v>6261</v>
      </c>
      <c r="B1790" t="s">
        <v>6510</v>
      </c>
      <c r="C1790" t="s">
        <v>5345</v>
      </c>
      <c r="D1790" t="s">
        <v>6511</v>
      </c>
      <c r="E1790" t="s">
        <v>6512</v>
      </c>
      <c r="F1790" t="s">
        <v>180</v>
      </c>
      <c r="G1790" t="str">
        <f>HYPERLINK("https://www.ozon.ru/context/detail/id/252958715/#60173923")</f>
        <v>https://www.ozon.ru/context/detail/id/252958715/#60173923</v>
      </c>
      <c r="H1790" t="s">
        <v>181</v>
      </c>
      <c r="I1790" t="s">
        <v>512</v>
      </c>
      <c r="J1790" t="str">
        <f>HYPERLINK("https://www.ozon.ru/context/client_opinion/ClientGuid//")</f>
        <v>https://www.ozon.ru/context/client_opinion/ClientGuid//</v>
      </c>
      <c r="N1790" t="s">
        <v>183</v>
      </c>
      <c r="O1790" t="s">
        <v>6511</v>
      </c>
      <c r="P1790" t="str">
        <f>HYPERLINK("https://www.ozon.ru/context/detail/id/252958715/")</f>
        <v>https://www.ozon.ru/context/detail/id/252958715/</v>
      </c>
      <c r="R1790" t="s">
        <v>184</v>
      </c>
      <c r="S1790" t="s">
        <v>125</v>
      </c>
      <c r="W1790">
        <v>0</v>
      </c>
      <c r="X1790">
        <v>0</v>
      </c>
      <c r="AH1790">
        <v>5</v>
      </c>
      <c r="AM1790" t="s">
        <v>129</v>
      </c>
      <c r="AN1790" t="s">
        <v>130</v>
      </c>
      <c r="AP1790" t="s">
        <v>41</v>
      </c>
      <c r="AZ1790" t="s">
        <v>51</v>
      </c>
      <c r="BA1790" t="s">
        <v>52</v>
      </c>
      <c r="BK1790" t="s">
        <v>62</v>
      </c>
      <c r="BL1790" t="s">
        <v>63</v>
      </c>
    </row>
    <row r="1791" spans="1:65" x14ac:dyDescent="0.2">
      <c r="A1791" t="s">
        <v>6261</v>
      </c>
      <c r="B1791" t="s">
        <v>2781</v>
      </c>
      <c r="C1791" t="s">
        <v>6513</v>
      </c>
      <c r="D1791" t="s">
        <v>6030</v>
      </c>
      <c r="E1791" t="s">
        <v>6514</v>
      </c>
      <c r="F1791" t="s">
        <v>118</v>
      </c>
      <c r="G1791" t="str">
        <f>HYPERLINK("https://www.facebook.com/groups/BAPHA/permalink/1941912839290070/?comment_id=1941937819287572&amp;reply_comment_id=1941957702618917")</f>
        <v>https://www.facebook.com/groups/BAPHA/permalink/1941912839290070/?comment_id=1941937819287572&amp;reply_comment_id=1941957702618917</v>
      </c>
      <c r="H1791" t="s">
        <v>181</v>
      </c>
      <c r="I1791" t="s">
        <v>6515</v>
      </c>
      <c r="J1791" t="str">
        <f>HYPERLINK("https://www.facebook.com/100001856345828")</f>
        <v>https://www.facebook.com/100001856345828</v>
      </c>
      <c r="K1791">
        <v>107</v>
      </c>
      <c r="L1791" t="s">
        <v>121</v>
      </c>
      <c r="N1791" t="s">
        <v>305</v>
      </c>
      <c r="O1791" t="s">
        <v>6033</v>
      </c>
      <c r="P1791" t="str">
        <f>HYPERLINK("https://www.facebook.com/300397690108268")</f>
        <v>https://www.facebook.com/300397690108268</v>
      </c>
      <c r="Q1791">
        <v>4171</v>
      </c>
      <c r="R1791" t="s">
        <v>124</v>
      </c>
      <c r="S1791" t="s">
        <v>125</v>
      </c>
      <c r="T1791" t="s">
        <v>169</v>
      </c>
      <c r="U1791" t="s">
        <v>169</v>
      </c>
      <c r="W1791">
        <v>0</v>
      </c>
      <c r="X1791">
        <v>0</v>
      </c>
      <c r="AE1791">
        <v>0</v>
      </c>
      <c r="AM1791" t="s">
        <v>129</v>
      </c>
      <c r="AN1791" t="s">
        <v>130</v>
      </c>
      <c r="AP1791" t="s">
        <v>41</v>
      </c>
      <c r="AY1791" t="s">
        <v>50</v>
      </c>
      <c r="AZ1791" t="s">
        <v>51</v>
      </c>
      <c r="BA1791" t="s">
        <v>52</v>
      </c>
      <c r="BL1791" t="s">
        <v>63</v>
      </c>
      <c r="BM1791" t="s">
        <v>64</v>
      </c>
    </row>
    <row r="1792" spans="1:65" x14ac:dyDescent="0.2">
      <c r="A1792" t="s">
        <v>6261</v>
      </c>
      <c r="B1792" t="s">
        <v>2781</v>
      </c>
      <c r="C1792" t="s">
        <v>6516</v>
      </c>
      <c r="D1792" t="s">
        <v>6517</v>
      </c>
      <c r="E1792" t="s">
        <v>6518</v>
      </c>
      <c r="F1792" t="s">
        <v>180</v>
      </c>
      <c r="G1792" t="str">
        <f>HYPERLINK("https://telesputnik.ru/forum/viewtopic.php?f=36&amp;t=41917&amp;start=480#p2481510")</f>
        <v>https://telesputnik.ru/forum/viewtopic.php?f=36&amp;t=41917&amp;start=480#p2481510</v>
      </c>
      <c r="H1792" t="s">
        <v>119</v>
      </c>
      <c r="I1792" t="s">
        <v>6519</v>
      </c>
      <c r="J1792" t="str">
        <f>HYPERLINK("https://telesputnik.ru/forum/memberlist.php?mode=viewprofile&amp;u=55424")</f>
        <v>https://telesputnik.ru/forum/memberlist.php?mode=viewprofile&amp;u=55424</v>
      </c>
      <c r="N1792" t="s">
        <v>335</v>
      </c>
      <c r="O1792" t="s">
        <v>909</v>
      </c>
      <c r="P1792" t="str">
        <f>HYPERLINK("https://telesputnik.ru/forum/viewforum.php?f=36")</f>
        <v>https://telesputnik.ru/forum/viewforum.php?f=36</v>
      </c>
      <c r="R1792" t="s">
        <v>295</v>
      </c>
      <c r="S1792" t="s">
        <v>125</v>
      </c>
      <c r="T1792" t="s">
        <v>759</v>
      </c>
      <c r="U1792" t="s">
        <v>2080</v>
      </c>
      <c r="AM1792" t="s">
        <v>129</v>
      </c>
      <c r="AN1792" t="s">
        <v>130</v>
      </c>
      <c r="AP1792" t="s">
        <v>41</v>
      </c>
      <c r="AU1792" t="s">
        <v>46</v>
      </c>
      <c r="AZ1792" t="s">
        <v>51</v>
      </c>
      <c r="BA1792" t="s">
        <v>52</v>
      </c>
    </row>
    <row r="1793" spans="1:69" x14ac:dyDescent="0.2">
      <c r="A1793" t="s">
        <v>6261</v>
      </c>
      <c r="B1793" t="s">
        <v>2190</v>
      </c>
      <c r="C1793" t="s">
        <v>6520</v>
      </c>
      <c r="D1793" t="s">
        <v>6521</v>
      </c>
      <c r="E1793" t="s">
        <v>6522</v>
      </c>
      <c r="F1793" t="s">
        <v>180</v>
      </c>
      <c r="G1793" t="str">
        <f>HYPERLINK("https://4pda.to/forum/index.php?showtopic=499539&amp;st=500#entry108057915")</f>
        <v>https://4pda.to/forum/index.php?showtopic=499539&amp;st=500#entry108057915</v>
      </c>
      <c r="H1793" t="s">
        <v>119</v>
      </c>
      <c r="I1793" t="s">
        <v>6523</v>
      </c>
      <c r="J1793" t="str">
        <f>HYPERLINK("https://4pda.to/forum/index.php?showuser=8897309")</f>
        <v>https://4pda.to/forum/index.php?showuser=8897309</v>
      </c>
      <c r="N1793" t="s">
        <v>293</v>
      </c>
      <c r="O1793" t="s">
        <v>1189</v>
      </c>
      <c r="P1793" t="str">
        <f>HYPERLINK("https://4pda.to/forum/index.php?showforum=319")</f>
        <v>https://4pda.to/forum/index.php?showforum=319</v>
      </c>
      <c r="R1793" t="s">
        <v>295</v>
      </c>
      <c r="S1793" t="s">
        <v>125</v>
      </c>
      <c r="AM1793" t="s">
        <v>129</v>
      </c>
      <c r="AN1793" t="s">
        <v>130</v>
      </c>
      <c r="AP1793" t="s">
        <v>41</v>
      </c>
      <c r="AZ1793" t="s">
        <v>51</v>
      </c>
      <c r="BA1793" t="s">
        <v>52</v>
      </c>
      <c r="BL1793" t="s">
        <v>63</v>
      </c>
    </row>
    <row r="1794" spans="1:69" x14ac:dyDescent="0.2">
      <c r="A1794" t="s">
        <v>6261</v>
      </c>
      <c r="B1794" t="s">
        <v>2800</v>
      </c>
      <c r="C1794" t="s">
        <v>6524</v>
      </c>
      <c r="D1794" t="s">
        <v>6525</v>
      </c>
      <c r="E1794" t="s">
        <v>6526</v>
      </c>
      <c r="F1794" t="s">
        <v>118</v>
      </c>
      <c r="G1794" t="str">
        <f>HYPERLINK("https://vk.com/wall-105146850_139332?reply=139346")</f>
        <v>https://vk.com/wall-105146850_139332?reply=139346</v>
      </c>
      <c r="H1794" t="s">
        <v>119</v>
      </c>
      <c r="I1794" t="s">
        <v>6527</v>
      </c>
      <c r="J1794" t="str">
        <f>HYPERLINK("http://vk.com/id227752863")</f>
        <v>http://vk.com/id227752863</v>
      </c>
      <c r="K1794">
        <v>302</v>
      </c>
      <c r="L1794" t="s">
        <v>151</v>
      </c>
      <c r="M1794">
        <v>50</v>
      </c>
      <c r="N1794" t="s">
        <v>122</v>
      </c>
      <c r="O1794" t="s">
        <v>6528</v>
      </c>
      <c r="P1794" t="str">
        <f>HYPERLINK("http://vk.com/club105146850")</f>
        <v>http://vk.com/club105146850</v>
      </c>
      <c r="Q1794">
        <v>5067</v>
      </c>
      <c r="R1794" t="s">
        <v>124</v>
      </c>
      <c r="S1794" t="s">
        <v>125</v>
      </c>
      <c r="AM1794" t="s">
        <v>129</v>
      </c>
      <c r="AN1794" t="s">
        <v>130</v>
      </c>
      <c r="AP1794" t="s">
        <v>41</v>
      </c>
      <c r="AU1794" t="s">
        <v>46</v>
      </c>
      <c r="AZ1794" t="s">
        <v>51</v>
      </c>
      <c r="BA1794" t="s">
        <v>52</v>
      </c>
      <c r="BM1794" t="s">
        <v>64</v>
      </c>
    </row>
    <row r="1795" spans="1:69" x14ac:dyDescent="0.2">
      <c r="A1795" t="s">
        <v>6261</v>
      </c>
      <c r="B1795" t="s">
        <v>6529</v>
      </c>
      <c r="C1795" t="s">
        <v>6516</v>
      </c>
      <c r="D1795" t="s">
        <v>6517</v>
      </c>
      <c r="E1795" t="s">
        <v>6530</v>
      </c>
      <c r="F1795" t="s">
        <v>180</v>
      </c>
      <c r="G1795" t="str">
        <f>HYPERLINK("https://telesputnik.ru/forum/viewtopic.php?f=36&amp;t=41917&amp;start=480#p2481507")</f>
        <v>https://telesputnik.ru/forum/viewtopic.php?f=36&amp;t=41917&amp;start=480#p2481507</v>
      </c>
      <c r="H1795" t="s">
        <v>119</v>
      </c>
      <c r="I1795" t="s">
        <v>371</v>
      </c>
      <c r="J1795" t="str">
        <f>HYPERLINK("https://telesputnik.ru/forum/memberlist.php?mode=viewprofile&amp;u=53947")</f>
        <v>https://telesputnik.ru/forum/memberlist.php?mode=viewprofile&amp;u=53947</v>
      </c>
      <c r="N1795" t="s">
        <v>335</v>
      </c>
      <c r="O1795" t="s">
        <v>909</v>
      </c>
      <c r="P1795" t="str">
        <f>HYPERLINK("https://telesputnik.ru/forum/viewforum.php?f=36")</f>
        <v>https://telesputnik.ru/forum/viewforum.php?f=36</v>
      </c>
      <c r="R1795" t="s">
        <v>295</v>
      </c>
      <c r="S1795" t="s">
        <v>125</v>
      </c>
      <c r="T1795" t="s">
        <v>372</v>
      </c>
      <c r="U1795" t="s">
        <v>373</v>
      </c>
      <c r="AM1795" t="s">
        <v>129</v>
      </c>
      <c r="AN1795" t="s">
        <v>130</v>
      </c>
      <c r="AP1795" t="s">
        <v>41</v>
      </c>
      <c r="AZ1795" t="s">
        <v>51</v>
      </c>
      <c r="BA1795" t="s">
        <v>52</v>
      </c>
      <c r="BL1795" t="s">
        <v>63</v>
      </c>
    </row>
    <row r="1796" spans="1:69" x14ac:dyDescent="0.2">
      <c r="A1796" t="s">
        <v>6261</v>
      </c>
      <c r="B1796" t="s">
        <v>6531</v>
      </c>
      <c r="C1796" t="s">
        <v>6516</v>
      </c>
      <c r="D1796" t="s">
        <v>6517</v>
      </c>
      <c r="E1796" t="s">
        <v>6532</v>
      </c>
      <c r="F1796" t="s">
        <v>180</v>
      </c>
      <c r="G1796" t="str">
        <f>HYPERLINK("https://telesputnik.ru/forum/viewtopic.php?f=36&amp;t=41917&amp;start=480#p2481506")</f>
        <v>https://telesputnik.ru/forum/viewtopic.php?f=36&amp;t=41917&amp;start=480#p2481506</v>
      </c>
      <c r="H1796" t="s">
        <v>119</v>
      </c>
      <c r="I1796" t="s">
        <v>6519</v>
      </c>
      <c r="J1796" t="str">
        <f>HYPERLINK("https://telesputnik.ru/forum/memberlist.php?mode=viewprofile&amp;u=55424")</f>
        <v>https://telesputnik.ru/forum/memberlist.php?mode=viewprofile&amp;u=55424</v>
      </c>
      <c r="N1796" t="s">
        <v>335</v>
      </c>
      <c r="O1796" t="s">
        <v>909</v>
      </c>
      <c r="P1796" t="str">
        <f>HYPERLINK("https://telesputnik.ru/forum/viewforum.php?f=36")</f>
        <v>https://telesputnik.ru/forum/viewforum.php?f=36</v>
      </c>
      <c r="R1796" t="s">
        <v>295</v>
      </c>
      <c r="S1796" t="s">
        <v>125</v>
      </c>
      <c r="AM1796" t="s">
        <v>129</v>
      </c>
      <c r="AN1796" t="s">
        <v>130</v>
      </c>
      <c r="AP1796" t="s">
        <v>41</v>
      </c>
      <c r="AU1796" t="s">
        <v>46</v>
      </c>
      <c r="AZ1796" t="s">
        <v>51</v>
      </c>
      <c r="BA1796" t="s">
        <v>52</v>
      </c>
      <c r="BL1796" t="s">
        <v>63</v>
      </c>
    </row>
    <row r="1797" spans="1:69" x14ac:dyDescent="0.2">
      <c r="A1797" t="s">
        <v>6261</v>
      </c>
      <c r="B1797" t="s">
        <v>6533</v>
      </c>
      <c r="C1797" t="s">
        <v>6534</v>
      </c>
      <c r="D1797" t="s">
        <v>6535</v>
      </c>
      <c r="E1797" t="s">
        <v>6536</v>
      </c>
      <c r="F1797" t="s">
        <v>118</v>
      </c>
      <c r="G1797" t="str">
        <f>HYPERLINK("https://pikabu.ru/story/videonablyudenie_v_kvartire_skryitoe_besprovodnoe_kameryi_8350050?cid=206454008")</f>
        <v>https://pikabu.ru/story/videonablyudenie_v_kvartire_skryitoe_besprovodnoe_kameryi_8350050?cid=206454008</v>
      </c>
      <c r="H1797" t="s">
        <v>228</v>
      </c>
      <c r="I1797" t="s">
        <v>6537</v>
      </c>
      <c r="J1797" t="str">
        <f>HYPERLINK("http://pikabu.ru/profile/berz70")</f>
        <v>http://pikabu.ru/profile/berz70</v>
      </c>
      <c r="N1797" t="s">
        <v>402</v>
      </c>
      <c r="O1797" t="s">
        <v>6538</v>
      </c>
      <c r="P1797" t="str">
        <f>HYPERLINK("http://pikabu.ru/profile/videospecialist")</f>
        <v>http://pikabu.ru/profile/videospecialist</v>
      </c>
      <c r="R1797" t="s">
        <v>404</v>
      </c>
      <c r="AM1797" t="s">
        <v>129</v>
      </c>
      <c r="AN1797" t="s">
        <v>130</v>
      </c>
      <c r="AP1797" t="s">
        <v>41</v>
      </c>
      <c r="AT1797" t="s">
        <v>45</v>
      </c>
      <c r="AY1797" t="s">
        <v>50</v>
      </c>
      <c r="AZ1797" t="s">
        <v>51</v>
      </c>
      <c r="BB1797" t="s">
        <v>53</v>
      </c>
    </row>
    <row r="1798" spans="1:69" x14ac:dyDescent="0.2">
      <c r="A1798" t="s">
        <v>6261</v>
      </c>
      <c r="B1798" t="s">
        <v>1797</v>
      </c>
      <c r="C1798" t="s">
        <v>6513</v>
      </c>
      <c r="D1798" t="s">
        <v>6030</v>
      </c>
      <c r="E1798" t="s">
        <v>6539</v>
      </c>
      <c r="F1798" t="s">
        <v>118</v>
      </c>
      <c r="G1798" t="str">
        <f>HYPERLINK("https://www.facebook.com/groups/BAPHA/permalink/1941912839290070/?comment_id=1941937819287572")</f>
        <v>https://www.facebook.com/groups/BAPHA/permalink/1941912839290070/?comment_id=1941937819287572</v>
      </c>
      <c r="H1798" t="s">
        <v>181</v>
      </c>
      <c r="I1798" t="s">
        <v>6515</v>
      </c>
      <c r="J1798" t="str">
        <f>HYPERLINK("https://www.facebook.com/100001856345828")</f>
        <v>https://www.facebook.com/100001856345828</v>
      </c>
      <c r="K1798">
        <v>107</v>
      </c>
      <c r="L1798" t="s">
        <v>121</v>
      </c>
      <c r="N1798" t="s">
        <v>305</v>
      </c>
      <c r="O1798" t="s">
        <v>6033</v>
      </c>
      <c r="P1798" t="str">
        <f>HYPERLINK("https://www.facebook.com/300397690108268")</f>
        <v>https://www.facebook.com/300397690108268</v>
      </c>
      <c r="Q1798">
        <v>4171</v>
      </c>
      <c r="R1798" t="s">
        <v>124</v>
      </c>
      <c r="S1798" t="s">
        <v>125</v>
      </c>
      <c r="T1798" t="s">
        <v>169</v>
      </c>
      <c r="U1798" t="s">
        <v>169</v>
      </c>
      <c r="W1798">
        <v>0</v>
      </c>
      <c r="X1798">
        <v>0</v>
      </c>
      <c r="AE1798">
        <v>2</v>
      </c>
      <c r="AM1798" t="s">
        <v>129</v>
      </c>
      <c r="AN1798" t="s">
        <v>130</v>
      </c>
      <c r="AP1798" t="s">
        <v>41</v>
      </c>
      <c r="AZ1798" t="s">
        <v>51</v>
      </c>
      <c r="BA1798" t="s">
        <v>52</v>
      </c>
      <c r="BM1798" t="s">
        <v>64</v>
      </c>
    </row>
    <row r="1799" spans="1:69" x14ac:dyDescent="0.2">
      <c r="A1799" t="s">
        <v>6261</v>
      </c>
      <c r="B1799" t="s">
        <v>3259</v>
      </c>
      <c r="C1799" t="s">
        <v>5345</v>
      </c>
      <c r="D1799" t="s">
        <v>381</v>
      </c>
      <c r="E1799" t="s">
        <v>6540</v>
      </c>
      <c r="F1799" t="s">
        <v>180</v>
      </c>
      <c r="G1799" t="str">
        <f>HYPERLINK("https://www.ozon.ru/context/detail/id/220479377/#60161836")</f>
        <v>https://www.ozon.ru/context/detail/id/220479377/#60161836</v>
      </c>
      <c r="H1799" t="s">
        <v>181</v>
      </c>
      <c r="I1799" t="s">
        <v>1352</v>
      </c>
      <c r="J1799" t="str">
        <f>HYPERLINK("https://www.ozon.ru/context/client_opinion/ClientGuid/2c5499f0-aac7-4955-be04-a349c5a323c7/")</f>
        <v>https://www.ozon.ru/context/client_opinion/ClientGuid/2c5499f0-aac7-4955-be04-a349c5a323c7/</v>
      </c>
      <c r="L1799" t="s">
        <v>121</v>
      </c>
      <c r="N1799" t="s">
        <v>183</v>
      </c>
      <c r="O1799" t="s">
        <v>384</v>
      </c>
      <c r="P1799" t="str">
        <f>HYPERLINK("https://www.ozon.ru/context/detail/id/220479377/")</f>
        <v>https://www.ozon.ru/context/detail/id/220479377/</v>
      </c>
      <c r="R1799" t="s">
        <v>184</v>
      </c>
      <c r="S1799" t="s">
        <v>125</v>
      </c>
      <c r="W1799">
        <v>0</v>
      </c>
      <c r="X1799">
        <v>0</v>
      </c>
      <c r="AH1799">
        <v>5</v>
      </c>
      <c r="AM1799" t="s">
        <v>129</v>
      </c>
      <c r="AN1799" t="s">
        <v>130</v>
      </c>
      <c r="AP1799" t="s">
        <v>41</v>
      </c>
      <c r="AT1799" t="s">
        <v>45</v>
      </c>
      <c r="AZ1799" t="s">
        <v>51</v>
      </c>
      <c r="BA1799" t="s">
        <v>52</v>
      </c>
      <c r="BL1799" t="s">
        <v>63</v>
      </c>
    </row>
    <row r="1800" spans="1:69" x14ac:dyDescent="0.2">
      <c r="A1800" t="s">
        <v>6261</v>
      </c>
      <c r="B1800" t="s">
        <v>4938</v>
      </c>
      <c r="C1800" t="s">
        <v>6541</v>
      </c>
      <c r="D1800" t="s">
        <v>204</v>
      </c>
      <c r="E1800" t="s">
        <v>6542</v>
      </c>
      <c r="F1800" t="s">
        <v>180</v>
      </c>
      <c r="G1800" t="str">
        <f>HYPERLINK("https://play.google.com/store/apps/details?id=ru.iflex.android.a3colortv&amp;reviewId=gp:AOqpTOEXr9PlXvKXgjDHNiPYogPxRtaDaTBnB65lvv-my7QB4gBKPKqxGgdMAzQWxQ2HjtCWgenR_-W9cqCoKA")</f>
        <v>https://play.google.com/store/apps/details?id=ru.iflex.android.a3colortv&amp;reviewId=gp:AOqpTOEXr9PlXvKXgjDHNiPYogPxRtaDaTBnB65lvv-my7QB4gBKPKqxGgdMAzQWxQ2HjtCWgenR_-W9cqCoKA</v>
      </c>
      <c r="H1800" t="s">
        <v>228</v>
      </c>
      <c r="I1800" t="s">
        <v>6543</v>
      </c>
      <c r="J1800" t="str">
        <f>HYPERLINK("https://plus.google.com/114848764499272125450")</f>
        <v>https://plus.google.com/114848764499272125450</v>
      </c>
      <c r="L1800" t="s">
        <v>121</v>
      </c>
      <c r="N1800" t="s">
        <v>207</v>
      </c>
      <c r="O1800" t="s">
        <v>204</v>
      </c>
      <c r="P1800" t="str">
        <f>HYPERLINK("https://play.google.com/store/apps/details?id=ru.iflex.android.a3colortv&amp;hl=ru")</f>
        <v>https://play.google.com/store/apps/details?id=ru.iflex.android.a3colortv&amp;hl=ru</v>
      </c>
      <c r="R1800" t="s">
        <v>184</v>
      </c>
      <c r="S1800" t="s">
        <v>125</v>
      </c>
      <c r="W1800">
        <v>0</v>
      </c>
      <c r="X1800">
        <v>0</v>
      </c>
      <c r="AH1800">
        <v>1</v>
      </c>
      <c r="AM1800" t="s">
        <v>129</v>
      </c>
      <c r="AN1800" t="s">
        <v>130</v>
      </c>
      <c r="AP1800" t="s">
        <v>41</v>
      </c>
      <c r="AX1800" t="s">
        <v>49</v>
      </c>
      <c r="AY1800" t="s">
        <v>50</v>
      </c>
      <c r="AZ1800" t="s">
        <v>51</v>
      </c>
      <c r="BA1800" t="s">
        <v>52</v>
      </c>
      <c r="BP1800" t="s">
        <v>67</v>
      </c>
      <c r="BQ1800" t="s">
        <v>68</v>
      </c>
    </row>
    <row r="1801" spans="1:69" x14ac:dyDescent="0.2">
      <c r="A1801" t="s">
        <v>6261</v>
      </c>
      <c r="B1801" t="s">
        <v>6544</v>
      </c>
      <c r="C1801" t="s">
        <v>6545</v>
      </c>
      <c r="D1801" t="s">
        <v>6546</v>
      </c>
      <c r="E1801" t="s">
        <v>6547</v>
      </c>
      <c r="F1801" t="s">
        <v>180</v>
      </c>
      <c r="G1801" t="str">
        <f>HYPERLINK("https://www.championat.com/boxing/news-4404953-pryamoj-efir-boya-mahachev-mojzes-smotret-onlajn-translyaciya-boya-ufc-vegas-31.html")</f>
        <v>https://www.championat.com/boxing/news-4404953-pryamoj-efir-boya-mahachev-mojzes-smotret-onlajn-translyaciya-boya-ufc-vegas-31.html</v>
      </c>
      <c r="H1801" t="s">
        <v>119</v>
      </c>
      <c r="I1801" t="s">
        <v>6548</v>
      </c>
      <c r="J1801" t="str">
        <f>HYPERLINK("http://championat.com")</f>
        <v>http://championat.com</v>
      </c>
      <c r="N1801" t="s">
        <v>6548</v>
      </c>
      <c r="R1801" t="s">
        <v>785</v>
      </c>
      <c r="S1801" t="s">
        <v>125</v>
      </c>
      <c r="AM1801" t="s">
        <v>129</v>
      </c>
      <c r="AN1801" t="s">
        <v>130</v>
      </c>
      <c r="AV1801" t="s">
        <v>47</v>
      </c>
    </row>
    <row r="1802" spans="1:69" x14ac:dyDescent="0.2">
      <c r="A1802" t="s">
        <v>6261</v>
      </c>
      <c r="B1802" t="s">
        <v>6549</v>
      </c>
      <c r="C1802" t="s">
        <v>6550</v>
      </c>
      <c r="D1802" t="s">
        <v>6551</v>
      </c>
      <c r="E1802" t="s">
        <v>6552</v>
      </c>
      <c r="F1802" t="s">
        <v>180</v>
      </c>
      <c r="G1802" t="str">
        <f>HYPERLINK("https://vc.ru/dtf/271099-ren-tv-mahachev-moyzes-smotret-onlayn-boy-pryamoy-efir-video-translyaciya-ufc-vegas-31")</f>
        <v>https://vc.ru/dtf/271099-ren-tv-mahachev-moyzes-smotret-onlayn-boy-pryamoy-efir-video-translyaciya-ufc-vegas-31</v>
      </c>
      <c r="H1802" t="s">
        <v>119</v>
      </c>
      <c r="N1802" t="s">
        <v>6553</v>
      </c>
      <c r="R1802" t="s">
        <v>785</v>
      </c>
      <c r="S1802" t="s">
        <v>125</v>
      </c>
      <c r="AJ1802" t="s">
        <v>1171</v>
      </c>
      <c r="AK1802" t="s">
        <v>1053</v>
      </c>
      <c r="AL1802" t="str">
        <f>HYPERLINK("https://vc.ru/cover/fb/c/271099/1626577011/cover.jpg")</f>
        <v>https://vc.ru/cover/fb/c/271099/1626577011/cover.jpg</v>
      </c>
      <c r="AM1802" t="s">
        <v>129</v>
      </c>
      <c r="AN1802" t="s">
        <v>130</v>
      </c>
      <c r="AV1802" t="s">
        <v>47</v>
      </c>
    </row>
    <row r="1803" spans="1:69" x14ac:dyDescent="0.2">
      <c r="A1803" t="s">
        <v>6261</v>
      </c>
      <c r="B1803" t="s">
        <v>6554</v>
      </c>
      <c r="C1803" t="s">
        <v>6550</v>
      </c>
      <c r="D1803" t="s">
        <v>6555</v>
      </c>
      <c r="E1803" t="s">
        <v>6556</v>
      </c>
      <c r="F1803" t="s">
        <v>180</v>
      </c>
      <c r="G1803" t="str">
        <f>HYPERLINK("https://vc.ru/dtf/271096-video-efir-mahachev-moyzes-smotret-boy-18-07-2021-video-translyaciya-na-kanale-ufc-tv")</f>
        <v>https://vc.ru/dtf/271096-video-efir-mahachev-moyzes-smotret-boy-18-07-2021-video-translyaciya-na-kanale-ufc-tv</v>
      </c>
      <c r="H1803" t="s">
        <v>119</v>
      </c>
      <c r="N1803" t="s">
        <v>6553</v>
      </c>
      <c r="R1803" t="s">
        <v>785</v>
      </c>
      <c r="S1803" t="s">
        <v>125</v>
      </c>
      <c r="AJ1803" t="s">
        <v>1171</v>
      </c>
      <c r="AK1803" t="s">
        <v>129</v>
      </c>
      <c r="AL1803" t="str">
        <f>HYPERLINK("https://vc.ru/cover/fb/c/271096/1626575578/cover.jpg")</f>
        <v>https://vc.ru/cover/fb/c/271096/1626575578/cover.jpg</v>
      </c>
      <c r="AM1803" t="s">
        <v>129</v>
      </c>
      <c r="AN1803" t="s">
        <v>130</v>
      </c>
      <c r="AV1803" t="s">
        <v>47</v>
      </c>
    </row>
    <row r="1804" spans="1:69" x14ac:dyDescent="0.2">
      <c r="A1804" t="s">
        <v>6261</v>
      </c>
      <c r="B1804" t="s">
        <v>6557</v>
      </c>
      <c r="C1804" t="s">
        <v>6558</v>
      </c>
      <c r="D1804" t="s">
        <v>6559</v>
      </c>
      <c r="E1804" t="s">
        <v>6560</v>
      </c>
      <c r="F1804" t="s">
        <v>180</v>
      </c>
      <c r="G1804" t="str">
        <f>HYPERLINK("https://www.sport-express.ru/martial/mma/news/mahachev-moyzes-pryamoy-efir-smotret-onlayn-poedinok-ufc-vegas-31-1813112/")</f>
        <v>https://www.sport-express.ru/martial/mma/news/mahachev-moyzes-pryamoy-efir-smotret-onlayn-poedinok-ufc-vegas-31-1813112/</v>
      </c>
      <c r="H1804" t="s">
        <v>119</v>
      </c>
      <c r="N1804" t="s">
        <v>6561</v>
      </c>
      <c r="R1804" t="s">
        <v>785</v>
      </c>
      <c r="S1804" t="s">
        <v>125</v>
      </c>
      <c r="AM1804" t="s">
        <v>129</v>
      </c>
      <c r="AN1804" t="s">
        <v>130</v>
      </c>
      <c r="AV1804" t="s">
        <v>47</v>
      </c>
    </row>
    <row r="1805" spans="1:69" x14ac:dyDescent="0.2">
      <c r="A1805" t="s">
        <v>6261</v>
      </c>
      <c r="B1805" t="s">
        <v>5876</v>
      </c>
      <c r="C1805" t="s">
        <v>6562</v>
      </c>
      <c r="D1805" t="s">
        <v>6563</v>
      </c>
      <c r="E1805" t="s">
        <v>6564</v>
      </c>
      <c r="F1805" t="s">
        <v>180</v>
      </c>
      <c r="G1805" t="str">
        <f>HYPERLINK("https://www.championat.com/bets/news-4403965-boj-mahachev-mojzes-pryamoj-efir-smotret-onlajn-translyaciya-ufc-vegas-31.html")</f>
        <v>https://www.championat.com/bets/news-4403965-boj-mahachev-mojzes-pryamoj-efir-smotret-onlajn-translyaciya-ufc-vegas-31.html</v>
      </c>
      <c r="H1805" t="s">
        <v>119</v>
      </c>
      <c r="I1805" t="s">
        <v>6548</v>
      </c>
      <c r="J1805" t="str">
        <f>HYPERLINK("http://championat.com")</f>
        <v>http://championat.com</v>
      </c>
      <c r="N1805" t="s">
        <v>6548</v>
      </c>
      <c r="R1805" t="s">
        <v>785</v>
      </c>
      <c r="S1805" t="s">
        <v>125</v>
      </c>
      <c r="AM1805" t="s">
        <v>129</v>
      </c>
      <c r="AN1805" t="s">
        <v>130</v>
      </c>
      <c r="AV1805" t="s">
        <v>47</v>
      </c>
    </row>
    <row r="1806" spans="1:69" x14ac:dyDescent="0.2">
      <c r="A1806" t="s">
        <v>6261</v>
      </c>
      <c r="B1806" t="s">
        <v>729</v>
      </c>
      <c r="C1806" t="s">
        <v>6565</v>
      </c>
      <c r="D1806" t="s">
        <v>6566</v>
      </c>
      <c r="E1806" t="s">
        <v>6564</v>
      </c>
      <c r="F1806" t="s">
        <v>180</v>
      </c>
      <c r="G1806" t="str">
        <f>HYPERLINK("https://www.championat.com/bets/news-4403963-gde-smotret-boj-mahachev-mojzes-pryamaya-onlajn-translyaciya-18-iyulya-2021.html")</f>
        <v>https://www.championat.com/bets/news-4403963-gde-smotret-boj-mahachev-mojzes-pryamaya-onlajn-translyaciya-18-iyulya-2021.html</v>
      </c>
      <c r="H1806" t="s">
        <v>119</v>
      </c>
      <c r="I1806" t="s">
        <v>6548</v>
      </c>
      <c r="J1806" t="str">
        <f>HYPERLINK("http://championat.com")</f>
        <v>http://championat.com</v>
      </c>
      <c r="N1806" t="s">
        <v>6548</v>
      </c>
      <c r="R1806" t="s">
        <v>785</v>
      </c>
      <c r="S1806" t="s">
        <v>125</v>
      </c>
      <c r="AM1806" t="s">
        <v>129</v>
      </c>
      <c r="AN1806" t="s">
        <v>130</v>
      </c>
      <c r="AV1806" t="s">
        <v>47</v>
      </c>
    </row>
    <row r="1807" spans="1:69" x14ac:dyDescent="0.2">
      <c r="A1807" t="s">
        <v>6261</v>
      </c>
      <c r="B1807" t="s">
        <v>6567</v>
      </c>
      <c r="C1807" t="s">
        <v>6568</v>
      </c>
      <c r="D1807" t="s">
        <v>3993</v>
      </c>
      <c r="E1807" t="s">
        <v>6569</v>
      </c>
      <c r="F1807" t="s">
        <v>118</v>
      </c>
      <c r="G1807" t="str">
        <f>HYPERLINK("https://vk.com/wall-27863223_291845?reply=291919&amp;thread=291915")</f>
        <v>https://vk.com/wall-27863223_291845?reply=291919&amp;thread=291915</v>
      </c>
      <c r="H1807" t="s">
        <v>119</v>
      </c>
      <c r="I1807" t="s">
        <v>1845</v>
      </c>
      <c r="J1807" t="str">
        <f>HYPERLINK("http://vk.com/id30493165")</f>
        <v>http://vk.com/id30493165</v>
      </c>
      <c r="K1807">
        <v>75</v>
      </c>
      <c r="L1807" t="s">
        <v>121</v>
      </c>
      <c r="M1807">
        <v>29</v>
      </c>
      <c r="N1807" t="s">
        <v>122</v>
      </c>
      <c r="O1807" t="s">
        <v>175</v>
      </c>
      <c r="P1807" t="str">
        <f>HYPERLINK("http://vk.com/club27863223")</f>
        <v>http://vk.com/club27863223</v>
      </c>
      <c r="Q1807">
        <v>134698</v>
      </c>
      <c r="R1807" t="s">
        <v>124</v>
      </c>
      <c r="S1807" t="s">
        <v>125</v>
      </c>
      <c r="T1807" t="s">
        <v>169</v>
      </c>
      <c r="U1807" t="s">
        <v>169</v>
      </c>
      <c r="AM1807" t="s">
        <v>129</v>
      </c>
      <c r="AN1807" t="s">
        <v>130</v>
      </c>
      <c r="AP1807" t="s">
        <v>41</v>
      </c>
      <c r="AY1807" t="s">
        <v>50</v>
      </c>
      <c r="BA1807" t="s">
        <v>52</v>
      </c>
      <c r="BE1807" t="s">
        <v>56</v>
      </c>
    </row>
    <row r="1808" spans="1:69" x14ac:dyDescent="0.2">
      <c r="A1808" t="s">
        <v>6261</v>
      </c>
      <c r="B1808" t="s">
        <v>6570</v>
      </c>
      <c r="C1808" t="s">
        <v>6571</v>
      </c>
      <c r="D1808" t="s">
        <v>6572</v>
      </c>
      <c r="E1808" t="s">
        <v>6573</v>
      </c>
      <c r="F1808" t="s">
        <v>180</v>
      </c>
      <c r="G1808" t="str">
        <f>HYPERLINK("https://www.championat.com/boxing/news-4404923-onlajn-translyaciya-boya-mahachev-mojzes-na-ufc-vegas-31.html")</f>
        <v>https://www.championat.com/boxing/news-4404923-onlajn-translyaciya-boya-mahachev-mojzes-na-ufc-vegas-31.html</v>
      </c>
      <c r="H1808" t="s">
        <v>119</v>
      </c>
      <c r="I1808" t="s">
        <v>6548</v>
      </c>
      <c r="J1808" t="str">
        <f>HYPERLINK("http://championat.com")</f>
        <v>http://championat.com</v>
      </c>
      <c r="N1808" t="s">
        <v>6548</v>
      </c>
      <c r="R1808" t="s">
        <v>785</v>
      </c>
      <c r="S1808" t="s">
        <v>125</v>
      </c>
      <c r="AM1808" t="s">
        <v>129</v>
      </c>
      <c r="AN1808" t="s">
        <v>130</v>
      </c>
      <c r="AV1808" t="s">
        <v>47</v>
      </c>
    </row>
    <row r="1809" spans="1:69" x14ac:dyDescent="0.2">
      <c r="A1809" t="s">
        <v>6261</v>
      </c>
      <c r="B1809" t="s">
        <v>6574</v>
      </c>
      <c r="C1809" t="s">
        <v>6575</v>
      </c>
      <c r="D1809" t="s">
        <v>3993</v>
      </c>
      <c r="E1809" t="s">
        <v>6576</v>
      </c>
      <c r="F1809" t="s">
        <v>118</v>
      </c>
      <c r="G1809" t="str">
        <f>HYPERLINK("https://vk.com/wall-27863223_291845?reply=291917&amp;thread=291915")</f>
        <v>https://vk.com/wall-27863223_291845?reply=291917&amp;thread=291915</v>
      </c>
      <c r="H1809" t="s">
        <v>119</v>
      </c>
      <c r="I1809" t="s">
        <v>1845</v>
      </c>
      <c r="J1809" t="str">
        <f>HYPERLINK("http://vk.com/id30493165")</f>
        <v>http://vk.com/id30493165</v>
      </c>
      <c r="K1809">
        <v>75</v>
      </c>
      <c r="L1809" t="s">
        <v>121</v>
      </c>
      <c r="M1809">
        <v>29</v>
      </c>
      <c r="N1809" t="s">
        <v>122</v>
      </c>
      <c r="O1809" t="s">
        <v>175</v>
      </c>
      <c r="P1809" t="str">
        <f>HYPERLINK("http://vk.com/club27863223")</f>
        <v>http://vk.com/club27863223</v>
      </c>
      <c r="Q1809">
        <v>134698</v>
      </c>
      <c r="R1809" t="s">
        <v>124</v>
      </c>
      <c r="S1809" t="s">
        <v>125</v>
      </c>
      <c r="T1809" t="s">
        <v>169</v>
      </c>
      <c r="U1809" t="s">
        <v>169</v>
      </c>
      <c r="AM1809" t="s">
        <v>129</v>
      </c>
      <c r="AN1809" t="s">
        <v>130</v>
      </c>
      <c r="AP1809" t="s">
        <v>41</v>
      </c>
      <c r="AU1809" t="s">
        <v>46</v>
      </c>
      <c r="BA1809" t="s">
        <v>52</v>
      </c>
      <c r="BE1809" t="s">
        <v>56</v>
      </c>
    </row>
    <row r="1810" spans="1:69" x14ac:dyDescent="0.2">
      <c r="A1810" t="s">
        <v>6261</v>
      </c>
      <c r="B1810" t="s">
        <v>6577</v>
      </c>
      <c r="C1810" t="s">
        <v>6578</v>
      </c>
      <c r="D1810" t="s">
        <v>1663</v>
      </c>
      <c r="E1810" t="s">
        <v>6579</v>
      </c>
      <c r="F1810" t="s">
        <v>180</v>
      </c>
      <c r="G1810" t="str">
        <f>HYPERLINK("https://www.google.com/maps/reviews/data=!4m5!14m4!1m3!1m2!1s105853545644623481898!2s0x0:0x7bafb1e2de0ec6a5?hl=en-NL")</f>
        <v>https://www.google.com/maps/reviews/data=!4m5!14m4!1m3!1m2!1s105853545644623481898!2s0x0:0x7bafb1e2de0ec6a5?hl=en-NL</v>
      </c>
      <c r="H1810" t="s">
        <v>181</v>
      </c>
      <c r="I1810" t="s">
        <v>6580</v>
      </c>
      <c r="J1810" t="str">
        <f>HYPERLINK("https://maps.google.com/maps/contrib/105853545644623481898")</f>
        <v>https://maps.google.com/maps/contrib/105853545644623481898</v>
      </c>
      <c r="L1810" t="s">
        <v>121</v>
      </c>
      <c r="N1810" t="s">
        <v>673</v>
      </c>
      <c r="O1810" t="s">
        <v>1663</v>
      </c>
      <c r="P1810" t="str">
        <f>HYPERLINK("https://maps.google.com/maps/place/data=!3m1!4b1!4m5!3m4!1s0x0:0x7bafb1e2de0ec6a5!8m2!3d54.755870!4d38.886100")</f>
        <v>https://maps.google.com/maps/place/data=!3m1!4b1!4m5!3m4!1s0x0:0x7bafb1e2de0ec6a5!8m2!3d54.755870!4d38.886100</v>
      </c>
      <c r="R1810" t="s">
        <v>184</v>
      </c>
      <c r="S1810" t="s">
        <v>125</v>
      </c>
      <c r="T1810" t="s">
        <v>153</v>
      </c>
      <c r="U1810" t="s">
        <v>6581</v>
      </c>
      <c r="W1810">
        <v>0</v>
      </c>
      <c r="X1810">
        <v>0</v>
      </c>
      <c r="AH1810">
        <v>5</v>
      </c>
      <c r="AM1810" t="s">
        <v>129</v>
      </c>
      <c r="AN1810" t="s">
        <v>130</v>
      </c>
      <c r="AP1810" t="s">
        <v>41</v>
      </c>
      <c r="AT1810" t="s">
        <v>45</v>
      </c>
      <c r="AX1810" t="s">
        <v>49</v>
      </c>
      <c r="AY1810" t="s">
        <v>50</v>
      </c>
      <c r="AZ1810" t="s">
        <v>51</v>
      </c>
      <c r="BA1810" t="s">
        <v>52</v>
      </c>
    </row>
    <row r="1811" spans="1:69" x14ac:dyDescent="0.2">
      <c r="A1811" t="s">
        <v>6261</v>
      </c>
      <c r="B1811" t="s">
        <v>6577</v>
      </c>
      <c r="C1811" t="s">
        <v>6582</v>
      </c>
      <c r="D1811" t="s">
        <v>1326</v>
      </c>
      <c r="E1811" t="s">
        <v>6583</v>
      </c>
      <c r="F1811" t="s">
        <v>118</v>
      </c>
      <c r="G1811" t="str">
        <f>HYPERLINK("https://vk.com/topic-124657642_39299589?post=4877")</f>
        <v>https://vk.com/topic-124657642_39299589?post=4877</v>
      </c>
      <c r="H1811" t="s">
        <v>119</v>
      </c>
      <c r="I1811" t="s">
        <v>6584</v>
      </c>
      <c r="J1811" t="str">
        <f>HYPERLINK("http://vk.com/id595725998")</f>
        <v>http://vk.com/id595725998</v>
      </c>
      <c r="K1811">
        <v>0</v>
      </c>
      <c r="L1811" t="s">
        <v>121</v>
      </c>
      <c r="M1811">
        <v>51</v>
      </c>
      <c r="N1811" t="s">
        <v>122</v>
      </c>
      <c r="O1811" t="s">
        <v>427</v>
      </c>
      <c r="P1811" t="str">
        <f>HYPERLINK("http://vk.com/club124657642")</f>
        <v>http://vk.com/club124657642</v>
      </c>
      <c r="Q1811">
        <v>15373</v>
      </c>
      <c r="R1811" t="s">
        <v>124</v>
      </c>
      <c r="S1811" t="s">
        <v>125</v>
      </c>
      <c r="T1811" t="s">
        <v>137</v>
      </c>
      <c r="U1811" t="s">
        <v>137</v>
      </c>
      <c r="AM1811" t="s">
        <v>129</v>
      </c>
      <c r="AN1811" t="s">
        <v>130</v>
      </c>
      <c r="AP1811" t="s">
        <v>41</v>
      </c>
      <c r="AU1811" t="s">
        <v>46</v>
      </c>
      <c r="AY1811" t="s">
        <v>50</v>
      </c>
      <c r="BA1811" t="s">
        <v>52</v>
      </c>
      <c r="BE1811" t="s">
        <v>56</v>
      </c>
    </row>
    <row r="1812" spans="1:69" x14ac:dyDescent="0.2">
      <c r="A1812" t="s">
        <v>6261</v>
      </c>
      <c r="B1812" t="s">
        <v>4522</v>
      </c>
      <c r="C1812" t="s">
        <v>6585</v>
      </c>
      <c r="D1812" t="s">
        <v>6586</v>
      </c>
      <c r="E1812" t="s">
        <v>6587</v>
      </c>
      <c r="F1812" t="s">
        <v>180</v>
      </c>
      <c r="G1812" t="str">
        <f>HYPERLINK("https://www.championat.com/boxing/news-4404851-ufc-vegas-31-boj-mahachev-mojzes-onlajn-translyaciya-boya-gde-smotret-onlajn-pryamoj-efir.html")</f>
        <v>https://www.championat.com/boxing/news-4404851-ufc-vegas-31-boj-mahachev-mojzes-onlajn-translyaciya-boya-gde-smotret-onlajn-pryamoj-efir.html</v>
      </c>
      <c r="H1812" t="s">
        <v>119</v>
      </c>
      <c r="I1812" t="s">
        <v>6548</v>
      </c>
      <c r="J1812" t="str">
        <f>HYPERLINK("http://championat.com")</f>
        <v>http://championat.com</v>
      </c>
      <c r="N1812" t="s">
        <v>6548</v>
      </c>
      <c r="R1812" t="s">
        <v>785</v>
      </c>
      <c r="S1812" t="s">
        <v>125</v>
      </c>
      <c r="AM1812" t="s">
        <v>129</v>
      </c>
      <c r="AN1812" t="s">
        <v>130</v>
      </c>
      <c r="AV1812" t="s">
        <v>47</v>
      </c>
    </row>
    <row r="1813" spans="1:69" x14ac:dyDescent="0.2">
      <c r="A1813" t="s">
        <v>6261</v>
      </c>
      <c r="B1813" t="s">
        <v>1209</v>
      </c>
      <c r="C1813" t="s">
        <v>6588</v>
      </c>
      <c r="D1813" t="s">
        <v>4373</v>
      </c>
      <c r="E1813" t="s">
        <v>6589</v>
      </c>
      <c r="F1813" t="s">
        <v>118</v>
      </c>
      <c r="G1813" t="str">
        <f>HYPERLINK("https://vk.com/wall-59270260_1299340?reply=1299344&amp;thread=1299342")</f>
        <v>https://vk.com/wall-59270260_1299340?reply=1299344&amp;thread=1299342</v>
      </c>
      <c r="H1813" t="s">
        <v>119</v>
      </c>
      <c r="I1813" t="s">
        <v>6590</v>
      </c>
      <c r="J1813" t="str">
        <f>HYPERLINK("http://vk.com/id40513681")</f>
        <v>http://vk.com/id40513681</v>
      </c>
      <c r="K1813">
        <v>432</v>
      </c>
      <c r="L1813" t="s">
        <v>121</v>
      </c>
      <c r="N1813" t="s">
        <v>122</v>
      </c>
      <c r="O1813" t="s">
        <v>4376</v>
      </c>
      <c r="P1813" t="str">
        <f>HYPERLINK("http://vk.com/club59270260")</f>
        <v>http://vk.com/club59270260</v>
      </c>
      <c r="Q1813">
        <v>200899</v>
      </c>
      <c r="R1813" t="s">
        <v>124</v>
      </c>
      <c r="S1813" t="s">
        <v>125</v>
      </c>
      <c r="AM1813" t="s">
        <v>129</v>
      </c>
      <c r="AN1813" t="s">
        <v>130</v>
      </c>
      <c r="AP1813" t="s">
        <v>41</v>
      </c>
      <c r="AU1813" t="s">
        <v>46</v>
      </c>
      <c r="AZ1813" t="s">
        <v>51</v>
      </c>
      <c r="BA1813" t="s">
        <v>52</v>
      </c>
    </row>
    <row r="1814" spans="1:69" x14ac:dyDescent="0.2">
      <c r="A1814" t="s">
        <v>6591</v>
      </c>
      <c r="B1814" t="s">
        <v>1847</v>
      </c>
      <c r="C1814" t="s">
        <v>6090</v>
      </c>
      <c r="D1814" t="s">
        <v>6091</v>
      </c>
      <c r="E1814" t="s">
        <v>6592</v>
      </c>
      <c r="F1814" t="s">
        <v>180</v>
      </c>
      <c r="G1814" t="str">
        <f>HYPERLINK("https://www.google.com/maps/reviews/data=!4m5!14m4!1m3!1m2!1s113928894814621103652!2s0x0:0xe586699be392c485?hl=en-NL")</f>
        <v>https://www.google.com/maps/reviews/data=!4m5!14m4!1m3!1m2!1s113928894814621103652!2s0x0:0xe586699be392c485?hl=en-NL</v>
      </c>
      <c r="H1814" t="s">
        <v>228</v>
      </c>
      <c r="I1814" t="s">
        <v>6593</v>
      </c>
      <c r="J1814" t="str">
        <f>HYPERLINK("https://maps.google.com/maps/contrib/113928894814621103652")</f>
        <v>https://maps.google.com/maps/contrib/113928894814621103652</v>
      </c>
      <c r="L1814" t="s">
        <v>151</v>
      </c>
      <c r="N1814" t="s">
        <v>673</v>
      </c>
      <c r="O1814" t="s">
        <v>6091</v>
      </c>
      <c r="P1814" t="str">
        <f>HYPERLINK("https://maps.google.com/maps/place/data=!3m1!4b1!4m5!3m4!1s0x0:0xe586699be392c485!8m2!3d47.219100!4d39.720450")</f>
        <v>https://maps.google.com/maps/place/data=!3m1!4b1!4m5!3m4!1s0x0:0xe586699be392c485!8m2!3d47.219100!4d39.720450</v>
      </c>
      <c r="R1814" t="s">
        <v>184</v>
      </c>
      <c r="S1814" t="s">
        <v>125</v>
      </c>
      <c r="T1814" t="s">
        <v>627</v>
      </c>
      <c r="U1814" t="s">
        <v>846</v>
      </c>
      <c r="W1814">
        <v>0</v>
      </c>
      <c r="X1814">
        <v>0</v>
      </c>
      <c r="AH1814">
        <v>1</v>
      </c>
      <c r="AM1814" t="s">
        <v>129</v>
      </c>
      <c r="AN1814" t="s">
        <v>130</v>
      </c>
      <c r="AP1814" t="s">
        <v>41</v>
      </c>
      <c r="AX1814" t="s">
        <v>49</v>
      </c>
      <c r="AZ1814" t="s">
        <v>51</v>
      </c>
      <c r="BA1814" t="s">
        <v>52</v>
      </c>
    </row>
    <row r="1815" spans="1:69" x14ac:dyDescent="0.2">
      <c r="A1815" t="s">
        <v>6591</v>
      </c>
      <c r="B1815" t="s">
        <v>6594</v>
      </c>
      <c r="C1815" t="s">
        <v>6595</v>
      </c>
      <c r="D1815" t="s">
        <v>6596</v>
      </c>
      <c r="E1815" t="s">
        <v>6597</v>
      </c>
      <c r="F1815" t="s">
        <v>180</v>
      </c>
      <c r="G1815" t="str">
        <f>HYPERLINK("https://www.ozon.ru/context/detail/id/192079549/#60139710")</f>
        <v>https://www.ozon.ru/context/detail/id/192079549/#60139710</v>
      </c>
      <c r="H1815" t="s">
        <v>119</v>
      </c>
      <c r="I1815" t="s">
        <v>6598</v>
      </c>
      <c r="J1815" t="str">
        <f>HYPERLINK("https://www.ozon.ru/context/client_opinion/ClientGuid/bd9f14c9-ffb1-437b-a6fd-82908f5eb53d/")</f>
        <v>https://www.ozon.ru/context/client_opinion/ClientGuid/bd9f14c9-ffb1-437b-a6fd-82908f5eb53d/</v>
      </c>
      <c r="L1815" t="s">
        <v>121</v>
      </c>
      <c r="N1815" t="s">
        <v>183</v>
      </c>
      <c r="O1815" t="s">
        <v>6596</v>
      </c>
      <c r="P1815" t="str">
        <f>HYPERLINK("https://www.ozon.ru/context/detail/id/192079549/")</f>
        <v>https://www.ozon.ru/context/detail/id/192079549/</v>
      </c>
      <c r="R1815" t="s">
        <v>184</v>
      </c>
      <c r="S1815" t="s">
        <v>125</v>
      </c>
      <c r="W1815">
        <v>0</v>
      </c>
      <c r="X1815">
        <v>0</v>
      </c>
      <c r="AH1815">
        <v>1</v>
      </c>
      <c r="AM1815" t="s">
        <v>129</v>
      </c>
      <c r="AN1815" t="s">
        <v>130</v>
      </c>
      <c r="AP1815" t="s">
        <v>41</v>
      </c>
      <c r="AT1815" t="s">
        <v>45</v>
      </c>
      <c r="AZ1815" t="s">
        <v>51</v>
      </c>
      <c r="BA1815" t="s">
        <v>52</v>
      </c>
    </row>
    <row r="1816" spans="1:69" x14ac:dyDescent="0.2">
      <c r="A1816" t="s">
        <v>6591</v>
      </c>
      <c r="B1816" t="s">
        <v>1244</v>
      </c>
      <c r="C1816" t="s">
        <v>6599</v>
      </c>
      <c r="D1816" t="s">
        <v>3941</v>
      </c>
      <c r="E1816" t="s">
        <v>6600</v>
      </c>
      <c r="F1816" t="s">
        <v>118</v>
      </c>
      <c r="G1816" t="str">
        <f>HYPERLINK("https://vk.com/wall-27863223_291839?reply=291913")</f>
        <v>https://vk.com/wall-27863223_291839?reply=291913</v>
      </c>
      <c r="H1816" t="s">
        <v>119</v>
      </c>
      <c r="I1816" t="s">
        <v>6601</v>
      </c>
      <c r="J1816" t="str">
        <f>HYPERLINK("http://vk.com/id407836967")</f>
        <v>http://vk.com/id407836967</v>
      </c>
      <c r="K1816">
        <v>695</v>
      </c>
      <c r="L1816" t="s">
        <v>151</v>
      </c>
      <c r="M1816">
        <v>22</v>
      </c>
      <c r="N1816" t="s">
        <v>122</v>
      </c>
      <c r="O1816" t="s">
        <v>175</v>
      </c>
      <c r="P1816" t="str">
        <f>HYPERLINK("http://vk.com/club27863223")</f>
        <v>http://vk.com/club27863223</v>
      </c>
      <c r="Q1816">
        <v>134698</v>
      </c>
      <c r="R1816" t="s">
        <v>124</v>
      </c>
      <c r="S1816" t="s">
        <v>125</v>
      </c>
      <c r="T1816" t="s">
        <v>153</v>
      </c>
      <c r="U1816" t="s">
        <v>6602</v>
      </c>
      <c r="AM1816" t="s">
        <v>129</v>
      </c>
      <c r="AN1816" t="s">
        <v>130</v>
      </c>
      <c r="AP1816" t="s">
        <v>41</v>
      </c>
      <c r="AU1816" t="s">
        <v>46</v>
      </c>
      <c r="BA1816" t="s">
        <v>52</v>
      </c>
      <c r="BE1816" t="s">
        <v>56</v>
      </c>
    </row>
    <row r="1817" spans="1:69" x14ac:dyDescent="0.2">
      <c r="A1817" t="s">
        <v>6591</v>
      </c>
      <c r="B1817" t="s">
        <v>1247</v>
      </c>
      <c r="C1817" t="s">
        <v>6603</v>
      </c>
      <c r="D1817" t="s">
        <v>3941</v>
      </c>
      <c r="E1817" t="s">
        <v>6604</v>
      </c>
      <c r="F1817" t="s">
        <v>118</v>
      </c>
      <c r="G1817" t="str">
        <f>HYPERLINK("https://vk.com/wall-27863223_291839?reply=291912")</f>
        <v>https://vk.com/wall-27863223_291839?reply=291912</v>
      </c>
      <c r="H1817" t="s">
        <v>119</v>
      </c>
      <c r="I1817" t="s">
        <v>6601</v>
      </c>
      <c r="J1817" t="str">
        <f>HYPERLINK("http://vk.com/id407836967")</f>
        <v>http://vk.com/id407836967</v>
      </c>
      <c r="K1817">
        <v>695</v>
      </c>
      <c r="L1817" t="s">
        <v>151</v>
      </c>
      <c r="M1817">
        <v>22</v>
      </c>
      <c r="N1817" t="s">
        <v>122</v>
      </c>
      <c r="O1817" t="s">
        <v>175</v>
      </c>
      <c r="P1817" t="str">
        <f>HYPERLINK("http://vk.com/club27863223")</f>
        <v>http://vk.com/club27863223</v>
      </c>
      <c r="Q1817">
        <v>134698</v>
      </c>
      <c r="R1817" t="s">
        <v>124</v>
      </c>
      <c r="S1817" t="s">
        <v>125</v>
      </c>
      <c r="T1817" t="s">
        <v>153</v>
      </c>
      <c r="U1817" t="s">
        <v>6602</v>
      </c>
      <c r="AM1817" t="s">
        <v>129</v>
      </c>
      <c r="AN1817" t="s">
        <v>130</v>
      </c>
      <c r="AP1817" t="s">
        <v>41</v>
      </c>
      <c r="AU1817" t="s">
        <v>46</v>
      </c>
      <c r="AY1817" t="s">
        <v>50</v>
      </c>
      <c r="BA1817" t="s">
        <v>52</v>
      </c>
      <c r="BE1817" t="s">
        <v>56</v>
      </c>
    </row>
    <row r="1818" spans="1:69" x14ac:dyDescent="0.2">
      <c r="A1818" t="s">
        <v>6591</v>
      </c>
      <c r="B1818" t="s">
        <v>3606</v>
      </c>
      <c r="C1818" t="s">
        <v>6605</v>
      </c>
      <c r="D1818" t="s">
        <v>1211</v>
      </c>
      <c r="E1818" t="s">
        <v>6606</v>
      </c>
      <c r="F1818" t="s">
        <v>180</v>
      </c>
      <c r="G1818" t="str">
        <f>HYPERLINK("https://www.ozon.ru/context/detail/id/254490633/#60136761")</f>
        <v>https://www.ozon.ru/context/detail/id/254490633/#60136761</v>
      </c>
      <c r="H1818" t="s">
        <v>119</v>
      </c>
      <c r="I1818" t="s">
        <v>512</v>
      </c>
      <c r="J1818" t="str">
        <f>HYPERLINK("https://www.ozon.ru/context/client_opinion/ClientGuid//")</f>
        <v>https://www.ozon.ru/context/client_opinion/ClientGuid//</v>
      </c>
      <c r="N1818" t="s">
        <v>183</v>
      </c>
      <c r="O1818" t="s">
        <v>1211</v>
      </c>
      <c r="P1818" t="str">
        <f>HYPERLINK("https://www.ozon.ru/context/detail/id/254490633/")</f>
        <v>https://www.ozon.ru/context/detail/id/254490633/</v>
      </c>
      <c r="R1818" t="s">
        <v>184</v>
      </c>
      <c r="S1818" t="s">
        <v>125</v>
      </c>
      <c r="W1818">
        <v>0</v>
      </c>
      <c r="X1818">
        <v>0</v>
      </c>
      <c r="AH1818">
        <v>1</v>
      </c>
      <c r="AJ1818" t="s">
        <v>129</v>
      </c>
      <c r="AK1818" t="s">
        <v>129</v>
      </c>
      <c r="AL1818" t="str">
        <f>HYPERLINK("https://cdn1.ozone.ru/s3/rp-photo-4/d3fcb6e9-abe3-4a9c-b7c1-acc73e3af3ed.jpeg")</f>
        <v>https://cdn1.ozone.ru/s3/rp-photo-4/d3fcb6e9-abe3-4a9c-b7c1-acc73e3af3ed.jpeg</v>
      </c>
      <c r="AM1818" t="s">
        <v>129</v>
      </c>
      <c r="AN1818" t="s">
        <v>130</v>
      </c>
      <c r="AP1818" t="s">
        <v>41</v>
      </c>
      <c r="AT1818" t="s">
        <v>45</v>
      </c>
      <c r="AZ1818" t="s">
        <v>51</v>
      </c>
      <c r="BA1818" t="s">
        <v>52</v>
      </c>
      <c r="BL1818" t="s">
        <v>63</v>
      </c>
    </row>
    <row r="1819" spans="1:69" x14ac:dyDescent="0.2">
      <c r="A1819" t="s">
        <v>6591</v>
      </c>
      <c r="B1819" t="s">
        <v>1861</v>
      </c>
      <c r="C1819" t="s">
        <v>6607</v>
      </c>
      <c r="D1819" t="s">
        <v>6608</v>
      </c>
      <c r="E1819" t="s">
        <v>6609</v>
      </c>
      <c r="F1819" t="s">
        <v>118</v>
      </c>
      <c r="G1819" t="str">
        <f>HYPERLINK("https://vk.com/wall-167532230_28196?reply=28198")</f>
        <v>https://vk.com/wall-167532230_28196?reply=28198</v>
      </c>
      <c r="H1819" t="s">
        <v>119</v>
      </c>
      <c r="I1819" t="s">
        <v>6610</v>
      </c>
      <c r="J1819" t="str">
        <f>HYPERLINK("http://vk.com/id24670578")</f>
        <v>http://vk.com/id24670578</v>
      </c>
      <c r="K1819">
        <v>320</v>
      </c>
      <c r="L1819" t="s">
        <v>121</v>
      </c>
      <c r="N1819" t="s">
        <v>122</v>
      </c>
      <c r="O1819" t="s">
        <v>6611</v>
      </c>
      <c r="P1819" t="str">
        <f>HYPERLINK("http://vk.com/club167532230")</f>
        <v>http://vk.com/club167532230</v>
      </c>
      <c r="Q1819">
        <v>10127</v>
      </c>
      <c r="R1819" t="s">
        <v>124</v>
      </c>
      <c r="S1819" t="s">
        <v>125</v>
      </c>
      <c r="T1819" t="s">
        <v>627</v>
      </c>
      <c r="U1819" t="s">
        <v>6612</v>
      </c>
      <c r="AM1819" t="s">
        <v>129</v>
      </c>
      <c r="AN1819" t="s">
        <v>130</v>
      </c>
      <c r="AP1819" t="s">
        <v>41</v>
      </c>
      <c r="AU1819" t="s">
        <v>46</v>
      </c>
      <c r="AY1819" t="s">
        <v>50</v>
      </c>
      <c r="AZ1819" t="s">
        <v>51</v>
      </c>
      <c r="BA1819" t="s">
        <v>52</v>
      </c>
      <c r="BL1819" t="s">
        <v>63</v>
      </c>
    </row>
    <row r="1820" spans="1:69" x14ac:dyDescent="0.2">
      <c r="A1820" t="s">
        <v>6591</v>
      </c>
      <c r="B1820" t="s">
        <v>1861</v>
      </c>
      <c r="C1820" t="s">
        <v>6613</v>
      </c>
      <c r="D1820" t="s">
        <v>204</v>
      </c>
      <c r="E1820" t="s">
        <v>6614</v>
      </c>
      <c r="F1820" t="s">
        <v>180</v>
      </c>
      <c r="G1820" t="str">
        <f>HYPERLINK("https://play.google.com/store/apps/details?id=ru.iflex.android.a3colortv&amp;reviewId=gp:AOqpTOG7cShztYQVL3B0vR6n6sjNEn9A1-JqeTC-8xmRmKK99NS5FvRk5EZkarAFY-esGB279OP9lCRT-mV6Cw")</f>
        <v>https://play.google.com/store/apps/details?id=ru.iflex.android.a3colortv&amp;reviewId=gp:AOqpTOG7cShztYQVL3B0vR6n6sjNEn9A1-JqeTC-8xmRmKK99NS5FvRk5EZkarAFY-esGB279OP9lCRT-mV6Cw</v>
      </c>
      <c r="H1820" t="s">
        <v>119</v>
      </c>
      <c r="I1820" t="s">
        <v>6615</v>
      </c>
      <c r="J1820" t="str">
        <f>HYPERLINK("https://plus.google.com/102868167300027460734")</f>
        <v>https://plus.google.com/102868167300027460734</v>
      </c>
      <c r="L1820" t="s">
        <v>121</v>
      </c>
      <c r="N1820" t="s">
        <v>207</v>
      </c>
      <c r="O1820" t="s">
        <v>204</v>
      </c>
      <c r="P1820" t="str">
        <f>HYPERLINK("https://play.google.com/store/apps/details?id=ru.iflex.android.a3colortv&amp;hl=ru")</f>
        <v>https://play.google.com/store/apps/details?id=ru.iflex.android.a3colortv&amp;hl=ru</v>
      </c>
      <c r="R1820" t="s">
        <v>184</v>
      </c>
      <c r="S1820" t="s">
        <v>125</v>
      </c>
      <c r="W1820">
        <v>0</v>
      </c>
      <c r="X1820">
        <v>0</v>
      </c>
      <c r="AH1820">
        <v>3</v>
      </c>
      <c r="AM1820" t="s">
        <v>129</v>
      </c>
      <c r="AN1820" t="s">
        <v>130</v>
      </c>
      <c r="AP1820" t="s">
        <v>41</v>
      </c>
      <c r="AY1820" t="s">
        <v>50</v>
      </c>
      <c r="AZ1820" t="s">
        <v>51</v>
      </c>
      <c r="BA1820" t="s">
        <v>52</v>
      </c>
      <c r="BQ1820" t="s">
        <v>68</v>
      </c>
    </row>
    <row r="1821" spans="1:69" x14ac:dyDescent="0.2">
      <c r="A1821" t="s">
        <v>6591</v>
      </c>
      <c r="B1821" t="s">
        <v>146</v>
      </c>
      <c r="C1821" t="s">
        <v>6616</v>
      </c>
      <c r="D1821" t="s">
        <v>6068</v>
      </c>
      <c r="E1821" t="s">
        <v>6617</v>
      </c>
      <c r="F1821" t="s">
        <v>118</v>
      </c>
      <c r="G1821" t="str">
        <f>HYPERLINK("https://ok.ru/group/53918693523698/topic/153728707247602#MTYyNjU1MTY3MTEzNjotMTE0MzU6MTYyNjU1MTY3MTEzNjoxNTM3Mjg3MDcyNDc2MDI6MQ==")</f>
        <v>https://ok.ru/group/53918693523698/topic/153728707247602#MTYyNjU1MTY3MTEzNjotMTE0MzU6MTYyNjU1MTY3MTEzNjoxNTM3Mjg3MDcyNDc2MDI6MQ==</v>
      </c>
      <c r="H1821" t="s">
        <v>119</v>
      </c>
      <c r="I1821" t="s">
        <v>6618</v>
      </c>
      <c r="J1821" t="str">
        <f>HYPERLINK("https://ok.ru/profile/582792759782")</f>
        <v>https://ok.ru/profile/582792759782</v>
      </c>
      <c r="K1821">
        <v>23</v>
      </c>
      <c r="L1821" t="s">
        <v>121</v>
      </c>
      <c r="M1821">
        <v>42</v>
      </c>
      <c r="N1821" t="s">
        <v>347</v>
      </c>
      <c r="O1821" t="s">
        <v>6071</v>
      </c>
      <c r="P1821" t="str">
        <f>HYPERLINK("https://ok.ru/group/53918693523698")</f>
        <v>https://ok.ru/group/53918693523698</v>
      </c>
      <c r="Q1821">
        <v>17454</v>
      </c>
      <c r="R1821" t="s">
        <v>124</v>
      </c>
      <c r="S1821" t="s">
        <v>125</v>
      </c>
      <c r="T1821" t="s">
        <v>256</v>
      </c>
      <c r="U1821" t="s">
        <v>6372</v>
      </c>
      <c r="W1821">
        <v>0</v>
      </c>
      <c r="X1821">
        <v>0</v>
      </c>
      <c r="AM1821" t="s">
        <v>129</v>
      </c>
      <c r="AN1821" t="s">
        <v>130</v>
      </c>
      <c r="AP1821" t="s">
        <v>41</v>
      </c>
      <c r="AZ1821" t="s">
        <v>51</v>
      </c>
      <c r="BA1821" t="s">
        <v>52</v>
      </c>
      <c r="BL1821" t="s">
        <v>63</v>
      </c>
    </row>
    <row r="1822" spans="1:69" x14ac:dyDescent="0.2">
      <c r="A1822" t="s">
        <v>6591</v>
      </c>
      <c r="B1822" t="s">
        <v>780</v>
      </c>
      <c r="C1822" t="s">
        <v>6616</v>
      </c>
      <c r="D1822" t="s">
        <v>6068</v>
      </c>
      <c r="E1822" t="s">
        <v>6619</v>
      </c>
      <c r="F1822" t="s">
        <v>118</v>
      </c>
      <c r="G1822" t="str">
        <f>HYPERLINK("https://ok.ru/group/53918693523698/topic/153728707247602#MTYyNjU1MTExMjkyNjotMTYzNDk6MTYyNjU1MTExMjkyNjoxNTM3Mjg3MDcyNDc2MDI6MQ==")</f>
        <v>https://ok.ru/group/53918693523698/topic/153728707247602#MTYyNjU1MTExMjkyNjotMTYzNDk6MTYyNjU1MTExMjkyNjoxNTM3Mjg3MDcyNDc2MDI6MQ==</v>
      </c>
      <c r="H1822" t="s">
        <v>119</v>
      </c>
      <c r="I1822" t="s">
        <v>6618</v>
      </c>
      <c r="J1822" t="str">
        <f>HYPERLINK("https://ok.ru/profile/582792759782")</f>
        <v>https://ok.ru/profile/582792759782</v>
      </c>
      <c r="K1822">
        <v>23</v>
      </c>
      <c r="L1822" t="s">
        <v>121</v>
      </c>
      <c r="M1822">
        <v>42</v>
      </c>
      <c r="N1822" t="s">
        <v>347</v>
      </c>
      <c r="O1822" t="s">
        <v>6071</v>
      </c>
      <c r="P1822" t="str">
        <f>HYPERLINK("https://ok.ru/group/53918693523698")</f>
        <v>https://ok.ru/group/53918693523698</v>
      </c>
      <c r="Q1822">
        <v>17454</v>
      </c>
      <c r="R1822" t="s">
        <v>124</v>
      </c>
      <c r="S1822" t="s">
        <v>125</v>
      </c>
      <c r="T1822" t="s">
        <v>256</v>
      </c>
      <c r="U1822" t="s">
        <v>6372</v>
      </c>
      <c r="W1822">
        <v>0</v>
      </c>
      <c r="X1822">
        <v>0</v>
      </c>
      <c r="AM1822" t="s">
        <v>129</v>
      </c>
      <c r="AN1822" t="s">
        <v>130</v>
      </c>
      <c r="AP1822" t="s">
        <v>41</v>
      </c>
      <c r="AW1822" t="s">
        <v>48</v>
      </c>
      <c r="AZ1822" t="s">
        <v>51</v>
      </c>
      <c r="BA1822" t="s">
        <v>52</v>
      </c>
      <c r="BL1822" t="s">
        <v>63</v>
      </c>
    </row>
    <row r="1823" spans="1:69" x14ac:dyDescent="0.2">
      <c r="A1823" t="s">
        <v>6591</v>
      </c>
      <c r="B1823" t="s">
        <v>155</v>
      </c>
      <c r="C1823" t="s">
        <v>4757</v>
      </c>
      <c r="D1823" t="s">
        <v>5174</v>
      </c>
      <c r="E1823" t="s">
        <v>6620</v>
      </c>
      <c r="F1823" t="s">
        <v>180</v>
      </c>
      <c r="G1823" t="str">
        <f>HYPERLINK("https://www.wildberries.ru/catalog/18944219/detail.aspx?targetUrl=ES#Comments")</f>
        <v>https://www.wildberries.ru/catalog/18944219/detail.aspx?targetUrl=ES#Comments</v>
      </c>
      <c r="H1823" t="s">
        <v>181</v>
      </c>
      <c r="I1823" t="s">
        <v>1781</v>
      </c>
      <c r="J1823" t="str">
        <f>HYPERLINK("https://www.wildberries.ru/profile/w7TDssOkw7PCu8K0wrPCtMK5wrnCtcK1wrg=")</f>
        <v>https://www.wildberries.ru/profile/w7TDssOkw7PCu8K0wrPCtMK5wrnCtcK1wrg=</v>
      </c>
      <c r="L1823" t="s">
        <v>151</v>
      </c>
      <c r="N1823" t="s">
        <v>534</v>
      </c>
      <c r="O1823" t="s">
        <v>5174</v>
      </c>
      <c r="P1823" t="str">
        <f>HYPERLINK("https://www.wildberries.ru/catalog/14067782/detail.aspx")</f>
        <v>https://www.wildberries.ru/catalog/14067782/detail.aspx</v>
      </c>
      <c r="R1823" t="s">
        <v>184</v>
      </c>
      <c r="S1823" t="s">
        <v>125</v>
      </c>
      <c r="W1823">
        <v>0</v>
      </c>
      <c r="X1823">
        <v>0</v>
      </c>
      <c r="AH1823">
        <v>5</v>
      </c>
      <c r="AM1823" t="s">
        <v>129</v>
      </c>
      <c r="AN1823" t="s">
        <v>130</v>
      </c>
      <c r="AP1823" t="s">
        <v>41</v>
      </c>
      <c r="AT1823" t="s">
        <v>45</v>
      </c>
      <c r="AZ1823" t="s">
        <v>51</v>
      </c>
      <c r="BA1823" t="s">
        <v>52</v>
      </c>
      <c r="BL1823" t="s">
        <v>63</v>
      </c>
    </row>
    <row r="1824" spans="1:69" x14ac:dyDescent="0.2">
      <c r="A1824" t="s">
        <v>6591</v>
      </c>
      <c r="B1824" t="s">
        <v>155</v>
      </c>
      <c r="C1824" t="s">
        <v>4757</v>
      </c>
      <c r="D1824" t="s">
        <v>5174</v>
      </c>
      <c r="E1824" t="s">
        <v>5429</v>
      </c>
      <c r="F1824" t="s">
        <v>118</v>
      </c>
      <c r="G1824" t="str">
        <f>HYPERLINK("https://www.wildberries.ru/catalog/18944219/detail.aspx?targetUrl=ES#Comments")</f>
        <v>https://www.wildberries.ru/catalog/18944219/detail.aspx?targetUrl=ES#Comments</v>
      </c>
      <c r="H1824" t="s">
        <v>119</v>
      </c>
      <c r="I1824" t="s">
        <v>3023</v>
      </c>
      <c r="J1824" t="str">
        <f>HYPERLINK("https://www.wildberries.ru/brands/trikolor")</f>
        <v>https://www.wildberries.ru/brands/trikolor</v>
      </c>
      <c r="L1824" t="s">
        <v>340</v>
      </c>
      <c r="N1824" t="s">
        <v>534</v>
      </c>
      <c r="O1824" t="s">
        <v>5174</v>
      </c>
      <c r="P1824" t="str">
        <f>HYPERLINK("https://www.wildberries.ru/catalog/14067782/detail.aspx")</f>
        <v>https://www.wildberries.ru/catalog/14067782/detail.aspx</v>
      </c>
      <c r="R1824" t="s">
        <v>184</v>
      </c>
      <c r="S1824" t="s">
        <v>125</v>
      </c>
      <c r="AM1824" t="s">
        <v>129</v>
      </c>
      <c r="AN1824" t="s">
        <v>130</v>
      </c>
      <c r="BI1824" t="s">
        <v>60</v>
      </c>
    </row>
    <row r="1825" spans="1:69" x14ac:dyDescent="0.2">
      <c r="A1825" t="s">
        <v>6591</v>
      </c>
      <c r="B1825" t="s">
        <v>4576</v>
      </c>
      <c r="C1825" t="s">
        <v>6621</v>
      </c>
      <c r="D1825" t="s">
        <v>204</v>
      </c>
      <c r="E1825" t="s">
        <v>6622</v>
      </c>
      <c r="F1825" t="s">
        <v>180</v>
      </c>
      <c r="G1825" t="str">
        <f>HYPERLINK("https://play.google.com/store/apps/details?id=ru.iflex.android.a3colortv&amp;reviewId=gp:AOqpTOH25LHDW3CF4AlW3ZGGPcMng2gAKy60-UfkEEemUqWRp4kS851PDaGeuLqHKf_3am2uAzmoJOnCbN-Exw")</f>
        <v>https://play.google.com/store/apps/details?id=ru.iflex.android.a3colortv&amp;reviewId=gp:AOqpTOH25LHDW3CF4AlW3ZGGPcMng2gAKy60-UfkEEemUqWRp4kS851PDaGeuLqHKf_3am2uAzmoJOnCbN-Exw</v>
      </c>
      <c r="H1825" t="s">
        <v>228</v>
      </c>
      <c r="I1825" t="s">
        <v>6623</v>
      </c>
      <c r="J1825" t="str">
        <f>HYPERLINK("https://plus.google.com/114964908934439655359")</f>
        <v>https://plus.google.com/114964908934439655359</v>
      </c>
      <c r="L1825" t="s">
        <v>151</v>
      </c>
      <c r="N1825" t="s">
        <v>207</v>
      </c>
      <c r="O1825" t="s">
        <v>204</v>
      </c>
      <c r="P1825" t="str">
        <f>HYPERLINK("https://play.google.com/store/apps/details?id=ru.iflex.android.a3colortv&amp;hl=ru")</f>
        <v>https://play.google.com/store/apps/details?id=ru.iflex.android.a3colortv&amp;hl=ru</v>
      </c>
      <c r="R1825" t="s">
        <v>184</v>
      </c>
      <c r="S1825" t="s">
        <v>125</v>
      </c>
      <c r="W1825">
        <v>0</v>
      </c>
      <c r="X1825">
        <v>0</v>
      </c>
      <c r="AH1825">
        <v>1</v>
      </c>
      <c r="AM1825" t="s">
        <v>129</v>
      </c>
      <c r="AN1825" t="s">
        <v>130</v>
      </c>
      <c r="AP1825" t="s">
        <v>41</v>
      </c>
      <c r="AZ1825" t="s">
        <v>51</v>
      </c>
      <c r="BA1825" t="s">
        <v>52</v>
      </c>
      <c r="BM1825" t="s">
        <v>64</v>
      </c>
      <c r="BQ1825" t="s">
        <v>68</v>
      </c>
    </row>
    <row r="1826" spans="1:69" x14ac:dyDescent="0.2">
      <c r="A1826" t="s">
        <v>6591</v>
      </c>
      <c r="B1826" t="s">
        <v>6624</v>
      </c>
      <c r="C1826" t="s">
        <v>6625</v>
      </c>
      <c r="D1826" t="s">
        <v>6626</v>
      </c>
      <c r="E1826" t="s">
        <v>6627</v>
      </c>
      <c r="F1826" t="s">
        <v>118</v>
      </c>
      <c r="G1826" t="str">
        <f>HYPERLINK("https://vk.com/wall-186684407_5649?reply=5770")</f>
        <v>https://vk.com/wall-186684407_5649?reply=5770</v>
      </c>
      <c r="H1826" t="s">
        <v>119</v>
      </c>
      <c r="I1826" t="s">
        <v>6628</v>
      </c>
      <c r="J1826" t="str">
        <f>HYPERLINK("http://vk.com/id371546685")</f>
        <v>http://vk.com/id371546685</v>
      </c>
      <c r="K1826">
        <v>139</v>
      </c>
      <c r="L1826" t="s">
        <v>121</v>
      </c>
      <c r="M1826">
        <v>35</v>
      </c>
      <c r="N1826" t="s">
        <v>122</v>
      </c>
      <c r="O1826" t="s">
        <v>6629</v>
      </c>
      <c r="P1826" t="str">
        <f>HYPERLINK("http://vk.com/club186684407")</f>
        <v>http://vk.com/club186684407</v>
      </c>
      <c r="Q1826">
        <v>1278</v>
      </c>
      <c r="R1826" t="s">
        <v>124</v>
      </c>
      <c r="S1826" t="s">
        <v>125</v>
      </c>
      <c r="T1826" t="s">
        <v>218</v>
      </c>
      <c r="U1826" t="s">
        <v>6630</v>
      </c>
      <c r="AM1826" t="s">
        <v>129</v>
      </c>
      <c r="AN1826" t="s">
        <v>130</v>
      </c>
      <c r="AP1826" t="s">
        <v>41</v>
      </c>
      <c r="BA1826" t="s">
        <v>52</v>
      </c>
      <c r="BE1826" t="s">
        <v>56</v>
      </c>
      <c r="BM1826" t="s">
        <v>64</v>
      </c>
    </row>
    <row r="1827" spans="1:69" x14ac:dyDescent="0.2">
      <c r="A1827" t="s">
        <v>6591</v>
      </c>
      <c r="B1827" t="s">
        <v>1297</v>
      </c>
      <c r="C1827" t="s">
        <v>6631</v>
      </c>
      <c r="D1827" t="s">
        <v>129</v>
      </c>
      <c r="E1827" t="s">
        <v>6632</v>
      </c>
      <c r="F1827" t="s">
        <v>180</v>
      </c>
      <c r="G1827" t="str">
        <f>HYPERLINK("https://www.facebook.com/yevgenia.albats/posts/10165389395125574")</f>
        <v>https://www.facebook.com/yevgenia.albats/posts/10165389395125574</v>
      </c>
      <c r="H1827" t="s">
        <v>119</v>
      </c>
      <c r="I1827" t="s">
        <v>6633</v>
      </c>
      <c r="J1827" t="str">
        <f>HYPERLINK("https://www.facebook.com/834345573")</f>
        <v>https://www.facebook.com/834345573</v>
      </c>
      <c r="K1827">
        <v>51262</v>
      </c>
      <c r="L1827" t="s">
        <v>151</v>
      </c>
      <c r="N1827" t="s">
        <v>305</v>
      </c>
      <c r="O1827" t="s">
        <v>6633</v>
      </c>
      <c r="P1827" t="str">
        <f>HYPERLINK("https://www.facebook.com/834345573")</f>
        <v>https://www.facebook.com/834345573</v>
      </c>
      <c r="Q1827">
        <v>51262</v>
      </c>
      <c r="R1827" t="s">
        <v>124</v>
      </c>
      <c r="S1827" t="s">
        <v>125</v>
      </c>
      <c r="T1827" t="s">
        <v>169</v>
      </c>
      <c r="U1827" t="s">
        <v>169</v>
      </c>
      <c r="W1827">
        <v>15</v>
      </c>
      <c r="X1827">
        <v>13</v>
      </c>
      <c r="Y1827">
        <v>0</v>
      </c>
      <c r="Z1827">
        <v>0</v>
      </c>
      <c r="AA1827">
        <v>0</v>
      </c>
      <c r="AB1827">
        <v>2</v>
      </c>
      <c r="AC1827">
        <v>0</v>
      </c>
      <c r="AE1827">
        <v>1</v>
      </c>
      <c r="AF1827">
        <v>2</v>
      </c>
      <c r="AM1827" t="s">
        <v>129</v>
      </c>
      <c r="AN1827" t="s">
        <v>130</v>
      </c>
      <c r="AP1827" t="s">
        <v>41</v>
      </c>
      <c r="AU1827" t="s">
        <v>46</v>
      </c>
      <c r="AZ1827" t="s">
        <v>51</v>
      </c>
      <c r="BA1827" t="s">
        <v>52</v>
      </c>
      <c r="BL1827" t="s">
        <v>63</v>
      </c>
    </row>
    <row r="1828" spans="1:69" x14ac:dyDescent="0.2">
      <c r="A1828" t="s">
        <v>6591</v>
      </c>
      <c r="B1828" t="s">
        <v>1301</v>
      </c>
      <c r="C1828" t="s">
        <v>6634</v>
      </c>
      <c r="D1828" t="s">
        <v>6635</v>
      </c>
      <c r="E1828" t="s">
        <v>6636</v>
      </c>
      <c r="F1828" t="s">
        <v>180</v>
      </c>
      <c r="G1828" t="str">
        <f>HYPERLINK("https://www.championat.com/bets/news-4403959-mahachev-mojzes-vremya-nachala-boya-po-moskovskomu-vremeni-gde-smotret-onlajn-ufc.html")</f>
        <v>https://www.championat.com/bets/news-4403959-mahachev-mojzes-vremya-nachala-boya-po-moskovskomu-vremeni-gde-smotret-onlajn-ufc.html</v>
      </c>
      <c r="H1828" t="s">
        <v>119</v>
      </c>
      <c r="N1828" t="s">
        <v>6548</v>
      </c>
      <c r="R1828" t="s">
        <v>785</v>
      </c>
      <c r="S1828" t="s">
        <v>125</v>
      </c>
      <c r="AM1828" t="s">
        <v>129</v>
      </c>
      <c r="AN1828" t="s">
        <v>130</v>
      </c>
      <c r="AV1828" t="s">
        <v>47</v>
      </c>
    </row>
    <row r="1829" spans="1:69" x14ac:dyDescent="0.2">
      <c r="A1829" t="s">
        <v>6591</v>
      </c>
      <c r="B1829" t="s">
        <v>6637</v>
      </c>
      <c r="C1829" t="s">
        <v>6616</v>
      </c>
      <c r="D1829" t="s">
        <v>6068</v>
      </c>
      <c r="E1829" t="s">
        <v>6638</v>
      </c>
      <c r="F1829" t="s">
        <v>118</v>
      </c>
      <c r="G1829" t="str">
        <f>HYPERLINK("https://ok.ru/group/53918693523698/topic/153728707247602#MTYyNjU0ODEzNTgxODotMzAwNToxNjI2NTQ4MTM1ODE4OjE1MzcyODcwNzI0NzYwMjox")</f>
        <v>https://ok.ru/group/53918693523698/topic/153728707247602#MTYyNjU0ODEzNTgxODotMzAwNToxNjI2NTQ4MTM1ODE4OjE1MzcyODcwNzI0NzYwMjox</v>
      </c>
      <c r="H1829" t="s">
        <v>181</v>
      </c>
      <c r="I1829" t="s">
        <v>6639</v>
      </c>
      <c r="J1829" t="str">
        <f>HYPERLINK("https://ok.ru/profile/524164690650")</f>
        <v>https://ok.ru/profile/524164690650</v>
      </c>
      <c r="K1829">
        <v>578</v>
      </c>
      <c r="L1829" t="s">
        <v>151</v>
      </c>
      <c r="M1829">
        <v>38</v>
      </c>
      <c r="N1829" t="s">
        <v>347</v>
      </c>
      <c r="O1829" t="s">
        <v>6071</v>
      </c>
      <c r="P1829" t="str">
        <f>HYPERLINK("https://ok.ru/group/53918693523698")</f>
        <v>https://ok.ru/group/53918693523698</v>
      </c>
      <c r="Q1829">
        <v>17454</v>
      </c>
      <c r="R1829" t="s">
        <v>124</v>
      </c>
      <c r="S1829" t="s">
        <v>125</v>
      </c>
      <c r="T1829" t="s">
        <v>256</v>
      </c>
      <c r="U1829" t="s">
        <v>6372</v>
      </c>
      <c r="W1829">
        <v>1</v>
      </c>
      <c r="X1829">
        <v>1</v>
      </c>
      <c r="AM1829" t="s">
        <v>129</v>
      </c>
      <c r="AN1829" t="s">
        <v>130</v>
      </c>
      <c r="AP1829" t="s">
        <v>41</v>
      </c>
      <c r="AW1829" t="s">
        <v>48</v>
      </c>
      <c r="AZ1829" t="s">
        <v>51</v>
      </c>
      <c r="BA1829" t="s">
        <v>52</v>
      </c>
    </row>
    <row r="1830" spans="1:69" x14ac:dyDescent="0.2">
      <c r="A1830" t="s">
        <v>6591</v>
      </c>
      <c r="B1830" t="s">
        <v>6640</v>
      </c>
      <c r="C1830" t="s">
        <v>6641</v>
      </c>
      <c r="D1830" t="s">
        <v>204</v>
      </c>
      <c r="E1830" t="s">
        <v>6642</v>
      </c>
      <c r="F1830" t="s">
        <v>180</v>
      </c>
      <c r="G1830" t="str">
        <f>HYPERLINK("https://play.google.com/store/apps/details?id=ru.iflex.android.a3colortv&amp;reviewId=gp:AOqpTOEWIQt8Mei90dF7ElypmaIgW8ta0IrF0Rx-K2IP4R4qh6bYa4_mvUwTPMkHaK8FlPCRasX5zpTjt4Cyyw")</f>
        <v>https://play.google.com/store/apps/details?id=ru.iflex.android.a3colortv&amp;reviewId=gp:AOqpTOEWIQt8Mei90dF7ElypmaIgW8ta0IrF0Rx-K2IP4R4qh6bYa4_mvUwTPMkHaK8FlPCRasX5zpTjt4Cyyw</v>
      </c>
      <c r="H1830" t="s">
        <v>181</v>
      </c>
      <c r="I1830" t="s">
        <v>6643</v>
      </c>
      <c r="J1830" t="str">
        <f>HYPERLINK("https://plus.google.com/103881591866004738751")</f>
        <v>https://plus.google.com/103881591866004738751</v>
      </c>
      <c r="K1830">
        <v>97</v>
      </c>
      <c r="L1830" t="s">
        <v>121</v>
      </c>
      <c r="N1830" t="s">
        <v>207</v>
      </c>
      <c r="O1830" t="s">
        <v>204</v>
      </c>
      <c r="P1830" t="str">
        <f>HYPERLINK("https://play.google.com/store/apps/details?id=ru.iflex.android.a3colortv&amp;hl=ru")</f>
        <v>https://play.google.com/store/apps/details?id=ru.iflex.android.a3colortv&amp;hl=ru</v>
      </c>
      <c r="R1830" t="s">
        <v>184</v>
      </c>
      <c r="S1830" t="s">
        <v>125</v>
      </c>
      <c r="W1830">
        <v>0</v>
      </c>
      <c r="X1830">
        <v>0</v>
      </c>
      <c r="AH1830">
        <v>5</v>
      </c>
      <c r="AM1830" t="s">
        <v>129</v>
      </c>
      <c r="AN1830" t="s">
        <v>130</v>
      </c>
      <c r="AP1830" t="s">
        <v>41</v>
      </c>
      <c r="AZ1830" t="s">
        <v>51</v>
      </c>
      <c r="BA1830" t="s">
        <v>52</v>
      </c>
      <c r="BQ1830" t="s">
        <v>68</v>
      </c>
    </row>
    <row r="1831" spans="1:69" x14ac:dyDescent="0.2">
      <c r="A1831" t="s">
        <v>6591</v>
      </c>
      <c r="B1831" t="s">
        <v>221</v>
      </c>
      <c r="C1831" t="s">
        <v>6644</v>
      </c>
      <c r="D1831" t="s">
        <v>6645</v>
      </c>
      <c r="E1831" t="s">
        <v>6646</v>
      </c>
      <c r="F1831" t="s">
        <v>118</v>
      </c>
      <c r="G1831" t="str">
        <f>HYPERLINK("https://vk.com/wall-486392_375876?reply=375931&amp;thread=375884")</f>
        <v>https://vk.com/wall-486392_375876?reply=375931&amp;thread=375884</v>
      </c>
      <c r="H1831" t="s">
        <v>119</v>
      </c>
      <c r="I1831" t="s">
        <v>6647</v>
      </c>
      <c r="J1831" t="str">
        <f>HYPERLINK("http://vk.com/id626485516")</f>
        <v>http://vk.com/id626485516</v>
      </c>
      <c r="K1831">
        <v>14</v>
      </c>
      <c r="L1831" t="s">
        <v>121</v>
      </c>
      <c r="M1831">
        <v>38</v>
      </c>
      <c r="N1831" t="s">
        <v>122</v>
      </c>
      <c r="O1831" t="s">
        <v>6648</v>
      </c>
      <c r="P1831" t="str">
        <f>HYPERLINK("http://vk.com/club486392")</f>
        <v>http://vk.com/club486392</v>
      </c>
      <c r="Q1831">
        <v>17000</v>
      </c>
      <c r="R1831" t="s">
        <v>124</v>
      </c>
      <c r="S1831" t="s">
        <v>125</v>
      </c>
      <c r="T1831" t="s">
        <v>6649</v>
      </c>
      <c r="U1831" t="s">
        <v>6650</v>
      </c>
      <c r="AM1831" t="s">
        <v>129</v>
      </c>
      <c r="AN1831" t="s">
        <v>130</v>
      </c>
      <c r="AP1831" t="s">
        <v>41</v>
      </c>
      <c r="AU1831" t="s">
        <v>46</v>
      </c>
      <c r="AY1831" t="s">
        <v>50</v>
      </c>
      <c r="AZ1831" t="s">
        <v>51</v>
      </c>
      <c r="BA1831" t="s">
        <v>52</v>
      </c>
    </row>
    <row r="1832" spans="1:69" x14ac:dyDescent="0.2">
      <c r="A1832" t="s">
        <v>6591</v>
      </c>
      <c r="B1832" t="s">
        <v>2367</v>
      </c>
      <c r="C1832" t="s">
        <v>6651</v>
      </c>
      <c r="D1832" t="s">
        <v>6645</v>
      </c>
      <c r="E1832" t="s">
        <v>6652</v>
      </c>
      <c r="F1832" t="s">
        <v>118</v>
      </c>
      <c r="G1832" t="str">
        <f>HYPERLINK("https://vk.com/wall-486392_375876?reply=375906&amp;thread=375884")</f>
        <v>https://vk.com/wall-486392_375876?reply=375906&amp;thread=375884</v>
      </c>
      <c r="H1832" t="s">
        <v>119</v>
      </c>
      <c r="I1832" t="s">
        <v>6653</v>
      </c>
      <c r="J1832" t="str">
        <f>HYPERLINK("http://vk.com/id176770806")</f>
        <v>http://vk.com/id176770806</v>
      </c>
      <c r="K1832">
        <v>27</v>
      </c>
      <c r="L1832" t="s">
        <v>121</v>
      </c>
      <c r="N1832" t="s">
        <v>122</v>
      </c>
      <c r="O1832" t="s">
        <v>6648</v>
      </c>
      <c r="P1832" t="str">
        <f>HYPERLINK("http://vk.com/club486392")</f>
        <v>http://vk.com/club486392</v>
      </c>
      <c r="Q1832">
        <v>17000</v>
      </c>
      <c r="R1832" t="s">
        <v>124</v>
      </c>
      <c r="S1832" t="s">
        <v>125</v>
      </c>
      <c r="T1832" t="s">
        <v>6649</v>
      </c>
      <c r="U1832" t="s">
        <v>6650</v>
      </c>
      <c r="AM1832" t="s">
        <v>129</v>
      </c>
      <c r="AN1832" t="s">
        <v>130</v>
      </c>
      <c r="AP1832" t="s">
        <v>41</v>
      </c>
      <c r="AU1832" t="s">
        <v>46</v>
      </c>
      <c r="AZ1832" t="s">
        <v>51</v>
      </c>
      <c r="BA1832" t="s">
        <v>52</v>
      </c>
      <c r="BQ1832" t="s">
        <v>68</v>
      </c>
    </row>
    <row r="1833" spans="1:69" x14ac:dyDescent="0.2">
      <c r="A1833" t="s">
        <v>6591</v>
      </c>
      <c r="B1833" t="s">
        <v>6654</v>
      </c>
      <c r="C1833" t="s">
        <v>6655</v>
      </c>
      <c r="D1833" t="s">
        <v>4147</v>
      </c>
      <c r="E1833" t="s">
        <v>6656</v>
      </c>
      <c r="F1833" t="s">
        <v>180</v>
      </c>
      <c r="G1833" t="str">
        <f>HYPERLINK("https://www.wildberries.ru/catalog/15145842/detail.aspx?targetUrl=ES#Comments")</f>
        <v>https://www.wildberries.ru/catalog/15145842/detail.aspx?targetUrl=ES#Comments</v>
      </c>
      <c r="H1833" t="s">
        <v>181</v>
      </c>
      <c r="I1833" t="s">
        <v>6657</v>
      </c>
      <c r="J1833" t="str">
        <f>HYPERLINK("https://www.wildberries.ru/profile/w7TDssOkw7PCu8K1wrLCtcKwwrbCssKywrM=")</f>
        <v>https://www.wildberries.ru/profile/w7TDssOkw7PCu8K1wrLCtcKwwrbCssKywrM=</v>
      </c>
      <c r="L1833" t="s">
        <v>151</v>
      </c>
      <c r="N1833" t="s">
        <v>534</v>
      </c>
      <c r="O1833" t="s">
        <v>4147</v>
      </c>
      <c r="P1833" t="str">
        <f>HYPERLINK("https://www.wildberries.ru/catalog/11323741/detail.aspx")</f>
        <v>https://www.wildberries.ru/catalog/11323741/detail.aspx</v>
      </c>
      <c r="R1833" t="s">
        <v>184</v>
      </c>
      <c r="S1833" t="s">
        <v>125</v>
      </c>
      <c r="W1833">
        <v>0</v>
      </c>
      <c r="X1833">
        <v>0</v>
      </c>
      <c r="AH1833">
        <v>5</v>
      </c>
      <c r="AJ1833" t="s">
        <v>4712</v>
      </c>
      <c r="AK1833" t="s">
        <v>129</v>
      </c>
      <c r="AL1833" t="str">
        <f>HYPERLINK("http://feedbackphotos.wbstatic.net/feedbacks/1132/11323741/16dd1987-c79e-4c11-a892-fff96ea12d9e_fs.jpg")</f>
        <v>http://feedbackphotos.wbstatic.net/feedbacks/1132/11323741/16dd1987-c79e-4c11-a892-fff96ea12d9e_fs.jpg</v>
      </c>
      <c r="AM1833" t="s">
        <v>129</v>
      </c>
      <c r="AN1833" t="s">
        <v>130</v>
      </c>
      <c r="AP1833" t="s">
        <v>41</v>
      </c>
      <c r="AT1833" t="s">
        <v>45</v>
      </c>
      <c r="AZ1833" t="s">
        <v>51</v>
      </c>
      <c r="BA1833" t="s">
        <v>52</v>
      </c>
      <c r="BL1833" t="s">
        <v>63</v>
      </c>
    </row>
    <row r="1834" spans="1:69" x14ac:dyDescent="0.2">
      <c r="A1834" t="s">
        <v>6591</v>
      </c>
      <c r="B1834" t="s">
        <v>5530</v>
      </c>
      <c r="C1834" t="s">
        <v>6658</v>
      </c>
      <c r="D1834" t="s">
        <v>945</v>
      </c>
      <c r="E1834" t="s">
        <v>6659</v>
      </c>
      <c r="F1834" t="s">
        <v>180</v>
      </c>
      <c r="G1834" t="str">
        <f>HYPERLINK("https://www.ozon.ru/context/detail/id/168022785/#60111330")</f>
        <v>https://www.ozon.ru/context/detail/id/168022785/#60111330</v>
      </c>
      <c r="H1834" t="s">
        <v>119</v>
      </c>
      <c r="I1834" t="s">
        <v>6660</v>
      </c>
      <c r="J1834" t="str">
        <f>HYPERLINK("https://www.ozon.ru/context/client_opinion/ClientGuid/ca3cf5d9-fcc5-4945-a425-8ea0a9501b43/")</f>
        <v>https://www.ozon.ru/context/client_opinion/ClientGuid/ca3cf5d9-fcc5-4945-a425-8ea0a9501b43/</v>
      </c>
      <c r="L1834" t="s">
        <v>121</v>
      </c>
      <c r="N1834" t="s">
        <v>183</v>
      </c>
      <c r="O1834" t="s">
        <v>945</v>
      </c>
      <c r="P1834" t="str">
        <f>HYPERLINK("https://www.ozon.ru/context/detail/id/168022785/")</f>
        <v>https://www.ozon.ru/context/detail/id/168022785/</v>
      </c>
      <c r="R1834" t="s">
        <v>184</v>
      </c>
      <c r="S1834" t="s">
        <v>125</v>
      </c>
      <c r="W1834">
        <v>0</v>
      </c>
      <c r="X1834">
        <v>0</v>
      </c>
      <c r="AH1834">
        <v>1</v>
      </c>
      <c r="AJ1834" t="s">
        <v>129</v>
      </c>
      <c r="AK1834" t="s">
        <v>129</v>
      </c>
      <c r="AL1834" t="str">
        <f>HYPERLINK("https://cdn1.ozone.ru/s3/rp-photo-3/14679ed4-d58d-4850-8920-bc66062da7bf.jpeg")</f>
        <v>https://cdn1.ozone.ru/s3/rp-photo-3/14679ed4-d58d-4850-8920-bc66062da7bf.jpeg</v>
      </c>
      <c r="AM1834" t="s">
        <v>129</v>
      </c>
      <c r="AN1834" t="s">
        <v>130</v>
      </c>
      <c r="AP1834" t="s">
        <v>41</v>
      </c>
      <c r="AZ1834" t="s">
        <v>51</v>
      </c>
      <c r="BA1834" t="s">
        <v>52</v>
      </c>
      <c r="BO1834" t="s">
        <v>66</v>
      </c>
    </row>
    <row r="1835" spans="1:69" x14ac:dyDescent="0.2">
      <c r="A1835" t="s">
        <v>6591</v>
      </c>
      <c r="B1835" t="s">
        <v>2396</v>
      </c>
      <c r="C1835" t="s">
        <v>6661</v>
      </c>
      <c r="D1835" t="s">
        <v>6068</v>
      </c>
      <c r="E1835" t="s">
        <v>6662</v>
      </c>
      <c r="F1835" t="s">
        <v>118</v>
      </c>
      <c r="G1835" t="str">
        <f>HYPERLINK("https://ok.ru/group/53918693523698/topic/153728707247602#MTYyNjU0MjUzNjQ4MDotODc0OToxNjI2NTQyNTM2NDgwOjE1MzcyODcwNzI0NzYwMjox")</f>
        <v>https://ok.ru/group/53918693523698/topic/153728707247602#MTYyNjU0MjUzNjQ4MDotODc0OToxNjI2NTQyNTM2NDgwOjE1MzcyODcwNzI0NzYwMjox</v>
      </c>
      <c r="H1835" t="s">
        <v>119</v>
      </c>
      <c r="I1835" t="s">
        <v>6663</v>
      </c>
      <c r="J1835" t="str">
        <f>HYPERLINK("https://ok.ru/profile/505017309270")</f>
        <v>https://ok.ru/profile/505017309270</v>
      </c>
      <c r="K1835">
        <v>157</v>
      </c>
      <c r="L1835" t="s">
        <v>151</v>
      </c>
      <c r="N1835" t="s">
        <v>347</v>
      </c>
      <c r="O1835" t="s">
        <v>6071</v>
      </c>
      <c r="P1835" t="str">
        <f>HYPERLINK("https://ok.ru/group/53918693523698")</f>
        <v>https://ok.ru/group/53918693523698</v>
      </c>
      <c r="Q1835">
        <v>17454</v>
      </c>
      <c r="R1835" t="s">
        <v>124</v>
      </c>
      <c r="S1835" t="s">
        <v>125</v>
      </c>
      <c r="T1835" t="s">
        <v>256</v>
      </c>
      <c r="U1835" t="s">
        <v>6372</v>
      </c>
      <c r="W1835">
        <v>0</v>
      </c>
      <c r="X1835">
        <v>0</v>
      </c>
      <c r="AM1835" t="s">
        <v>129</v>
      </c>
      <c r="AN1835" t="s">
        <v>130</v>
      </c>
      <c r="AP1835" t="s">
        <v>41</v>
      </c>
      <c r="AW1835" t="s">
        <v>48</v>
      </c>
      <c r="AZ1835" t="s">
        <v>51</v>
      </c>
      <c r="BA1835" t="s">
        <v>52</v>
      </c>
    </row>
    <row r="1836" spans="1:69" x14ac:dyDescent="0.2">
      <c r="A1836" t="s">
        <v>6591</v>
      </c>
      <c r="B1836" t="s">
        <v>4175</v>
      </c>
      <c r="C1836" t="s">
        <v>6664</v>
      </c>
      <c r="D1836" t="s">
        <v>6665</v>
      </c>
      <c r="E1836" t="s">
        <v>6666</v>
      </c>
      <c r="F1836" t="s">
        <v>118</v>
      </c>
      <c r="G1836" t="str">
        <f>HYPERLINK("https://vk.com/wall-14098618_8615?reply=8655&amp;thread=8622")</f>
        <v>https://vk.com/wall-14098618_8615?reply=8655&amp;thread=8622</v>
      </c>
      <c r="H1836" t="s">
        <v>119</v>
      </c>
      <c r="I1836" t="s">
        <v>6667</v>
      </c>
      <c r="J1836" t="str">
        <f>HYPERLINK("http://vk.com/id488613553")</f>
        <v>http://vk.com/id488613553</v>
      </c>
      <c r="K1836">
        <v>22</v>
      </c>
      <c r="L1836" t="s">
        <v>151</v>
      </c>
      <c r="N1836" t="s">
        <v>122</v>
      </c>
      <c r="O1836" t="s">
        <v>1663</v>
      </c>
      <c r="P1836" t="str">
        <f>HYPERLINK("http://vk.com/club14098618")</f>
        <v>http://vk.com/club14098618</v>
      </c>
      <c r="Q1836">
        <v>4681</v>
      </c>
      <c r="R1836" t="s">
        <v>124</v>
      </c>
      <c r="S1836" t="s">
        <v>125</v>
      </c>
      <c r="T1836" t="s">
        <v>2225</v>
      </c>
      <c r="U1836" t="s">
        <v>6668</v>
      </c>
      <c r="AM1836" t="s">
        <v>129</v>
      </c>
      <c r="AN1836" t="s">
        <v>130</v>
      </c>
      <c r="AP1836" t="s">
        <v>41</v>
      </c>
      <c r="AT1836" t="s">
        <v>45</v>
      </c>
      <c r="AW1836" t="s">
        <v>48</v>
      </c>
      <c r="BA1836" t="s">
        <v>52</v>
      </c>
      <c r="BE1836" t="s">
        <v>56</v>
      </c>
      <c r="BM1836" t="s">
        <v>64</v>
      </c>
    </row>
    <row r="1837" spans="1:69" x14ac:dyDescent="0.2">
      <c r="A1837" t="s">
        <v>6591</v>
      </c>
      <c r="B1837" t="s">
        <v>6669</v>
      </c>
      <c r="C1837" t="s">
        <v>6670</v>
      </c>
      <c r="D1837" t="s">
        <v>6671</v>
      </c>
      <c r="E1837" t="s">
        <v>6672</v>
      </c>
      <c r="F1837" t="s">
        <v>180</v>
      </c>
      <c r="G1837" t="str">
        <f>HYPERLINK("https://www.wildberries.ru/catalog/13957716/detail.aspx?targetUrl=ES#Comments")</f>
        <v>https://www.wildberries.ru/catalog/13957716/detail.aspx?targetUrl=ES#Comments</v>
      </c>
      <c r="H1837" t="s">
        <v>181</v>
      </c>
      <c r="I1837" t="s">
        <v>1650</v>
      </c>
      <c r="J1837" t="str">
        <f>HYPERLINK("https://www.wildberries.ru/profile/w7TDssOkw7PCu8KwwrPCtsK1wrPCssK5wrU=")</f>
        <v>https://www.wildberries.ru/profile/w7TDssOkw7PCu8KwwrPCtsK1wrPCssK5wrU=</v>
      </c>
      <c r="L1837" t="s">
        <v>151</v>
      </c>
      <c r="N1837" t="s">
        <v>534</v>
      </c>
      <c r="O1837" t="s">
        <v>6671</v>
      </c>
      <c r="P1837" t="str">
        <f>HYPERLINK("https://www.wildberries.ru/catalog/10443118/detail.aspx")</f>
        <v>https://www.wildberries.ru/catalog/10443118/detail.aspx</v>
      </c>
      <c r="R1837" t="s">
        <v>184</v>
      </c>
      <c r="S1837" t="s">
        <v>125</v>
      </c>
      <c r="W1837">
        <v>0</v>
      </c>
      <c r="X1837">
        <v>0</v>
      </c>
      <c r="AH1837">
        <v>5</v>
      </c>
      <c r="AM1837" t="s">
        <v>129</v>
      </c>
      <c r="AN1837" t="s">
        <v>130</v>
      </c>
      <c r="AP1837" t="s">
        <v>41</v>
      </c>
      <c r="AZ1837" t="s">
        <v>51</v>
      </c>
      <c r="BA1837" t="s">
        <v>52</v>
      </c>
      <c r="BK1837" t="s">
        <v>62</v>
      </c>
      <c r="BL1837" t="s">
        <v>63</v>
      </c>
    </row>
    <row r="1838" spans="1:69" x14ac:dyDescent="0.2">
      <c r="A1838" t="s">
        <v>6591</v>
      </c>
      <c r="B1838" t="s">
        <v>5569</v>
      </c>
      <c r="C1838" t="s">
        <v>6661</v>
      </c>
      <c r="D1838" t="s">
        <v>6068</v>
      </c>
      <c r="E1838" t="s">
        <v>6673</v>
      </c>
      <c r="F1838" t="s">
        <v>118</v>
      </c>
      <c r="G1838" t="str">
        <f>HYPERLINK("https://ok.ru/group/53918693523698/topic/153728707247602#MTYyNjU0MDc5MTMzMTotMTQ3NTk6MTYyNjU0MDc5MTMzMToxNTM3Mjg3MDcyNDc2MDI6MQ==")</f>
        <v>https://ok.ru/group/53918693523698/topic/153728707247602#MTYyNjU0MDc5MTMzMTotMTQ3NTk6MTYyNjU0MDc5MTMzMToxNTM3Mjg3MDcyNDc2MDI6MQ==</v>
      </c>
      <c r="H1838" t="s">
        <v>228</v>
      </c>
      <c r="I1838" t="s">
        <v>6674</v>
      </c>
      <c r="J1838" t="str">
        <f>HYPERLINK("https://ok.ru/profile/568230208708")</f>
        <v>https://ok.ru/profile/568230208708</v>
      </c>
      <c r="K1838">
        <v>101</v>
      </c>
      <c r="L1838" t="s">
        <v>121</v>
      </c>
      <c r="M1838">
        <v>58</v>
      </c>
      <c r="N1838" t="s">
        <v>347</v>
      </c>
      <c r="O1838" t="s">
        <v>6071</v>
      </c>
      <c r="P1838" t="str">
        <f>HYPERLINK("https://ok.ru/group/53918693523698")</f>
        <v>https://ok.ru/group/53918693523698</v>
      </c>
      <c r="Q1838">
        <v>17454</v>
      </c>
      <c r="R1838" t="s">
        <v>124</v>
      </c>
      <c r="S1838" t="s">
        <v>125</v>
      </c>
      <c r="T1838" t="s">
        <v>256</v>
      </c>
      <c r="U1838" t="s">
        <v>6372</v>
      </c>
      <c r="W1838">
        <v>0</v>
      </c>
      <c r="X1838">
        <v>0</v>
      </c>
      <c r="AM1838" t="s">
        <v>129</v>
      </c>
      <c r="AN1838" t="s">
        <v>130</v>
      </c>
      <c r="AP1838" t="s">
        <v>41</v>
      </c>
      <c r="AW1838" t="s">
        <v>48</v>
      </c>
      <c r="AZ1838" t="s">
        <v>51</v>
      </c>
      <c r="BA1838" t="s">
        <v>52</v>
      </c>
    </row>
    <row r="1839" spans="1:69" x14ac:dyDescent="0.2">
      <c r="A1839" t="s">
        <v>6591</v>
      </c>
      <c r="B1839" t="s">
        <v>4213</v>
      </c>
      <c r="C1839" t="s">
        <v>6661</v>
      </c>
      <c r="D1839" t="s">
        <v>6068</v>
      </c>
      <c r="E1839" t="s">
        <v>6675</v>
      </c>
      <c r="F1839" t="s">
        <v>118</v>
      </c>
      <c r="G1839" t="str">
        <f>HYPERLINK("https://ok.ru/group/53918693523698/topic/153728707247602#MTYyNjUzODg5NDg4OTotOTUxNToxNjI2NTM4ODk0ODg5OjE1MzcyODcwNzI0NzYwMjox")</f>
        <v>https://ok.ru/group/53918693523698/topic/153728707247602#MTYyNjUzODg5NDg4OTotOTUxNToxNjI2NTM4ODk0ODg5OjE1MzcyODcwNzI0NzYwMjox</v>
      </c>
      <c r="H1839" t="s">
        <v>181</v>
      </c>
      <c r="I1839" t="s">
        <v>6676</v>
      </c>
      <c r="J1839" t="str">
        <f>HYPERLINK("https://ok.ru/profile/354013245762")</f>
        <v>https://ok.ru/profile/354013245762</v>
      </c>
      <c r="K1839">
        <v>74</v>
      </c>
      <c r="L1839" t="s">
        <v>151</v>
      </c>
      <c r="N1839" t="s">
        <v>347</v>
      </c>
      <c r="O1839" t="s">
        <v>6071</v>
      </c>
      <c r="P1839" t="str">
        <f>HYPERLINK("https://ok.ru/group/53918693523698")</f>
        <v>https://ok.ru/group/53918693523698</v>
      </c>
      <c r="Q1839">
        <v>17454</v>
      </c>
      <c r="R1839" t="s">
        <v>124</v>
      </c>
      <c r="S1839" t="s">
        <v>125</v>
      </c>
      <c r="W1839">
        <v>1</v>
      </c>
      <c r="X1839">
        <v>1</v>
      </c>
      <c r="AM1839" t="s">
        <v>129</v>
      </c>
      <c r="AN1839" t="s">
        <v>130</v>
      </c>
      <c r="AP1839" t="s">
        <v>41</v>
      </c>
      <c r="AT1839" t="s">
        <v>45</v>
      </c>
      <c r="AW1839" t="s">
        <v>48</v>
      </c>
      <c r="AZ1839" t="s">
        <v>51</v>
      </c>
      <c r="BA1839" t="s">
        <v>52</v>
      </c>
    </row>
    <row r="1840" spans="1:69" x14ac:dyDescent="0.2">
      <c r="A1840" t="s">
        <v>6591</v>
      </c>
      <c r="B1840" t="s">
        <v>4653</v>
      </c>
      <c r="C1840" t="s">
        <v>6677</v>
      </c>
      <c r="D1840" t="s">
        <v>6678</v>
      </c>
      <c r="E1840" t="s">
        <v>6679</v>
      </c>
      <c r="F1840" t="s">
        <v>118</v>
      </c>
      <c r="G1840" t="str">
        <f>HYPERLINK("https://vk.com/wall-102890944_1121564?reply=1121594")</f>
        <v>https://vk.com/wall-102890944_1121564?reply=1121594</v>
      </c>
      <c r="H1840" t="s">
        <v>181</v>
      </c>
      <c r="I1840" t="s">
        <v>6680</v>
      </c>
      <c r="J1840" t="str">
        <f>HYPERLINK("http://vk.com/id101599391")</f>
        <v>http://vk.com/id101599391</v>
      </c>
      <c r="K1840">
        <v>369</v>
      </c>
      <c r="L1840" t="s">
        <v>151</v>
      </c>
      <c r="N1840" t="s">
        <v>122</v>
      </c>
      <c r="O1840" t="s">
        <v>6681</v>
      </c>
      <c r="P1840" t="str">
        <f>HYPERLINK("http://vk.com/club102890944")</f>
        <v>http://vk.com/club102890944</v>
      </c>
      <c r="Q1840">
        <v>35134</v>
      </c>
      <c r="R1840" t="s">
        <v>124</v>
      </c>
      <c r="S1840" t="s">
        <v>125</v>
      </c>
      <c r="AM1840" t="s">
        <v>129</v>
      </c>
      <c r="AN1840" t="s">
        <v>130</v>
      </c>
      <c r="AP1840" t="s">
        <v>41</v>
      </c>
      <c r="AW1840" t="s">
        <v>48</v>
      </c>
      <c r="AZ1840" t="s">
        <v>51</v>
      </c>
      <c r="BA1840" t="s">
        <v>52</v>
      </c>
    </row>
    <row r="1841" spans="1:89" x14ac:dyDescent="0.2">
      <c r="A1841" t="s">
        <v>6591</v>
      </c>
      <c r="B1841" t="s">
        <v>6682</v>
      </c>
      <c r="C1841" t="s">
        <v>6683</v>
      </c>
      <c r="D1841" t="s">
        <v>6684</v>
      </c>
      <c r="E1841" t="s">
        <v>6685</v>
      </c>
      <c r="F1841" t="s">
        <v>118</v>
      </c>
      <c r="G1841" t="str">
        <f>HYPERLINK("https://www.youtube.com/watch?v=dBw6_b3AsuY&amp;lc=UgwNZUHe0yxUyoipFbt4AaABAg")</f>
        <v>https://www.youtube.com/watch?v=dBw6_b3AsuY&amp;lc=UgwNZUHe0yxUyoipFbt4AaABAg</v>
      </c>
      <c r="H1841" t="s">
        <v>119</v>
      </c>
      <c r="I1841" t="s">
        <v>6686</v>
      </c>
      <c r="J1841" t="str">
        <f>HYPERLINK("https://www.youtube.com/channel/UCgrNuL3UAUQelI321PbXwAA")</f>
        <v>https://www.youtube.com/channel/UCgrNuL3UAUQelI321PbXwAA</v>
      </c>
      <c r="K1841">
        <v>0</v>
      </c>
      <c r="L1841" t="s">
        <v>121</v>
      </c>
      <c r="N1841" t="s">
        <v>248</v>
      </c>
      <c r="O1841" t="s">
        <v>6687</v>
      </c>
      <c r="P1841" t="str">
        <f>HYPERLINK("https://www.youtube.com/channel/UCGA5WbTknsqqFvlUd2auUEg")</f>
        <v>https://www.youtube.com/channel/UCGA5WbTknsqqFvlUd2auUEg</v>
      </c>
      <c r="Q1841">
        <v>2170</v>
      </c>
      <c r="R1841" t="s">
        <v>124</v>
      </c>
      <c r="W1841">
        <v>1</v>
      </c>
      <c r="X1841">
        <v>1</v>
      </c>
      <c r="AE1841">
        <v>0</v>
      </c>
      <c r="AM1841" t="s">
        <v>129</v>
      </c>
      <c r="AN1841" t="s">
        <v>130</v>
      </c>
      <c r="AP1841" t="s">
        <v>41</v>
      </c>
      <c r="AT1841" t="s">
        <v>45</v>
      </c>
      <c r="AZ1841" t="s">
        <v>51</v>
      </c>
      <c r="BA1841" t="s">
        <v>52</v>
      </c>
      <c r="BM1841" t="s">
        <v>64</v>
      </c>
    </row>
    <row r="1842" spans="1:89" x14ac:dyDescent="0.2">
      <c r="A1842" t="s">
        <v>6591</v>
      </c>
      <c r="B1842" t="s">
        <v>2472</v>
      </c>
      <c r="C1842" t="s">
        <v>6688</v>
      </c>
      <c r="D1842" t="s">
        <v>6689</v>
      </c>
      <c r="E1842" t="s">
        <v>6690</v>
      </c>
      <c r="F1842" t="s">
        <v>180</v>
      </c>
      <c r="G1842" t="str">
        <f>HYPERLINK("https://www.ozon.ru/context/detail/id/172324132/#60089366")</f>
        <v>https://www.ozon.ru/context/detail/id/172324132/#60089366</v>
      </c>
      <c r="H1842" t="s">
        <v>181</v>
      </c>
      <c r="I1842" t="s">
        <v>6691</v>
      </c>
      <c r="J1842" t="str">
        <f>HYPERLINK("https://www.ozon.ru/context/client_opinion/ClientGuid/8c165717-1657-4f18-afce-f79c3eed31bd/")</f>
        <v>https://www.ozon.ru/context/client_opinion/ClientGuid/8c165717-1657-4f18-afce-f79c3eed31bd/</v>
      </c>
      <c r="L1842" t="s">
        <v>151</v>
      </c>
      <c r="N1842" t="s">
        <v>183</v>
      </c>
      <c r="O1842" t="s">
        <v>6689</v>
      </c>
      <c r="P1842" t="str">
        <f>HYPERLINK("https://www.ozon.ru/context/detail/id/172324132/")</f>
        <v>https://www.ozon.ru/context/detail/id/172324132/</v>
      </c>
      <c r="R1842" t="s">
        <v>184</v>
      </c>
      <c r="S1842" t="s">
        <v>125</v>
      </c>
      <c r="W1842">
        <v>0</v>
      </c>
      <c r="X1842">
        <v>0</v>
      </c>
      <c r="AH1842">
        <v>5</v>
      </c>
      <c r="AM1842" t="s">
        <v>129</v>
      </c>
      <c r="AN1842" t="s">
        <v>130</v>
      </c>
      <c r="AP1842" t="s">
        <v>41</v>
      </c>
      <c r="AT1842" t="s">
        <v>45</v>
      </c>
      <c r="AZ1842" t="s">
        <v>51</v>
      </c>
      <c r="BA1842" t="s">
        <v>52</v>
      </c>
      <c r="BL1842" t="s">
        <v>63</v>
      </c>
    </row>
    <row r="1843" spans="1:89" x14ac:dyDescent="0.2">
      <c r="A1843" t="s">
        <v>6591</v>
      </c>
      <c r="B1843" t="s">
        <v>337</v>
      </c>
      <c r="C1843" t="s">
        <v>6692</v>
      </c>
      <c r="D1843" t="s">
        <v>129</v>
      </c>
      <c r="E1843" t="s">
        <v>6693</v>
      </c>
      <c r="F1843" t="s">
        <v>180</v>
      </c>
      <c r="G1843" t="str">
        <f>HYPERLINK("https://www.facebook.com/tricolortv/posts/4092682124119360")</f>
        <v>https://www.facebook.com/tricolortv/posts/4092682124119360</v>
      </c>
      <c r="H1843" t="s">
        <v>119</v>
      </c>
      <c r="I1843" t="s">
        <v>175</v>
      </c>
      <c r="J1843" t="str">
        <f>HYPERLINK("https://www.facebook.com/206198386101106")</f>
        <v>https://www.facebook.com/206198386101106</v>
      </c>
      <c r="K1843">
        <v>16432</v>
      </c>
      <c r="L1843" t="s">
        <v>340</v>
      </c>
      <c r="N1843" t="s">
        <v>305</v>
      </c>
      <c r="O1843" t="s">
        <v>175</v>
      </c>
      <c r="P1843" t="str">
        <f>HYPERLINK("https://www.facebook.com/206198386101106")</f>
        <v>https://www.facebook.com/206198386101106</v>
      </c>
      <c r="Q1843">
        <v>16432</v>
      </c>
      <c r="R1843" t="s">
        <v>124</v>
      </c>
      <c r="W1843">
        <v>2</v>
      </c>
      <c r="X1843">
        <v>2</v>
      </c>
      <c r="Y1843">
        <v>0</v>
      </c>
      <c r="Z1843">
        <v>0</v>
      </c>
      <c r="AA1843">
        <v>0</v>
      </c>
      <c r="AB1843">
        <v>0</v>
      </c>
      <c r="AC1843">
        <v>0</v>
      </c>
      <c r="AE1843">
        <v>1</v>
      </c>
      <c r="AF1843">
        <v>0</v>
      </c>
      <c r="AJ1843" t="s">
        <v>341</v>
      </c>
      <c r="AK1843" t="s">
        <v>342</v>
      </c>
      <c r="AL1843" t="s">
        <v>6694</v>
      </c>
      <c r="AM1843" t="s">
        <v>129</v>
      </c>
      <c r="AN1843" t="s">
        <v>130</v>
      </c>
      <c r="BI1843" t="s">
        <v>60</v>
      </c>
    </row>
    <row r="1844" spans="1:89" x14ac:dyDescent="0.2">
      <c r="A1844" t="s">
        <v>6591</v>
      </c>
      <c r="B1844" t="s">
        <v>337</v>
      </c>
      <c r="C1844" t="s">
        <v>6695</v>
      </c>
      <c r="D1844" t="s">
        <v>6696</v>
      </c>
      <c r="E1844" t="s">
        <v>6697</v>
      </c>
      <c r="F1844" t="s">
        <v>180</v>
      </c>
      <c r="G1844" t="str">
        <f>HYPERLINK("https://ok.ru/group/51085510115462/topic/153458149598598")</f>
        <v>https://ok.ru/group/51085510115462/topic/153458149598598</v>
      </c>
      <c r="H1844" t="s">
        <v>119</v>
      </c>
      <c r="I1844" t="s">
        <v>175</v>
      </c>
      <c r="J1844" t="str">
        <f>HYPERLINK("https://ok.ru/group/51085510115462")</f>
        <v>https://ok.ru/group/51085510115462</v>
      </c>
      <c r="K1844">
        <v>94768</v>
      </c>
      <c r="L1844" t="s">
        <v>340</v>
      </c>
      <c r="N1844" t="s">
        <v>347</v>
      </c>
      <c r="O1844" t="s">
        <v>175</v>
      </c>
      <c r="P1844" t="str">
        <f>HYPERLINK("https://ok.ru/group/51085510115462")</f>
        <v>https://ok.ru/group/51085510115462</v>
      </c>
      <c r="Q1844">
        <v>94768</v>
      </c>
      <c r="R1844" t="s">
        <v>124</v>
      </c>
      <c r="W1844">
        <v>13</v>
      </c>
      <c r="X1844">
        <v>13</v>
      </c>
      <c r="Y1844">
        <v>0</v>
      </c>
      <c r="Z1844">
        <v>0</v>
      </c>
      <c r="AA1844">
        <v>0</v>
      </c>
      <c r="AB1844">
        <v>0</v>
      </c>
      <c r="AE1844">
        <v>0</v>
      </c>
      <c r="AF1844">
        <v>1</v>
      </c>
      <c r="AJ1844" t="s">
        <v>341</v>
      </c>
      <c r="AK1844" t="s">
        <v>342</v>
      </c>
      <c r="AL1844" t="str">
        <f>HYPERLINK("https://i.mycdn.me/image?id=918650041478&amp;t=20&amp;plc=API&amp;aid=1131601408&amp;tkn=*oVg4doRjVWncYEpuxq33Tvcild4")</f>
        <v>https://i.mycdn.me/image?id=918650041478&amp;t=20&amp;plc=API&amp;aid=1131601408&amp;tkn=*oVg4doRjVWncYEpuxq33Tvcild4</v>
      </c>
      <c r="AM1844" t="s">
        <v>129</v>
      </c>
      <c r="AN1844" t="s">
        <v>130</v>
      </c>
      <c r="BI1844" t="s">
        <v>60</v>
      </c>
    </row>
    <row r="1845" spans="1:89" x14ac:dyDescent="0.2">
      <c r="A1845" t="s">
        <v>6591</v>
      </c>
      <c r="B1845" t="s">
        <v>910</v>
      </c>
      <c r="C1845" t="s">
        <v>6698</v>
      </c>
      <c r="D1845" t="s">
        <v>129</v>
      </c>
      <c r="E1845" t="s">
        <v>6699</v>
      </c>
      <c r="F1845" t="s">
        <v>180</v>
      </c>
      <c r="G1845" t="str">
        <f>HYPERLINK("https://twitter.com/360582757/status/1416411688874676227")</f>
        <v>https://twitter.com/360582757/status/1416411688874676227</v>
      </c>
      <c r="H1845" t="s">
        <v>119</v>
      </c>
      <c r="I1845" t="s">
        <v>175</v>
      </c>
      <c r="J1845" t="str">
        <f>HYPERLINK("http://twitter.com/tricolortv")</f>
        <v>http://twitter.com/tricolortv</v>
      </c>
      <c r="K1845">
        <v>5663</v>
      </c>
      <c r="N1845" t="s">
        <v>350</v>
      </c>
      <c r="R1845" t="s">
        <v>124</v>
      </c>
      <c r="S1845" t="s">
        <v>125</v>
      </c>
      <c r="T1845" t="s">
        <v>137</v>
      </c>
      <c r="U1845" t="s">
        <v>137</v>
      </c>
      <c r="W1845">
        <v>0</v>
      </c>
      <c r="X1845">
        <v>0</v>
      </c>
      <c r="AE1845">
        <v>0</v>
      </c>
      <c r="AF1845">
        <v>0</v>
      </c>
      <c r="AJ1845" t="s">
        <v>3703</v>
      </c>
      <c r="AK1845" t="s">
        <v>129</v>
      </c>
      <c r="AL1845" t="str">
        <f>HYPERLINK("https://pbs.twimg.com/media/E6ga6mjXIAs8lE0.jpg")</f>
        <v>https://pbs.twimg.com/media/E6ga6mjXIAs8lE0.jpg</v>
      </c>
      <c r="AM1845" t="s">
        <v>129</v>
      </c>
      <c r="AN1845" t="s">
        <v>130</v>
      </c>
      <c r="BI1845" t="s">
        <v>60</v>
      </c>
    </row>
    <row r="1846" spans="1:89" x14ac:dyDescent="0.2">
      <c r="A1846" t="s">
        <v>6591</v>
      </c>
      <c r="B1846" t="s">
        <v>913</v>
      </c>
      <c r="C1846" t="s">
        <v>6661</v>
      </c>
      <c r="D1846" t="s">
        <v>6068</v>
      </c>
      <c r="E1846" t="s">
        <v>6700</v>
      </c>
      <c r="F1846" t="s">
        <v>118</v>
      </c>
      <c r="G1846" t="str">
        <f>HYPERLINK("https://ok.ru/group/53918693523698/topic/153728707247602#MTYyNjUzMzcxODExOTotMTU1MDU6MTYyNjUzMzcxODExOToxNTM3Mjg3MDcyNDc2MDI6MQ==")</f>
        <v>https://ok.ru/group/53918693523698/topic/153728707247602#MTYyNjUzMzcxODExOTotMTU1MDU6MTYyNjUzMzcxODExOToxNTM3Mjg3MDcyNDc2MDI6MQ==</v>
      </c>
      <c r="H1846" t="s">
        <v>228</v>
      </c>
      <c r="I1846" t="s">
        <v>6701</v>
      </c>
      <c r="J1846" t="str">
        <f>HYPERLINK("https://ok.ru/profile/589112910655")</f>
        <v>https://ok.ru/profile/589112910655</v>
      </c>
      <c r="K1846">
        <v>43</v>
      </c>
      <c r="L1846" t="s">
        <v>121</v>
      </c>
      <c r="M1846">
        <v>33</v>
      </c>
      <c r="N1846" t="s">
        <v>347</v>
      </c>
      <c r="O1846" t="s">
        <v>6071</v>
      </c>
      <c r="P1846" t="str">
        <f>HYPERLINK("https://ok.ru/group/53918693523698")</f>
        <v>https://ok.ru/group/53918693523698</v>
      </c>
      <c r="Q1846">
        <v>17454</v>
      </c>
      <c r="R1846" t="s">
        <v>124</v>
      </c>
      <c r="S1846" t="s">
        <v>125</v>
      </c>
      <c r="T1846" t="s">
        <v>256</v>
      </c>
      <c r="U1846" t="s">
        <v>6372</v>
      </c>
      <c r="W1846">
        <v>0</v>
      </c>
      <c r="X1846">
        <v>0</v>
      </c>
      <c r="AM1846" t="s">
        <v>129</v>
      </c>
      <c r="AN1846" t="s">
        <v>130</v>
      </c>
      <c r="AP1846" t="s">
        <v>41</v>
      </c>
      <c r="AW1846" t="s">
        <v>48</v>
      </c>
      <c r="AZ1846" t="s">
        <v>51</v>
      </c>
      <c r="BA1846" t="s">
        <v>52</v>
      </c>
    </row>
    <row r="1847" spans="1:89" x14ac:dyDescent="0.2">
      <c r="A1847" t="s">
        <v>6591</v>
      </c>
      <c r="B1847" t="s">
        <v>2996</v>
      </c>
      <c r="C1847" t="s">
        <v>6702</v>
      </c>
      <c r="D1847" t="s">
        <v>6703</v>
      </c>
      <c r="E1847" t="s">
        <v>6704</v>
      </c>
      <c r="F1847" t="s">
        <v>118</v>
      </c>
      <c r="G1847" t="str">
        <f>HYPERLINK("https://vk.com/wall-111208100_346193?reply=346211")</f>
        <v>https://vk.com/wall-111208100_346193?reply=346211</v>
      </c>
      <c r="H1847" t="s">
        <v>119</v>
      </c>
      <c r="I1847" t="s">
        <v>6705</v>
      </c>
      <c r="J1847" t="str">
        <f>HYPERLINK("http://vk.com/id332216311")</f>
        <v>http://vk.com/id332216311</v>
      </c>
      <c r="K1847">
        <v>585</v>
      </c>
      <c r="L1847" t="s">
        <v>151</v>
      </c>
      <c r="M1847">
        <v>33</v>
      </c>
      <c r="N1847" t="s">
        <v>122</v>
      </c>
      <c r="O1847" t="s">
        <v>6706</v>
      </c>
      <c r="P1847" t="str">
        <f>HYPERLINK("http://vk.com/club111208100")</f>
        <v>http://vk.com/club111208100</v>
      </c>
      <c r="Q1847">
        <v>15132</v>
      </c>
      <c r="R1847" t="s">
        <v>124</v>
      </c>
      <c r="S1847" t="s">
        <v>125</v>
      </c>
      <c r="T1847" t="s">
        <v>161</v>
      </c>
      <c r="U1847" t="s">
        <v>6707</v>
      </c>
      <c r="AM1847" t="s">
        <v>129</v>
      </c>
      <c r="AN1847" t="s">
        <v>130</v>
      </c>
      <c r="AP1847" t="s">
        <v>41</v>
      </c>
      <c r="AZ1847" t="s">
        <v>51</v>
      </c>
      <c r="BA1847" t="s">
        <v>52</v>
      </c>
      <c r="BL1847" t="s">
        <v>63</v>
      </c>
    </row>
    <row r="1848" spans="1:89" x14ac:dyDescent="0.2">
      <c r="A1848" t="s">
        <v>6591</v>
      </c>
      <c r="B1848" t="s">
        <v>1458</v>
      </c>
      <c r="C1848" t="s">
        <v>6670</v>
      </c>
      <c r="D1848" t="s">
        <v>5510</v>
      </c>
      <c r="E1848" t="s">
        <v>6708</v>
      </c>
      <c r="F1848" t="s">
        <v>180</v>
      </c>
      <c r="G1848" t="str">
        <f>HYPERLINK("https://www.wildberries.ru/catalog/12853209/detail.aspx?targetUrl=ES#Comments")</f>
        <v>https://www.wildberries.ru/catalog/12853209/detail.aspx?targetUrl=ES#Comments</v>
      </c>
      <c r="H1848" t="s">
        <v>181</v>
      </c>
      <c r="I1848" t="s">
        <v>1650</v>
      </c>
      <c r="J1848" t="str">
        <f>HYPERLINK("https://www.wildberries.ru/profile/w7TDssOkw7PCu8KzwrXCscK0wrHCtcK5wrE=")</f>
        <v>https://www.wildberries.ru/profile/w7TDssOkw7PCu8KzwrXCscK0wrHCtcK5wrE=</v>
      </c>
      <c r="L1848" t="s">
        <v>151</v>
      </c>
      <c r="N1848" t="s">
        <v>534</v>
      </c>
      <c r="O1848" t="s">
        <v>5512</v>
      </c>
      <c r="P1848" t="str">
        <f>HYPERLINK("https://www.wildberries.ru/catalog/9640919/detail.aspx")</f>
        <v>https://www.wildberries.ru/catalog/9640919/detail.aspx</v>
      </c>
      <c r="R1848" t="s">
        <v>184</v>
      </c>
      <c r="S1848" t="s">
        <v>125</v>
      </c>
      <c r="W1848">
        <v>0</v>
      </c>
      <c r="X1848">
        <v>0</v>
      </c>
      <c r="AH1848">
        <v>5</v>
      </c>
      <c r="AM1848" t="s">
        <v>129</v>
      </c>
      <c r="AN1848" t="s">
        <v>130</v>
      </c>
      <c r="AP1848" t="s">
        <v>41</v>
      </c>
      <c r="AZ1848" t="s">
        <v>51</v>
      </c>
      <c r="BA1848" t="s">
        <v>52</v>
      </c>
      <c r="BK1848" t="s">
        <v>62</v>
      </c>
      <c r="BL1848" t="s">
        <v>63</v>
      </c>
    </row>
    <row r="1849" spans="1:89" x14ac:dyDescent="0.2">
      <c r="A1849" t="s">
        <v>6591</v>
      </c>
      <c r="B1849" t="s">
        <v>3762</v>
      </c>
      <c r="C1849" t="s">
        <v>6709</v>
      </c>
      <c r="D1849" t="s">
        <v>175</v>
      </c>
      <c r="E1849" t="s">
        <v>6710</v>
      </c>
      <c r="F1849" t="s">
        <v>180</v>
      </c>
      <c r="G1849" t="str">
        <f>HYPERLINK("https://yandex.ru/maps/org/155881465026#okZWIacsaai-KEEyENyFAzdrFQlzhm")</f>
        <v>https://yandex.ru/maps/org/155881465026#okZWIacsaai-KEEyENyFAzdrFQlzhm</v>
      </c>
      <c r="H1849" t="s">
        <v>228</v>
      </c>
      <c r="I1849" t="s">
        <v>6711</v>
      </c>
      <c r="J1849" t="str">
        <f>HYPERLINK("https://yandex.ru/user/hvmrx0un03bgfwzuut71gd6h0w")</f>
        <v>https://yandex.ru/user/hvmrx0un03bgfwzuut71gd6h0w</v>
      </c>
      <c r="L1849" t="s">
        <v>121</v>
      </c>
      <c r="N1849" t="s">
        <v>236</v>
      </c>
      <c r="O1849" t="s">
        <v>175</v>
      </c>
      <c r="P1849" t="str">
        <f>HYPERLINK("https://yandex.ru/maps/org/155881465026")</f>
        <v>https://yandex.ru/maps/org/155881465026</v>
      </c>
      <c r="R1849" t="s">
        <v>184</v>
      </c>
      <c r="S1849" t="s">
        <v>125</v>
      </c>
      <c r="T1849" t="s">
        <v>487</v>
      </c>
      <c r="U1849" t="s">
        <v>2378</v>
      </c>
      <c r="W1849">
        <v>0</v>
      </c>
      <c r="X1849">
        <v>0</v>
      </c>
      <c r="AH1849">
        <v>1</v>
      </c>
      <c r="AM1849" t="s">
        <v>129</v>
      </c>
      <c r="AN1849" t="s">
        <v>130</v>
      </c>
      <c r="AP1849" t="s">
        <v>41</v>
      </c>
      <c r="AT1849" t="s">
        <v>45</v>
      </c>
      <c r="AX1849" t="s">
        <v>49</v>
      </c>
      <c r="BA1849" t="s">
        <v>52</v>
      </c>
      <c r="BF1849" t="s">
        <v>57</v>
      </c>
      <c r="BM1849" t="s">
        <v>64</v>
      </c>
      <c r="CK1849" t="s">
        <v>88</v>
      </c>
    </row>
    <row r="1850" spans="1:89" x14ac:dyDescent="0.2">
      <c r="A1850" t="s">
        <v>6591</v>
      </c>
      <c r="B1850" t="s">
        <v>2488</v>
      </c>
      <c r="C1850" t="s">
        <v>6712</v>
      </c>
      <c r="D1850" t="s">
        <v>6713</v>
      </c>
      <c r="E1850" t="s">
        <v>6714</v>
      </c>
      <c r="F1850" t="s">
        <v>118</v>
      </c>
      <c r="G1850" t="str">
        <f>HYPERLINK("https://www.youtube.com/watch?v=yQ6Wt5bGjn0&amp;lc=UgwRy4Vpy_Eq8TBS_mN4AaABAg")</f>
        <v>https://www.youtube.com/watch?v=yQ6Wt5bGjn0&amp;lc=UgwRy4Vpy_Eq8TBS_mN4AaABAg</v>
      </c>
      <c r="H1850" t="s">
        <v>119</v>
      </c>
      <c r="I1850" t="s">
        <v>6715</v>
      </c>
      <c r="J1850" t="str">
        <f>HYPERLINK("https://www.youtube.com/channel/UC4WQCnmkQ4MV2xBuopMZZTA")</f>
        <v>https://www.youtube.com/channel/UC4WQCnmkQ4MV2xBuopMZZTA</v>
      </c>
      <c r="K1850">
        <v>2</v>
      </c>
      <c r="L1850" t="s">
        <v>121</v>
      </c>
      <c r="N1850" t="s">
        <v>248</v>
      </c>
      <c r="O1850" t="s">
        <v>6716</v>
      </c>
      <c r="P1850" t="str">
        <f>HYPERLINK("https://www.youtube.com/channel/UCte7h4gLKv4znChs4C8TrJg")</f>
        <v>https://www.youtube.com/channel/UCte7h4gLKv4znChs4C8TrJg</v>
      </c>
      <c r="Q1850">
        <v>22800</v>
      </c>
      <c r="R1850" t="s">
        <v>124</v>
      </c>
      <c r="S1850" t="s">
        <v>125</v>
      </c>
      <c r="W1850">
        <v>0</v>
      </c>
      <c r="X1850">
        <v>0</v>
      </c>
      <c r="AE1850">
        <v>3</v>
      </c>
      <c r="AM1850" t="s">
        <v>129</v>
      </c>
      <c r="AN1850" t="s">
        <v>130</v>
      </c>
      <c r="AP1850" t="s">
        <v>41</v>
      </c>
      <c r="AT1850" t="s">
        <v>45</v>
      </c>
      <c r="AW1850" t="s">
        <v>48</v>
      </c>
      <c r="AZ1850" t="s">
        <v>51</v>
      </c>
      <c r="BA1850" t="s">
        <v>52</v>
      </c>
      <c r="BL1850" t="s">
        <v>63</v>
      </c>
    </row>
    <row r="1851" spans="1:89" x14ac:dyDescent="0.2">
      <c r="A1851" t="s">
        <v>6591</v>
      </c>
      <c r="B1851" t="s">
        <v>2494</v>
      </c>
      <c r="C1851" t="s">
        <v>6717</v>
      </c>
      <c r="D1851" t="s">
        <v>6718</v>
      </c>
      <c r="E1851" t="s">
        <v>6719</v>
      </c>
      <c r="F1851" t="s">
        <v>180</v>
      </c>
      <c r="G1851" t="str">
        <f>HYPERLINK("https://www.wildberries.ru/catalog/13220461/detail.aspx?targetUrl=ES#Comments")</f>
        <v>https://www.wildberries.ru/catalog/13220461/detail.aspx?targetUrl=ES#Comments</v>
      </c>
      <c r="H1851" t="s">
        <v>181</v>
      </c>
      <c r="I1851" t="s">
        <v>3326</v>
      </c>
      <c r="J1851" t="str">
        <f>HYPERLINK("https://www.wildberries.ru/profile/w7TDssOkw7PCu8KwwrTCscK4wrnCssK5wrk=")</f>
        <v>https://www.wildberries.ru/profile/w7TDssOkw7PCu8KwwrTCscK4wrnCssK5wrk=</v>
      </c>
      <c r="L1851" t="s">
        <v>151</v>
      </c>
      <c r="N1851" t="s">
        <v>534</v>
      </c>
      <c r="O1851" t="s">
        <v>6718</v>
      </c>
      <c r="P1851" t="str">
        <f>HYPERLINK("https://www.wildberries.ru/catalog/9906832/detail.aspx")</f>
        <v>https://www.wildberries.ru/catalog/9906832/detail.aspx</v>
      </c>
      <c r="R1851" t="s">
        <v>184</v>
      </c>
      <c r="S1851" t="s">
        <v>125</v>
      </c>
      <c r="W1851">
        <v>0</v>
      </c>
      <c r="X1851">
        <v>0</v>
      </c>
      <c r="AH1851">
        <v>5</v>
      </c>
      <c r="AM1851" t="s">
        <v>129</v>
      </c>
      <c r="AN1851" t="s">
        <v>130</v>
      </c>
      <c r="AP1851" t="s">
        <v>41</v>
      </c>
      <c r="AT1851" t="s">
        <v>45</v>
      </c>
      <c r="AZ1851" t="s">
        <v>51</v>
      </c>
      <c r="BB1851" t="s">
        <v>53</v>
      </c>
      <c r="BM1851" t="s">
        <v>64</v>
      </c>
    </row>
    <row r="1852" spans="1:89" x14ac:dyDescent="0.2">
      <c r="A1852" t="s">
        <v>6591</v>
      </c>
      <c r="B1852" t="s">
        <v>1468</v>
      </c>
      <c r="C1852" t="s">
        <v>6720</v>
      </c>
      <c r="D1852" t="s">
        <v>6721</v>
      </c>
      <c r="E1852" t="s">
        <v>6722</v>
      </c>
      <c r="F1852" t="s">
        <v>180</v>
      </c>
      <c r="G1852" t="str">
        <f>HYPERLINK("https://allboxing.ru/news/20210717-1725/pryamaya-translyaciya-ufc-espn-26-gde-smotret")</f>
        <v>https://allboxing.ru/news/20210717-1725/pryamaya-translyaciya-ufc-espn-26-gde-smotret</v>
      </c>
      <c r="H1852" t="s">
        <v>119</v>
      </c>
      <c r="N1852" t="s">
        <v>6723</v>
      </c>
      <c r="R1852" t="s">
        <v>785</v>
      </c>
      <c r="S1852" t="s">
        <v>125</v>
      </c>
      <c r="AJ1852" t="s">
        <v>6724</v>
      </c>
      <c r="AK1852" t="s">
        <v>6725</v>
      </c>
      <c r="AL1852" t="str">
        <f>HYPERLINK("https://sun2.ufanet.userapi.com/impg/K3LKEeD_5rcQDswQeKbULMvvhpSy1mW_9kf93A/ixtVMwws70A.jpg?size=1080x1080&amp;quality=96&amp;sign=a8b6234f3bf6ac08218628accab74733&amp;type=album")</f>
        <v>https://sun2.ufanet.userapi.com/impg/K3LKEeD_5rcQDswQeKbULMvvhpSy1mW_9kf93A/ixtVMwws70A.jpg?size=1080x1080&amp;quality=96&amp;sign=a8b6234f3bf6ac08218628accab74733&amp;type=album</v>
      </c>
      <c r="AM1852" t="s">
        <v>129</v>
      </c>
      <c r="AN1852" t="s">
        <v>130</v>
      </c>
      <c r="AV1852" t="s">
        <v>47</v>
      </c>
    </row>
    <row r="1853" spans="1:89" x14ac:dyDescent="0.2">
      <c r="A1853" t="s">
        <v>6591</v>
      </c>
      <c r="B1853" t="s">
        <v>2499</v>
      </c>
      <c r="C1853" t="s">
        <v>6726</v>
      </c>
      <c r="D1853" t="s">
        <v>6076</v>
      </c>
      <c r="E1853" t="s">
        <v>6727</v>
      </c>
      <c r="F1853" t="s">
        <v>118</v>
      </c>
      <c r="G1853" t="str">
        <f>HYPERLINK("https://vk.com/wall-17900701_323991?reply=324002&amp;thread=324000")</f>
        <v>https://vk.com/wall-17900701_323991?reply=324002&amp;thread=324000</v>
      </c>
      <c r="H1853" t="s">
        <v>119</v>
      </c>
      <c r="I1853" t="s">
        <v>6728</v>
      </c>
      <c r="J1853" t="str">
        <f>HYPERLINK("http://vk.com/id2437232")</f>
        <v>http://vk.com/id2437232</v>
      </c>
      <c r="K1853">
        <v>195</v>
      </c>
      <c r="L1853" t="s">
        <v>121</v>
      </c>
      <c r="N1853" t="s">
        <v>122</v>
      </c>
      <c r="O1853" t="s">
        <v>6078</v>
      </c>
      <c r="P1853" t="str">
        <f>HYPERLINK("http://vk.com/club17900701")</f>
        <v>http://vk.com/club17900701</v>
      </c>
      <c r="Q1853">
        <v>18677</v>
      </c>
      <c r="R1853" t="s">
        <v>124</v>
      </c>
      <c r="S1853" t="s">
        <v>125</v>
      </c>
      <c r="T1853" t="s">
        <v>570</v>
      </c>
      <c r="U1853" t="s">
        <v>5018</v>
      </c>
      <c r="AM1853" t="s">
        <v>129</v>
      </c>
      <c r="AN1853" t="s">
        <v>130</v>
      </c>
      <c r="AP1853" t="s">
        <v>41</v>
      </c>
      <c r="AW1853" t="s">
        <v>48</v>
      </c>
      <c r="AZ1853" t="s">
        <v>51</v>
      </c>
      <c r="BA1853" t="s">
        <v>52</v>
      </c>
    </row>
    <row r="1854" spans="1:89" x14ac:dyDescent="0.2">
      <c r="A1854" t="s">
        <v>6591</v>
      </c>
      <c r="B1854" t="s">
        <v>6729</v>
      </c>
      <c r="C1854" t="s">
        <v>6730</v>
      </c>
      <c r="D1854" t="s">
        <v>6076</v>
      </c>
      <c r="E1854" t="s">
        <v>6731</v>
      </c>
      <c r="F1854" t="s">
        <v>118</v>
      </c>
      <c r="G1854" t="str">
        <f>HYPERLINK("https://vk.com/wall-17900701_323991?reply=324000")</f>
        <v>https://vk.com/wall-17900701_323991?reply=324000</v>
      </c>
      <c r="H1854" t="s">
        <v>228</v>
      </c>
      <c r="I1854" t="s">
        <v>6732</v>
      </c>
      <c r="J1854" t="str">
        <f>HYPERLINK("http://vk.com/id237929007")</f>
        <v>http://vk.com/id237929007</v>
      </c>
      <c r="K1854">
        <v>79</v>
      </c>
      <c r="L1854" t="s">
        <v>151</v>
      </c>
      <c r="N1854" t="s">
        <v>122</v>
      </c>
      <c r="O1854" t="s">
        <v>6078</v>
      </c>
      <c r="P1854" t="str">
        <f>HYPERLINK("http://vk.com/club17900701")</f>
        <v>http://vk.com/club17900701</v>
      </c>
      <c r="Q1854">
        <v>18677</v>
      </c>
      <c r="R1854" t="s">
        <v>124</v>
      </c>
      <c r="S1854" t="s">
        <v>125</v>
      </c>
      <c r="T1854" t="s">
        <v>570</v>
      </c>
      <c r="U1854" t="s">
        <v>6079</v>
      </c>
      <c r="AM1854" t="s">
        <v>129</v>
      </c>
      <c r="AN1854" t="s">
        <v>130</v>
      </c>
      <c r="AP1854" t="s">
        <v>41</v>
      </c>
      <c r="AU1854" t="s">
        <v>46</v>
      </c>
      <c r="AW1854" t="s">
        <v>48</v>
      </c>
      <c r="AZ1854" t="s">
        <v>51</v>
      </c>
      <c r="BA1854" t="s">
        <v>52</v>
      </c>
    </row>
    <row r="1855" spans="1:89" x14ac:dyDescent="0.2">
      <c r="A1855" t="s">
        <v>6591</v>
      </c>
      <c r="B1855" t="s">
        <v>6028</v>
      </c>
      <c r="C1855" t="s">
        <v>6733</v>
      </c>
      <c r="D1855" t="s">
        <v>6734</v>
      </c>
      <c r="E1855" t="s">
        <v>6735</v>
      </c>
      <c r="F1855" t="s">
        <v>180</v>
      </c>
      <c r="G1855" t="str">
        <f>HYPERLINK("https://www.championat.com/boxing/article-4404543-mahachev-mojzes-pryamaya-translyaciya-ufc-fight-night-onlajn-boya-islam-mahachev-tiago-mojzes-18-iyulya-2021.html")</f>
        <v>https://www.championat.com/boxing/article-4404543-mahachev-mojzes-pryamaya-translyaciya-ufc-fight-night-onlajn-boya-islam-mahachev-tiago-mojzes-18-iyulya-2021.html</v>
      </c>
      <c r="H1855" t="s">
        <v>119</v>
      </c>
      <c r="N1855" t="s">
        <v>6548</v>
      </c>
      <c r="R1855" t="s">
        <v>785</v>
      </c>
      <c r="S1855" t="s">
        <v>125</v>
      </c>
      <c r="AM1855" t="s">
        <v>129</v>
      </c>
      <c r="AN1855" t="s">
        <v>130</v>
      </c>
      <c r="AV1855" t="s">
        <v>47</v>
      </c>
    </row>
    <row r="1856" spans="1:89" x14ac:dyDescent="0.2">
      <c r="A1856" t="s">
        <v>6591</v>
      </c>
      <c r="B1856" t="s">
        <v>6028</v>
      </c>
      <c r="C1856" t="s">
        <v>6726</v>
      </c>
      <c r="D1856" t="s">
        <v>6736</v>
      </c>
      <c r="E1856" t="s">
        <v>6737</v>
      </c>
      <c r="F1856" t="s">
        <v>180</v>
      </c>
      <c r="G1856" t="str">
        <f>HYPERLINK("https://www.wildberries.ru/catalog/28179859/detail.aspx?targetUrl=ES#Comments")</f>
        <v>https://www.wildberries.ru/catalog/28179859/detail.aspx?targetUrl=ES#Comments</v>
      </c>
      <c r="H1856" t="s">
        <v>181</v>
      </c>
      <c r="I1856" t="s">
        <v>3082</v>
      </c>
      <c r="J1856" t="str">
        <f>HYPERLINK("https://www.wildberries.ru/profile/w7TDssOkw7PCu8K0wrHCtcKywrLCssK3wrE=")</f>
        <v>https://www.wildberries.ru/profile/w7TDssOkw7PCu8K0wrHCtcKywrLCssK3wrE=</v>
      </c>
      <c r="L1856" t="s">
        <v>151</v>
      </c>
      <c r="N1856" t="s">
        <v>534</v>
      </c>
      <c r="O1856" t="s">
        <v>6736</v>
      </c>
      <c r="P1856" t="str">
        <f>HYPERLINK("https://www.wildberries.ru/catalog/20691345/detail.aspx")</f>
        <v>https://www.wildberries.ru/catalog/20691345/detail.aspx</v>
      </c>
      <c r="R1856" t="s">
        <v>184</v>
      </c>
      <c r="S1856" t="s">
        <v>125</v>
      </c>
      <c r="W1856">
        <v>0</v>
      </c>
      <c r="X1856">
        <v>0</v>
      </c>
      <c r="AH1856">
        <v>5</v>
      </c>
      <c r="AM1856" t="s">
        <v>129</v>
      </c>
      <c r="AN1856" t="s">
        <v>130</v>
      </c>
      <c r="AP1856" t="s">
        <v>41</v>
      </c>
      <c r="AZ1856" t="s">
        <v>51</v>
      </c>
      <c r="BA1856" t="s">
        <v>52</v>
      </c>
      <c r="BK1856" t="s">
        <v>62</v>
      </c>
    </row>
    <row r="1857" spans="1:100" x14ac:dyDescent="0.2">
      <c r="A1857" t="s">
        <v>6591</v>
      </c>
      <c r="B1857" t="s">
        <v>4735</v>
      </c>
      <c r="C1857" t="s">
        <v>6738</v>
      </c>
      <c r="D1857" t="s">
        <v>6739</v>
      </c>
      <c r="E1857" t="s">
        <v>6740</v>
      </c>
      <c r="F1857" t="s">
        <v>118</v>
      </c>
      <c r="G1857" t="str">
        <f>HYPERLINK("https://ok.ru/group/56341615607864/topic/153520866923832#MTYyNjUyOTkyNzU3NzotMTI3MzE6MTYyNjUyOTkyNzU3NzoxNTM1MjA4NjY5MjM4MzI6MQ==")</f>
        <v>https://ok.ru/group/56341615607864/topic/153520866923832#MTYyNjUyOTkyNzU3NzotMTI3MzE6MTYyNjUyOTkyNzU3NzoxNTM1MjA4NjY5MjM4MzI6MQ==</v>
      </c>
      <c r="H1857" t="s">
        <v>119</v>
      </c>
      <c r="I1857" t="s">
        <v>6741</v>
      </c>
      <c r="J1857" t="str">
        <f>HYPERLINK("https://ok.ru/profile/582557465130")</f>
        <v>https://ok.ru/profile/582557465130</v>
      </c>
      <c r="K1857">
        <v>17</v>
      </c>
      <c r="L1857" t="s">
        <v>151</v>
      </c>
      <c r="M1857">
        <v>59</v>
      </c>
      <c r="N1857" t="s">
        <v>347</v>
      </c>
      <c r="O1857" t="s">
        <v>6742</v>
      </c>
      <c r="P1857" t="str">
        <f>HYPERLINK("https://ok.ru/group/56341615607864")</f>
        <v>https://ok.ru/group/56341615607864</v>
      </c>
      <c r="Q1857">
        <v>26329</v>
      </c>
      <c r="R1857" t="s">
        <v>124</v>
      </c>
      <c r="S1857" t="s">
        <v>125</v>
      </c>
      <c r="T1857" t="s">
        <v>2455</v>
      </c>
      <c r="U1857" t="s">
        <v>6743</v>
      </c>
      <c r="W1857">
        <v>0</v>
      </c>
      <c r="X1857">
        <v>0</v>
      </c>
      <c r="AM1857" t="s">
        <v>129</v>
      </c>
      <c r="AN1857" t="s">
        <v>130</v>
      </c>
      <c r="AP1857" t="s">
        <v>41</v>
      </c>
      <c r="AW1857" t="s">
        <v>48</v>
      </c>
      <c r="AZ1857" t="s">
        <v>51</v>
      </c>
      <c r="BA1857" t="s">
        <v>52</v>
      </c>
    </row>
    <row r="1858" spans="1:100" x14ac:dyDescent="0.2">
      <c r="A1858" t="s">
        <v>6591</v>
      </c>
      <c r="B1858" t="s">
        <v>1993</v>
      </c>
      <c r="C1858" t="s">
        <v>6733</v>
      </c>
      <c r="D1858" t="s">
        <v>6744</v>
      </c>
      <c r="E1858" t="s">
        <v>6636</v>
      </c>
      <c r="F1858" t="s">
        <v>180</v>
      </c>
      <c r="G1858" t="str">
        <f>HYPERLINK("https://www.championat.com/bets/news-4403957-boj-mahachev-mojzes-gde-smotret-onlajn-pryamaya-translyaciya-ufc-vegas-31-prognozy-na-boj.html")</f>
        <v>https://www.championat.com/bets/news-4403957-boj-mahachev-mojzes-gde-smotret-onlajn-pryamaya-translyaciya-ufc-vegas-31-prognozy-na-boj.html</v>
      </c>
      <c r="H1858" t="s">
        <v>119</v>
      </c>
      <c r="N1858" t="s">
        <v>6548</v>
      </c>
      <c r="R1858" t="s">
        <v>785</v>
      </c>
      <c r="S1858" t="s">
        <v>125</v>
      </c>
      <c r="AM1858" t="s">
        <v>129</v>
      </c>
      <c r="AN1858" t="s">
        <v>130</v>
      </c>
      <c r="AV1858" t="s">
        <v>47</v>
      </c>
    </row>
    <row r="1859" spans="1:100" x14ac:dyDescent="0.2">
      <c r="A1859" t="s">
        <v>6591</v>
      </c>
      <c r="B1859" t="s">
        <v>1999</v>
      </c>
      <c r="C1859" t="s">
        <v>6745</v>
      </c>
      <c r="D1859" t="s">
        <v>6050</v>
      </c>
      <c r="E1859" t="s">
        <v>6746</v>
      </c>
      <c r="F1859" t="s">
        <v>118</v>
      </c>
      <c r="G1859" t="str">
        <f>HYPERLINK("https://vk.com/wall-22935147_368393?reply=368426&amp;thread=368417")</f>
        <v>https://vk.com/wall-22935147_368393?reply=368426&amp;thread=368417</v>
      </c>
      <c r="H1859" t="s">
        <v>228</v>
      </c>
      <c r="I1859" t="s">
        <v>4934</v>
      </c>
      <c r="J1859" t="str">
        <f>HYPERLINK("http://vk.com/id662268001")</f>
        <v>http://vk.com/id662268001</v>
      </c>
      <c r="K1859">
        <v>0</v>
      </c>
      <c r="L1859" t="s">
        <v>121</v>
      </c>
      <c r="M1859">
        <v>38</v>
      </c>
      <c r="N1859" t="s">
        <v>122</v>
      </c>
      <c r="O1859" t="s">
        <v>1093</v>
      </c>
      <c r="P1859" t="str">
        <f>HYPERLINK("http://vk.com/club22935147")</f>
        <v>http://vk.com/club22935147</v>
      </c>
      <c r="Q1859">
        <v>8943</v>
      </c>
      <c r="R1859" t="s">
        <v>124</v>
      </c>
      <c r="S1859" t="s">
        <v>125</v>
      </c>
      <c r="T1859" t="s">
        <v>169</v>
      </c>
      <c r="U1859" t="s">
        <v>169</v>
      </c>
      <c r="AM1859" t="s">
        <v>129</v>
      </c>
      <c r="AN1859" t="s">
        <v>130</v>
      </c>
      <c r="AP1859" t="s">
        <v>41</v>
      </c>
      <c r="AU1859" t="s">
        <v>46</v>
      </c>
      <c r="AZ1859" t="s">
        <v>51</v>
      </c>
      <c r="BA1859" t="s">
        <v>52</v>
      </c>
    </row>
    <row r="1860" spans="1:100" x14ac:dyDescent="0.2">
      <c r="A1860" t="s">
        <v>6591</v>
      </c>
      <c r="B1860" t="s">
        <v>3076</v>
      </c>
      <c r="C1860" t="s">
        <v>6747</v>
      </c>
      <c r="D1860" t="s">
        <v>2326</v>
      </c>
      <c r="E1860" t="s">
        <v>6748</v>
      </c>
      <c r="F1860" t="s">
        <v>118</v>
      </c>
      <c r="G1860" t="str">
        <f>HYPERLINK("https://vk.com/topic-27863223_35421989?post=115953")</f>
        <v>https://vk.com/topic-27863223_35421989?post=115953</v>
      </c>
      <c r="H1860" t="s">
        <v>181</v>
      </c>
      <c r="I1860" t="s">
        <v>6749</v>
      </c>
      <c r="J1860" t="str">
        <f>HYPERLINK("http://vk.com/id488082610")</f>
        <v>http://vk.com/id488082610</v>
      </c>
      <c r="K1860">
        <v>10</v>
      </c>
      <c r="L1860" t="s">
        <v>121</v>
      </c>
      <c r="M1860">
        <v>31</v>
      </c>
      <c r="N1860" t="s">
        <v>122</v>
      </c>
      <c r="O1860" t="s">
        <v>175</v>
      </c>
      <c r="P1860" t="str">
        <f>HYPERLINK("http://vk.com/club27863223")</f>
        <v>http://vk.com/club27863223</v>
      </c>
      <c r="Q1860">
        <v>134698</v>
      </c>
      <c r="R1860" t="s">
        <v>124</v>
      </c>
      <c r="S1860" t="s">
        <v>125</v>
      </c>
      <c r="T1860" t="s">
        <v>494</v>
      </c>
      <c r="U1860" t="s">
        <v>6750</v>
      </c>
      <c r="AM1860" t="s">
        <v>129</v>
      </c>
      <c r="AN1860" t="s">
        <v>130</v>
      </c>
      <c r="AP1860" t="s">
        <v>41</v>
      </c>
      <c r="AU1860" t="s">
        <v>46</v>
      </c>
      <c r="AZ1860" t="s">
        <v>51</v>
      </c>
      <c r="BA1860" t="s">
        <v>52</v>
      </c>
    </row>
    <row r="1861" spans="1:100" x14ac:dyDescent="0.2">
      <c r="A1861" t="s">
        <v>6591</v>
      </c>
      <c r="B1861" t="s">
        <v>2547</v>
      </c>
      <c r="C1861" t="s">
        <v>5345</v>
      </c>
      <c r="D1861" t="s">
        <v>4629</v>
      </c>
      <c r="E1861" t="s">
        <v>6751</v>
      </c>
      <c r="F1861" t="s">
        <v>180</v>
      </c>
      <c r="G1861" t="str">
        <f>HYPERLINK("https://www.ozon.ru/context/detail/id/253438266/#60065819")</f>
        <v>https://www.ozon.ru/context/detail/id/253438266/#60065819</v>
      </c>
      <c r="H1861" t="s">
        <v>119</v>
      </c>
      <c r="I1861" t="s">
        <v>6752</v>
      </c>
      <c r="J1861" t="str">
        <f>HYPERLINK("https://www.ozon.ru/context/client_opinion/ClientGuid/d7bf2a8a-2ae6-4d9e-9559-e21eb4df2796/")</f>
        <v>https://www.ozon.ru/context/client_opinion/ClientGuid/d7bf2a8a-2ae6-4d9e-9559-e21eb4df2796/</v>
      </c>
      <c r="L1861" t="s">
        <v>121</v>
      </c>
      <c r="N1861" t="s">
        <v>183</v>
      </c>
      <c r="O1861" t="s">
        <v>4629</v>
      </c>
      <c r="P1861" t="str">
        <f>HYPERLINK("https://www.ozon.ru/context/detail/id/253438266/")</f>
        <v>https://www.ozon.ru/context/detail/id/253438266/</v>
      </c>
      <c r="R1861" t="s">
        <v>184</v>
      </c>
      <c r="S1861" t="s">
        <v>125</v>
      </c>
      <c r="W1861">
        <v>0</v>
      </c>
      <c r="X1861">
        <v>0</v>
      </c>
      <c r="AH1861">
        <v>4</v>
      </c>
      <c r="AM1861" t="s">
        <v>129</v>
      </c>
      <c r="AN1861" t="s">
        <v>130</v>
      </c>
      <c r="AP1861" t="s">
        <v>41</v>
      </c>
      <c r="AT1861" t="s">
        <v>45</v>
      </c>
      <c r="AZ1861" t="s">
        <v>51</v>
      </c>
      <c r="BA1861" t="s">
        <v>52</v>
      </c>
      <c r="BL1861" t="s">
        <v>63</v>
      </c>
    </row>
    <row r="1862" spans="1:100" x14ac:dyDescent="0.2">
      <c r="A1862" t="s">
        <v>6591</v>
      </c>
      <c r="B1862" t="s">
        <v>5191</v>
      </c>
      <c r="C1862" t="s">
        <v>6753</v>
      </c>
      <c r="D1862" t="s">
        <v>204</v>
      </c>
      <c r="E1862" t="s">
        <v>6754</v>
      </c>
      <c r="F1862" t="s">
        <v>180</v>
      </c>
      <c r="G1862" t="str">
        <f>HYPERLINK("https://play.google.com/store/apps/details?id=ru.iflex.android.a3colortv&amp;reviewId=gp:AOqpTOFOIDyByAWT0MelNjsMe1gxTNh6G7AVxCWwAXoXsxWYwTJ_K3czW5i0S90sQXhHiT_LFBEH0iB8dOWWDQ")</f>
        <v>https://play.google.com/store/apps/details?id=ru.iflex.android.a3colortv&amp;reviewId=gp:AOqpTOFOIDyByAWT0MelNjsMe1gxTNh6G7AVxCWwAXoXsxWYwTJ_K3czW5i0S90sQXhHiT_LFBEH0iB8dOWWDQ</v>
      </c>
      <c r="H1862" t="s">
        <v>181</v>
      </c>
      <c r="I1862" t="s">
        <v>6755</v>
      </c>
      <c r="J1862" t="str">
        <f>HYPERLINK("https://plus.google.com/113820910202719684171")</f>
        <v>https://plus.google.com/113820910202719684171</v>
      </c>
      <c r="L1862" t="s">
        <v>121</v>
      </c>
      <c r="N1862" t="s">
        <v>207</v>
      </c>
      <c r="O1862" t="s">
        <v>204</v>
      </c>
      <c r="P1862" t="str">
        <f>HYPERLINK("https://play.google.com/store/apps/details?id=ru.iflex.android.a3colortv&amp;hl=ru")</f>
        <v>https://play.google.com/store/apps/details?id=ru.iflex.android.a3colortv&amp;hl=ru</v>
      </c>
      <c r="R1862" t="s">
        <v>184</v>
      </c>
      <c r="S1862" t="s">
        <v>125</v>
      </c>
      <c r="W1862">
        <v>0</v>
      </c>
      <c r="X1862">
        <v>0</v>
      </c>
      <c r="AH1862">
        <v>5</v>
      </c>
      <c r="AM1862" t="s">
        <v>129</v>
      </c>
      <c r="AN1862" t="s">
        <v>130</v>
      </c>
      <c r="AP1862" t="s">
        <v>41</v>
      </c>
      <c r="AZ1862" t="s">
        <v>51</v>
      </c>
      <c r="BA1862" t="s">
        <v>52</v>
      </c>
      <c r="BP1862" t="s">
        <v>67</v>
      </c>
      <c r="BQ1862" t="s">
        <v>68</v>
      </c>
    </row>
    <row r="1863" spans="1:100" x14ac:dyDescent="0.2">
      <c r="A1863" t="s">
        <v>6591</v>
      </c>
      <c r="B1863" t="s">
        <v>2035</v>
      </c>
      <c r="C1863" t="s">
        <v>6756</v>
      </c>
      <c r="D1863" t="s">
        <v>6757</v>
      </c>
      <c r="E1863" t="s">
        <v>6758</v>
      </c>
      <c r="F1863" t="s">
        <v>180</v>
      </c>
      <c r="G1863" t="str">
        <f>HYPERLINK("https://www.ozon.ru/context/detail/id/282396100/#60058479")</f>
        <v>https://www.ozon.ru/context/detail/id/282396100/#60058479</v>
      </c>
      <c r="H1863" t="s">
        <v>181</v>
      </c>
      <c r="I1863" t="s">
        <v>6759</v>
      </c>
      <c r="J1863" t="str">
        <f>HYPERLINK("https://www.ozon.ru/context/client_opinion/ClientGuid/d1006a88-3386-4bfc-8e92-98891294f248/")</f>
        <v>https://www.ozon.ru/context/client_opinion/ClientGuid/d1006a88-3386-4bfc-8e92-98891294f248/</v>
      </c>
      <c r="L1863" t="s">
        <v>121</v>
      </c>
      <c r="N1863" t="s">
        <v>183</v>
      </c>
      <c r="O1863" t="s">
        <v>6757</v>
      </c>
      <c r="P1863" t="str">
        <f>HYPERLINK("https://www.ozon.ru/context/detail/id/282396100/")</f>
        <v>https://www.ozon.ru/context/detail/id/282396100/</v>
      </c>
      <c r="R1863" t="s">
        <v>184</v>
      </c>
      <c r="S1863" t="s">
        <v>125</v>
      </c>
      <c r="W1863">
        <v>0</v>
      </c>
      <c r="X1863">
        <v>0</v>
      </c>
      <c r="AH1863">
        <v>5</v>
      </c>
      <c r="AJ1863" t="s">
        <v>6760</v>
      </c>
      <c r="AK1863" t="s">
        <v>129</v>
      </c>
      <c r="AL1863" t="str">
        <f>HYPERLINK("https://cdn1.ozone.ru/s3/rp-photo-4/ff87bc25-af74-4b5f-bff3-5126e79bb9bd.jpeg")</f>
        <v>https://cdn1.ozone.ru/s3/rp-photo-4/ff87bc25-af74-4b5f-bff3-5126e79bb9bd.jpeg</v>
      </c>
      <c r="AM1863" t="s">
        <v>129</v>
      </c>
      <c r="AN1863" t="s">
        <v>130</v>
      </c>
      <c r="AP1863" t="s">
        <v>41</v>
      </c>
      <c r="AZ1863" t="s">
        <v>51</v>
      </c>
      <c r="BA1863" t="s">
        <v>52</v>
      </c>
      <c r="BO1863" t="s">
        <v>66</v>
      </c>
    </row>
    <row r="1864" spans="1:100" x14ac:dyDescent="0.2">
      <c r="A1864" t="s">
        <v>6591</v>
      </c>
      <c r="B1864" t="s">
        <v>2575</v>
      </c>
      <c r="C1864" t="s">
        <v>6709</v>
      </c>
      <c r="D1864" t="s">
        <v>175</v>
      </c>
      <c r="E1864" t="s">
        <v>6761</v>
      </c>
      <c r="F1864" t="s">
        <v>180</v>
      </c>
      <c r="G1864" t="str">
        <f>HYPERLINK("https://yandex.ru/maps/org/1748246020#ptzuEHcFf0tJXxaNodwPBonLj6Xj38Y_4")</f>
        <v>https://yandex.ru/maps/org/1748246020#ptzuEHcFf0tJXxaNodwPBonLj6Xj38Y_4</v>
      </c>
      <c r="H1864" t="s">
        <v>228</v>
      </c>
      <c r="I1864" t="s">
        <v>1395</v>
      </c>
      <c r="J1864" t="str">
        <f>HYPERLINK("https://yandex.ru/maps/org/1748246020#ptzuEHcFf0tJXxaNodwPBonLj6Xj38Y_4")</f>
        <v>https://yandex.ru/maps/org/1748246020#ptzuEHcFf0tJXxaNodwPBonLj6Xj38Y_4</v>
      </c>
      <c r="L1864" t="s">
        <v>121</v>
      </c>
      <c r="N1864" t="s">
        <v>236</v>
      </c>
      <c r="O1864" t="s">
        <v>175</v>
      </c>
      <c r="P1864" t="str">
        <f>HYPERLINK("https://yandex.ru/maps/org/1748246020")</f>
        <v>https://yandex.ru/maps/org/1748246020</v>
      </c>
      <c r="R1864" t="s">
        <v>184</v>
      </c>
      <c r="S1864" t="s">
        <v>125</v>
      </c>
      <c r="T1864" t="s">
        <v>137</v>
      </c>
      <c r="U1864" t="s">
        <v>137</v>
      </c>
      <c r="W1864">
        <v>0</v>
      </c>
      <c r="X1864">
        <v>0</v>
      </c>
      <c r="AH1864">
        <v>1</v>
      </c>
      <c r="AM1864" t="s">
        <v>129</v>
      </c>
      <c r="AN1864" t="s">
        <v>130</v>
      </c>
      <c r="AP1864" t="s">
        <v>41</v>
      </c>
      <c r="AT1864" t="s">
        <v>45</v>
      </c>
      <c r="AX1864" t="s">
        <v>49</v>
      </c>
      <c r="AY1864" t="s">
        <v>50</v>
      </c>
      <c r="BA1864" t="s">
        <v>52</v>
      </c>
      <c r="BF1864" t="s">
        <v>57</v>
      </c>
      <c r="CK1864" t="s">
        <v>88</v>
      </c>
      <c r="CV1864" t="s">
        <v>99</v>
      </c>
    </row>
    <row r="1865" spans="1:100" x14ac:dyDescent="0.2">
      <c r="A1865" t="s">
        <v>6591</v>
      </c>
      <c r="B1865" t="s">
        <v>1527</v>
      </c>
      <c r="C1865" t="s">
        <v>6762</v>
      </c>
      <c r="D1865" t="s">
        <v>6763</v>
      </c>
      <c r="E1865" t="s">
        <v>6764</v>
      </c>
      <c r="F1865" t="s">
        <v>118</v>
      </c>
      <c r="G1865" t="str">
        <f>HYPERLINK("https://vk.com/wall-33118207_25516527?reply=25516973")</f>
        <v>https://vk.com/wall-33118207_25516527?reply=25516973</v>
      </c>
      <c r="H1865" t="s">
        <v>119</v>
      </c>
      <c r="I1865" t="s">
        <v>6765</v>
      </c>
      <c r="J1865" t="str">
        <f>HYPERLINK("http://vk.com/id484671528")</f>
        <v>http://vk.com/id484671528</v>
      </c>
      <c r="K1865">
        <v>3</v>
      </c>
      <c r="L1865" t="s">
        <v>151</v>
      </c>
      <c r="M1865">
        <v>17</v>
      </c>
      <c r="N1865" t="s">
        <v>122</v>
      </c>
      <c r="O1865" t="s">
        <v>6766</v>
      </c>
      <c r="P1865" t="str">
        <f>HYPERLINK("http://vk.com/club33118207")</f>
        <v>http://vk.com/club33118207</v>
      </c>
      <c r="Q1865">
        <v>2173798</v>
      </c>
      <c r="R1865" t="s">
        <v>124</v>
      </c>
      <c r="S1865" t="s">
        <v>125</v>
      </c>
      <c r="T1865" t="s">
        <v>137</v>
      </c>
      <c r="U1865" t="s">
        <v>137</v>
      </c>
      <c r="AJ1865" t="s">
        <v>6767</v>
      </c>
      <c r="AK1865" t="s">
        <v>876</v>
      </c>
      <c r="AL1865" t="str">
        <f>HYPERLINK("https://sun1-96.userapi.com/impg/oJ8zvPsHlHzVrdOgRSHWiGh07NskzTonJbW0rw/lOMUTbPd6ng.jpg?size=363x194&amp;quality=96&amp;sign=f7450b1cdaa68d2fe9797c89f6e8b758&amp;c_uniq_tag=ObbMcGQhCLLxQ2Szf4Z1Gdf0alMCN6nGXqGuJqbn77w&amp;type=album")</f>
        <v>https://sun1-96.userapi.com/impg/oJ8zvPsHlHzVrdOgRSHWiGh07NskzTonJbW0rw/lOMUTbPd6ng.jpg?size=363x194&amp;quality=96&amp;sign=f7450b1cdaa68d2fe9797c89f6e8b758&amp;c_uniq_tag=ObbMcGQhCLLxQ2Szf4Z1Gdf0alMCN6nGXqGuJqbn77w&amp;type=album</v>
      </c>
      <c r="AM1865" t="s">
        <v>129</v>
      </c>
      <c r="AN1865" t="s">
        <v>130</v>
      </c>
      <c r="AP1865" t="s">
        <v>41</v>
      </c>
      <c r="AZ1865" t="s">
        <v>51</v>
      </c>
      <c r="BB1865" t="s">
        <v>53</v>
      </c>
    </row>
    <row r="1866" spans="1:100" x14ac:dyDescent="0.2">
      <c r="A1866" t="s">
        <v>6591</v>
      </c>
      <c r="B1866" t="s">
        <v>446</v>
      </c>
      <c r="C1866" t="s">
        <v>6768</v>
      </c>
      <c r="D1866" t="s">
        <v>6769</v>
      </c>
      <c r="E1866" t="s">
        <v>6770</v>
      </c>
      <c r="F1866" t="s">
        <v>118</v>
      </c>
      <c r="G1866" t="str">
        <f>HYPERLINK("https://vk.com/wall-8665910_1197383?reply=1197396&amp;thread=1197394")</f>
        <v>https://vk.com/wall-8665910_1197383?reply=1197396&amp;thread=1197394</v>
      </c>
      <c r="H1866" t="s">
        <v>119</v>
      </c>
      <c r="I1866" t="s">
        <v>3529</v>
      </c>
      <c r="J1866" t="str">
        <f>HYPERLINK("http://vk.com/id8948714")</f>
        <v>http://vk.com/id8948714</v>
      </c>
      <c r="K1866">
        <v>2455</v>
      </c>
      <c r="L1866" t="s">
        <v>121</v>
      </c>
      <c r="N1866" t="s">
        <v>122</v>
      </c>
      <c r="O1866" t="s">
        <v>1942</v>
      </c>
      <c r="P1866" t="str">
        <f>HYPERLINK("http://vk.com/club8665910")</f>
        <v>http://vk.com/club8665910</v>
      </c>
      <c r="Q1866">
        <v>253332</v>
      </c>
      <c r="R1866" t="s">
        <v>124</v>
      </c>
      <c r="S1866" t="s">
        <v>125</v>
      </c>
      <c r="T1866" t="s">
        <v>1466</v>
      </c>
      <c r="U1866" t="s">
        <v>3530</v>
      </c>
      <c r="AM1866" t="s">
        <v>129</v>
      </c>
      <c r="AN1866" t="s">
        <v>130</v>
      </c>
      <c r="AP1866" t="s">
        <v>41</v>
      </c>
      <c r="AU1866" t="s">
        <v>46</v>
      </c>
      <c r="AY1866" t="s">
        <v>50</v>
      </c>
      <c r="AZ1866" t="s">
        <v>51</v>
      </c>
      <c r="BA1866" t="s">
        <v>52</v>
      </c>
    </row>
    <row r="1867" spans="1:100" x14ac:dyDescent="0.2">
      <c r="A1867" t="s">
        <v>6591</v>
      </c>
      <c r="B1867" t="s">
        <v>6771</v>
      </c>
      <c r="C1867" t="s">
        <v>6733</v>
      </c>
      <c r="D1867" t="s">
        <v>6772</v>
      </c>
      <c r="E1867" t="s">
        <v>6773</v>
      </c>
      <c r="F1867" t="s">
        <v>180</v>
      </c>
      <c r="G1867" t="str">
        <f>HYPERLINK("https://www.championat.com/bets/news-4403955-mahachev-mojzes-kogda-boj-ufc-vo-skolko-nachalo-boya-po-kakomu-kanalu-pokazhut.html")</f>
        <v>https://www.championat.com/bets/news-4403955-mahachev-mojzes-kogda-boj-ufc-vo-skolko-nachalo-boya-po-kakomu-kanalu-pokazhut.html</v>
      </c>
      <c r="H1867" t="s">
        <v>119</v>
      </c>
      <c r="N1867" t="s">
        <v>6548</v>
      </c>
      <c r="R1867" t="s">
        <v>785</v>
      </c>
      <c r="S1867" t="s">
        <v>125</v>
      </c>
      <c r="AM1867" t="s">
        <v>129</v>
      </c>
      <c r="AN1867" t="s">
        <v>130</v>
      </c>
      <c r="AV1867" t="s">
        <v>47</v>
      </c>
    </row>
    <row r="1868" spans="1:100" x14ac:dyDescent="0.2">
      <c r="A1868" t="s">
        <v>6591</v>
      </c>
      <c r="B1868" t="s">
        <v>1572</v>
      </c>
      <c r="C1868" t="s">
        <v>6692</v>
      </c>
      <c r="D1868" t="s">
        <v>129</v>
      </c>
      <c r="E1868" t="s">
        <v>6774</v>
      </c>
      <c r="F1868" t="s">
        <v>180</v>
      </c>
      <c r="G1868" t="str">
        <f>HYPERLINK("https://www.facebook.com/tricolortv/posts/4092425027478403")</f>
        <v>https://www.facebook.com/tricolortv/posts/4092425027478403</v>
      </c>
      <c r="H1868" t="s">
        <v>119</v>
      </c>
      <c r="I1868" t="s">
        <v>175</v>
      </c>
      <c r="J1868" t="str">
        <f>HYPERLINK("https://www.facebook.com/206198386101106")</f>
        <v>https://www.facebook.com/206198386101106</v>
      </c>
      <c r="K1868">
        <v>16432</v>
      </c>
      <c r="L1868" t="s">
        <v>340</v>
      </c>
      <c r="N1868" t="s">
        <v>305</v>
      </c>
      <c r="O1868" t="s">
        <v>175</v>
      </c>
      <c r="P1868" t="str">
        <f>HYPERLINK("https://www.facebook.com/206198386101106")</f>
        <v>https://www.facebook.com/206198386101106</v>
      </c>
      <c r="Q1868">
        <v>16432</v>
      </c>
      <c r="R1868" t="s">
        <v>124</v>
      </c>
      <c r="W1868">
        <v>3</v>
      </c>
      <c r="X1868">
        <v>3</v>
      </c>
      <c r="Y1868">
        <v>0</v>
      </c>
      <c r="Z1868">
        <v>0</v>
      </c>
      <c r="AA1868">
        <v>0</v>
      </c>
      <c r="AB1868">
        <v>0</v>
      </c>
      <c r="AC1868">
        <v>0</v>
      </c>
      <c r="AE1868">
        <v>0</v>
      </c>
      <c r="AF1868">
        <v>0</v>
      </c>
      <c r="AJ1868" t="s">
        <v>588</v>
      </c>
      <c r="AK1868" t="s">
        <v>129</v>
      </c>
      <c r="AL1868" t="s">
        <v>6775</v>
      </c>
      <c r="AM1868" t="s">
        <v>129</v>
      </c>
      <c r="AN1868" t="s">
        <v>130</v>
      </c>
      <c r="BI1868" t="s">
        <v>60</v>
      </c>
    </row>
    <row r="1869" spans="1:100" x14ac:dyDescent="0.2">
      <c r="A1869" t="s">
        <v>6591</v>
      </c>
      <c r="B1869" t="s">
        <v>1572</v>
      </c>
      <c r="C1869" t="s">
        <v>6776</v>
      </c>
      <c r="D1869" t="s">
        <v>6777</v>
      </c>
      <c r="E1869" t="s">
        <v>6778</v>
      </c>
      <c r="F1869" t="s">
        <v>180</v>
      </c>
      <c r="G1869" t="str">
        <f>HYPERLINK("https://ok.ru/group/51085510115462/topic/153457553745286")</f>
        <v>https://ok.ru/group/51085510115462/topic/153457553745286</v>
      </c>
      <c r="H1869" t="s">
        <v>119</v>
      </c>
      <c r="I1869" t="s">
        <v>175</v>
      </c>
      <c r="J1869" t="str">
        <f>HYPERLINK("https://ok.ru/group/51085510115462")</f>
        <v>https://ok.ru/group/51085510115462</v>
      </c>
      <c r="K1869">
        <v>94768</v>
      </c>
      <c r="L1869" t="s">
        <v>340</v>
      </c>
      <c r="N1869" t="s">
        <v>347</v>
      </c>
      <c r="O1869" t="s">
        <v>175</v>
      </c>
      <c r="P1869" t="str">
        <f>HYPERLINK("https://ok.ru/group/51085510115462")</f>
        <v>https://ok.ru/group/51085510115462</v>
      </c>
      <c r="Q1869">
        <v>94768</v>
      </c>
      <c r="R1869" t="s">
        <v>124</v>
      </c>
      <c r="W1869">
        <v>12</v>
      </c>
      <c r="X1869">
        <v>12</v>
      </c>
      <c r="Y1869">
        <v>0</v>
      </c>
      <c r="Z1869">
        <v>0</v>
      </c>
      <c r="AA1869">
        <v>0</v>
      </c>
      <c r="AB1869">
        <v>0</v>
      </c>
      <c r="AE1869">
        <v>0</v>
      </c>
      <c r="AF1869">
        <v>0</v>
      </c>
      <c r="AJ1869" t="s">
        <v>6779</v>
      </c>
      <c r="AK1869" t="s">
        <v>129</v>
      </c>
      <c r="AL1869" t="str">
        <f>HYPERLINK("https://i.mycdn.me/image?id=918644755590&amp;t=20&amp;plc=API&amp;aid=1131601408&amp;tkn=*4XApmXNk09zUPwCn_D-qS3F5hxk")</f>
        <v>https://i.mycdn.me/image?id=918644755590&amp;t=20&amp;plc=API&amp;aid=1131601408&amp;tkn=*4XApmXNk09zUPwCn_D-qS3F5hxk</v>
      </c>
      <c r="AM1869" t="s">
        <v>129</v>
      </c>
      <c r="AN1869" t="s">
        <v>130</v>
      </c>
      <c r="BI1869" t="s">
        <v>60</v>
      </c>
    </row>
    <row r="1870" spans="1:100" x14ac:dyDescent="0.2">
      <c r="A1870" t="s">
        <v>6591</v>
      </c>
      <c r="B1870" t="s">
        <v>1572</v>
      </c>
      <c r="C1870" t="s">
        <v>6780</v>
      </c>
      <c r="D1870" t="s">
        <v>6781</v>
      </c>
      <c r="E1870" t="s">
        <v>6782</v>
      </c>
      <c r="F1870" t="s">
        <v>118</v>
      </c>
      <c r="G1870" t="str">
        <f>HYPERLINK("https://vk.com/wall-159065122_84218?reply=84238&amp;thread=84221")</f>
        <v>https://vk.com/wall-159065122_84218?reply=84238&amp;thread=84221</v>
      </c>
      <c r="H1870" t="s">
        <v>119</v>
      </c>
      <c r="I1870" t="s">
        <v>6783</v>
      </c>
      <c r="J1870" t="str">
        <f>HYPERLINK("http://vk.com/id16543888")</f>
        <v>http://vk.com/id16543888</v>
      </c>
      <c r="K1870">
        <v>374</v>
      </c>
      <c r="L1870" t="s">
        <v>121</v>
      </c>
      <c r="M1870">
        <v>35</v>
      </c>
      <c r="N1870" t="s">
        <v>122</v>
      </c>
      <c r="O1870" t="s">
        <v>6784</v>
      </c>
      <c r="P1870" t="str">
        <f>HYPERLINK("http://vk.com/club159065122")</f>
        <v>http://vk.com/club159065122</v>
      </c>
      <c r="Q1870">
        <v>5249</v>
      </c>
      <c r="R1870" t="s">
        <v>124</v>
      </c>
      <c r="S1870" t="s">
        <v>125</v>
      </c>
      <c r="T1870" t="s">
        <v>218</v>
      </c>
      <c r="U1870" t="s">
        <v>6785</v>
      </c>
      <c r="AM1870" t="s">
        <v>129</v>
      </c>
      <c r="AN1870" t="s">
        <v>130</v>
      </c>
      <c r="AP1870" t="s">
        <v>41</v>
      </c>
      <c r="AT1870" t="s">
        <v>45</v>
      </c>
      <c r="AU1870" t="s">
        <v>46</v>
      </c>
      <c r="AZ1870" t="s">
        <v>51</v>
      </c>
      <c r="BA1870" t="s">
        <v>52</v>
      </c>
      <c r="BM1870" t="s">
        <v>64</v>
      </c>
    </row>
    <row r="1871" spans="1:100" x14ac:dyDescent="0.2">
      <c r="A1871" t="s">
        <v>6591</v>
      </c>
      <c r="B1871" t="s">
        <v>6786</v>
      </c>
      <c r="C1871" t="s">
        <v>6613</v>
      </c>
      <c r="D1871" t="s">
        <v>6787</v>
      </c>
      <c r="E1871" t="s">
        <v>6788</v>
      </c>
      <c r="F1871" t="s">
        <v>118</v>
      </c>
      <c r="G1871" t="str">
        <f>HYPERLINK("https://www.youtube.com/watch?v=J1XsqfzEubo&amp;lc=UgzTIsVHIA-N2Wz-BEh4AaABAg.9PtoOMePcNo9Ptrg8cFUzX")</f>
        <v>https://www.youtube.com/watch?v=J1XsqfzEubo&amp;lc=UgzTIsVHIA-N2Wz-BEh4AaABAg.9PtoOMePcNo9Ptrg8cFUzX</v>
      </c>
      <c r="H1871" t="s">
        <v>228</v>
      </c>
      <c r="I1871" t="s">
        <v>4496</v>
      </c>
      <c r="J1871" t="str">
        <f>HYPERLINK("https://www.youtube.com/channel/UCIKsOvms5_CYAzWTRbiHWpQ")</f>
        <v>https://www.youtube.com/channel/UCIKsOvms5_CYAzWTRbiHWpQ</v>
      </c>
      <c r="K1871">
        <v>7990</v>
      </c>
      <c r="N1871" t="s">
        <v>248</v>
      </c>
      <c r="O1871" t="s">
        <v>4496</v>
      </c>
      <c r="P1871" t="str">
        <f>HYPERLINK("https://www.youtube.com/channel/UCIKsOvms5_CYAzWTRbiHWpQ")</f>
        <v>https://www.youtube.com/channel/UCIKsOvms5_CYAzWTRbiHWpQ</v>
      </c>
      <c r="Q1871">
        <v>7990</v>
      </c>
      <c r="R1871" t="s">
        <v>124</v>
      </c>
      <c r="S1871" t="s">
        <v>125</v>
      </c>
      <c r="W1871">
        <v>0</v>
      </c>
      <c r="X1871">
        <v>0</v>
      </c>
      <c r="AM1871" t="s">
        <v>129</v>
      </c>
      <c r="AN1871" t="s">
        <v>130</v>
      </c>
      <c r="AP1871" t="s">
        <v>41</v>
      </c>
      <c r="AZ1871" t="s">
        <v>51</v>
      </c>
      <c r="BA1871" t="s">
        <v>52</v>
      </c>
      <c r="BL1871" t="s">
        <v>63</v>
      </c>
    </row>
    <row r="1872" spans="1:100" x14ac:dyDescent="0.2">
      <c r="A1872" t="s">
        <v>6591</v>
      </c>
      <c r="B1872" t="s">
        <v>984</v>
      </c>
      <c r="C1872" t="s">
        <v>6789</v>
      </c>
      <c r="D1872" t="s">
        <v>6790</v>
      </c>
      <c r="E1872" t="s">
        <v>6791</v>
      </c>
      <c r="F1872" t="s">
        <v>118</v>
      </c>
      <c r="G1872" t="str">
        <f>HYPERLINK("https://www.youtube.com/watch?v=f7I61v_Z_Qk&amp;lc=UgyOXp8FHq5PT6wqYOl4AaABAg")</f>
        <v>https://www.youtube.com/watch?v=f7I61v_Z_Qk&amp;lc=UgyOXp8FHq5PT6wqYOl4AaABAg</v>
      </c>
      <c r="H1872" t="s">
        <v>119</v>
      </c>
      <c r="I1872" t="s">
        <v>6792</v>
      </c>
      <c r="J1872" t="str">
        <f>HYPERLINK("https://www.youtube.com/channel/UCIXtmFerNKjV3U_brBz5Piw")</f>
        <v>https://www.youtube.com/channel/UCIXtmFerNKjV3U_brBz5Piw</v>
      </c>
      <c r="K1872">
        <v>4</v>
      </c>
      <c r="N1872" t="s">
        <v>248</v>
      </c>
      <c r="O1872" t="s">
        <v>5564</v>
      </c>
      <c r="P1872" t="str">
        <f>HYPERLINK("https://www.youtube.com/channel/UCTUx4EVcZIIKPG517num88g")</f>
        <v>https://www.youtube.com/channel/UCTUx4EVcZIIKPG517num88g</v>
      </c>
      <c r="Q1872">
        <v>2430</v>
      </c>
      <c r="R1872" t="s">
        <v>124</v>
      </c>
      <c r="S1872" t="s">
        <v>125</v>
      </c>
      <c r="W1872">
        <v>0</v>
      </c>
      <c r="X1872">
        <v>0</v>
      </c>
      <c r="AE1872">
        <v>0</v>
      </c>
      <c r="AM1872" t="s">
        <v>129</v>
      </c>
      <c r="AN1872" t="s">
        <v>130</v>
      </c>
      <c r="AP1872" t="s">
        <v>41</v>
      </c>
      <c r="AZ1872" t="s">
        <v>51</v>
      </c>
      <c r="BA1872" t="s">
        <v>52</v>
      </c>
      <c r="BL1872" t="s">
        <v>63</v>
      </c>
    </row>
    <row r="1873" spans="1:100" x14ac:dyDescent="0.2">
      <c r="A1873" t="s">
        <v>6591</v>
      </c>
      <c r="B1873" t="s">
        <v>1592</v>
      </c>
      <c r="C1873" t="s">
        <v>6793</v>
      </c>
      <c r="D1873" t="s">
        <v>6794</v>
      </c>
      <c r="E1873" t="s">
        <v>6795</v>
      </c>
      <c r="F1873" t="s">
        <v>118</v>
      </c>
      <c r="G1873" t="str">
        <f>HYPERLINK("https://vk.com/wall-61007329_296671?reply=297386&amp;thread=296824")</f>
        <v>https://vk.com/wall-61007329_296671?reply=297386&amp;thread=296824</v>
      </c>
      <c r="H1873" t="s">
        <v>119</v>
      </c>
      <c r="I1873" t="s">
        <v>6796</v>
      </c>
      <c r="J1873" t="str">
        <f>HYPERLINK("http://vk.com/id512711194")</f>
        <v>http://vk.com/id512711194</v>
      </c>
      <c r="K1873">
        <v>173</v>
      </c>
      <c r="L1873" t="s">
        <v>151</v>
      </c>
      <c r="M1873">
        <v>48</v>
      </c>
      <c r="N1873" t="s">
        <v>122</v>
      </c>
      <c r="O1873" t="s">
        <v>6797</v>
      </c>
      <c r="P1873" t="str">
        <f>HYPERLINK("http://vk.com/club61007329")</f>
        <v>http://vk.com/club61007329</v>
      </c>
      <c r="Q1873">
        <v>24110</v>
      </c>
      <c r="R1873" t="s">
        <v>124</v>
      </c>
      <c r="S1873" t="s">
        <v>125</v>
      </c>
      <c r="T1873" t="s">
        <v>2225</v>
      </c>
      <c r="U1873" t="s">
        <v>2861</v>
      </c>
      <c r="AM1873" t="s">
        <v>129</v>
      </c>
      <c r="AN1873" t="s">
        <v>130</v>
      </c>
      <c r="AP1873" t="s">
        <v>41</v>
      </c>
      <c r="AT1873" t="s">
        <v>45</v>
      </c>
      <c r="AZ1873" t="s">
        <v>51</v>
      </c>
      <c r="BA1873" t="s">
        <v>52</v>
      </c>
    </row>
    <row r="1874" spans="1:100" x14ac:dyDescent="0.2">
      <c r="A1874" t="s">
        <v>6591</v>
      </c>
      <c r="B1874" t="s">
        <v>1592</v>
      </c>
      <c r="C1874" t="s">
        <v>6613</v>
      </c>
      <c r="D1874" t="s">
        <v>6787</v>
      </c>
      <c r="E1874" t="s">
        <v>6798</v>
      </c>
      <c r="F1874" t="s">
        <v>118</v>
      </c>
      <c r="G1874" t="str">
        <f>HYPERLINK("https://www.youtube.com/watch?v=J1XsqfzEubo&amp;lc=UgzTIsVHIA-N2Wz-BEh4AaABAg")</f>
        <v>https://www.youtube.com/watch?v=J1XsqfzEubo&amp;lc=UgzTIsVHIA-N2Wz-BEh4AaABAg</v>
      </c>
      <c r="H1874" t="s">
        <v>181</v>
      </c>
      <c r="I1874" t="s">
        <v>6799</v>
      </c>
      <c r="J1874" t="str">
        <f>HYPERLINK("https://www.youtube.com/channel/UCj-0h7KlTqnYDQ_3xg-qx8w")</f>
        <v>https://www.youtube.com/channel/UCj-0h7KlTqnYDQ_3xg-qx8w</v>
      </c>
      <c r="K1874">
        <v>45</v>
      </c>
      <c r="L1874" t="s">
        <v>121</v>
      </c>
      <c r="N1874" t="s">
        <v>248</v>
      </c>
      <c r="O1874" t="s">
        <v>4496</v>
      </c>
      <c r="P1874" t="str">
        <f>HYPERLINK("https://www.youtube.com/channel/UCIKsOvms5_CYAzWTRbiHWpQ")</f>
        <v>https://www.youtube.com/channel/UCIKsOvms5_CYAzWTRbiHWpQ</v>
      </c>
      <c r="Q1874">
        <v>7990</v>
      </c>
      <c r="R1874" t="s">
        <v>124</v>
      </c>
      <c r="S1874" t="s">
        <v>125</v>
      </c>
      <c r="W1874">
        <v>0</v>
      </c>
      <c r="X1874">
        <v>0</v>
      </c>
      <c r="AE1874">
        <v>1</v>
      </c>
      <c r="AM1874" t="s">
        <v>129</v>
      </c>
      <c r="AN1874" t="s">
        <v>130</v>
      </c>
      <c r="AP1874" t="s">
        <v>41</v>
      </c>
      <c r="AZ1874" t="s">
        <v>51</v>
      </c>
      <c r="BA1874" t="s">
        <v>52</v>
      </c>
      <c r="BL1874" t="s">
        <v>63</v>
      </c>
    </row>
    <row r="1875" spans="1:100" x14ac:dyDescent="0.2">
      <c r="A1875" t="s">
        <v>6591</v>
      </c>
      <c r="B1875" t="s">
        <v>1595</v>
      </c>
      <c r="C1875" t="s">
        <v>6800</v>
      </c>
      <c r="D1875" t="s">
        <v>6801</v>
      </c>
      <c r="E1875" t="s">
        <v>6802</v>
      </c>
      <c r="F1875" t="s">
        <v>118</v>
      </c>
      <c r="G1875" t="str">
        <f>HYPERLINK("https://vk.com/wall-27863223_291831?w=wall-27863223_291831_r291905")</f>
        <v>https://vk.com/wall-27863223_291831?w=wall-27863223_291831_r291905</v>
      </c>
      <c r="H1875" t="s">
        <v>228</v>
      </c>
      <c r="I1875" t="s">
        <v>6803</v>
      </c>
      <c r="J1875" t="str">
        <f>HYPERLINK("http://vk.com/id468458880")</f>
        <v>http://vk.com/id468458880</v>
      </c>
      <c r="K1875">
        <v>60</v>
      </c>
      <c r="L1875" t="s">
        <v>151</v>
      </c>
      <c r="N1875" t="s">
        <v>122</v>
      </c>
      <c r="O1875" t="s">
        <v>175</v>
      </c>
      <c r="P1875" t="str">
        <f>HYPERLINK("http://vk.com/club27863223")</f>
        <v>http://vk.com/club27863223</v>
      </c>
      <c r="Q1875">
        <v>134698</v>
      </c>
      <c r="R1875" t="s">
        <v>124</v>
      </c>
      <c r="S1875" t="s">
        <v>125</v>
      </c>
      <c r="W1875">
        <v>0</v>
      </c>
      <c r="X1875">
        <v>0</v>
      </c>
      <c r="AM1875" t="s">
        <v>129</v>
      </c>
      <c r="AN1875" t="s">
        <v>130</v>
      </c>
      <c r="AP1875" t="s">
        <v>41</v>
      </c>
      <c r="AX1875" t="s">
        <v>49</v>
      </c>
      <c r="AZ1875" t="s">
        <v>51</v>
      </c>
      <c r="BA1875" t="s">
        <v>52</v>
      </c>
    </row>
    <row r="1876" spans="1:100" x14ac:dyDescent="0.2">
      <c r="A1876" t="s">
        <v>6591</v>
      </c>
      <c r="B1876" t="s">
        <v>1604</v>
      </c>
      <c r="C1876" t="s">
        <v>6804</v>
      </c>
      <c r="D1876" t="s">
        <v>3941</v>
      </c>
      <c r="E1876" t="s">
        <v>6805</v>
      </c>
      <c r="F1876" t="s">
        <v>118</v>
      </c>
      <c r="G1876" t="str">
        <f>HYPERLINK("https://vk.com/wall-27863223_291839?reply=291902&amp;thread=291840")</f>
        <v>https://vk.com/wall-27863223_291839?reply=291902&amp;thread=291840</v>
      </c>
      <c r="H1876" t="s">
        <v>228</v>
      </c>
      <c r="I1876" t="s">
        <v>254</v>
      </c>
      <c r="J1876" t="str">
        <f>HYPERLINK("http://vk.com/id286061518")</f>
        <v>http://vk.com/id286061518</v>
      </c>
      <c r="K1876">
        <v>5170</v>
      </c>
      <c r="L1876" t="s">
        <v>121</v>
      </c>
      <c r="M1876">
        <v>34</v>
      </c>
      <c r="N1876" t="s">
        <v>122</v>
      </c>
      <c r="O1876" t="s">
        <v>175</v>
      </c>
      <c r="P1876" t="str">
        <f>HYPERLINK("http://vk.com/club27863223")</f>
        <v>http://vk.com/club27863223</v>
      </c>
      <c r="Q1876">
        <v>134698</v>
      </c>
      <c r="R1876" t="s">
        <v>124</v>
      </c>
      <c r="S1876" t="s">
        <v>125</v>
      </c>
      <c r="T1876" t="s">
        <v>256</v>
      </c>
      <c r="U1876" t="s">
        <v>257</v>
      </c>
      <c r="AM1876" t="s">
        <v>129</v>
      </c>
      <c r="AN1876" t="s">
        <v>130</v>
      </c>
      <c r="AP1876" t="s">
        <v>41</v>
      </c>
      <c r="AZ1876" t="s">
        <v>51</v>
      </c>
      <c r="BA1876" t="s">
        <v>52</v>
      </c>
    </row>
    <row r="1877" spans="1:100" x14ac:dyDescent="0.2">
      <c r="A1877" t="s">
        <v>6591</v>
      </c>
      <c r="B1877" t="s">
        <v>3828</v>
      </c>
      <c r="C1877" t="s">
        <v>6661</v>
      </c>
      <c r="D1877" t="s">
        <v>6068</v>
      </c>
      <c r="E1877" t="s">
        <v>6806</v>
      </c>
      <c r="F1877" t="s">
        <v>118</v>
      </c>
      <c r="G1877" t="str">
        <f>HYPERLINK("https://ok.ru/group/53918693523698/topic/153728707247602#MTYyNjUxOTUxMjQzMTotMTA1NjM6MTYyNjUxOTUxMjQzMToxNTM3Mjg3MDcyNDc2MDI6MQ==")</f>
        <v>https://ok.ru/group/53918693523698/topic/153728707247602#MTYyNjUxOTUxMjQzMTotMTA1NjM6MTYyNjUxOTUxMjQzMToxNTM3Mjg3MDcyNDc2MDI6MQ==</v>
      </c>
      <c r="H1877" t="s">
        <v>181</v>
      </c>
      <c r="I1877" t="s">
        <v>6618</v>
      </c>
      <c r="J1877" t="str">
        <f>HYPERLINK("https://ok.ru/profile/582792759782")</f>
        <v>https://ok.ru/profile/582792759782</v>
      </c>
      <c r="K1877">
        <v>23</v>
      </c>
      <c r="L1877" t="s">
        <v>121</v>
      </c>
      <c r="M1877">
        <v>42</v>
      </c>
      <c r="N1877" t="s">
        <v>347</v>
      </c>
      <c r="O1877" t="s">
        <v>6071</v>
      </c>
      <c r="P1877" t="str">
        <f>HYPERLINK("https://ok.ru/group/53918693523698")</f>
        <v>https://ok.ru/group/53918693523698</v>
      </c>
      <c r="Q1877">
        <v>17454</v>
      </c>
      <c r="R1877" t="s">
        <v>124</v>
      </c>
      <c r="S1877" t="s">
        <v>125</v>
      </c>
      <c r="T1877" t="s">
        <v>256</v>
      </c>
      <c r="U1877" t="s">
        <v>6372</v>
      </c>
      <c r="W1877">
        <v>0</v>
      </c>
      <c r="X1877">
        <v>0</v>
      </c>
      <c r="AM1877" t="s">
        <v>129</v>
      </c>
      <c r="AN1877" t="s">
        <v>130</v>
      </c>
      <c r="AP1877" t="s">
        <v>41</v>
      </c>
      <c r="AZ1877" t="s">
        <v>51</v>
      </c>
      <c r="BA1877" t="s">
        <v>52</v>
      </c>
    </row>
    <row r="1878" spans="1:100" x14ac:dyDescent="0.2">
      <c r="A1878" t="s">
        <v>6591</v>
      </c>
      <c r="B1878" t="s">
        <v>474</v>
      </c>
      <c r="C1878" t="s">
        <v>6807</v>
      </c>
      <c r="D1878" t="s">
        <v>3941</v>
      </c>
      <c r="E1878" t="s">
        <v>6808</v>
      </c>
      <c r="F1878" t="s">
        <v>118</v>
      </c>
      <c r="G1878" t="str">
        <f>HYPERLINK("https://vk.com/wall-27863223_291839?reply=291901&amp;thread=291840")</f>
        <v>https://vk.com/wall-27863223_291839?reply=291901&amp;thread=291840</v>
      </c>
      <c r="H1878" t="s">
        <v>119</v>
      </c>
      <c r="I1878" t="s">
        <v>2353</v>
      </c>
      <c r="J1878" t="str">
        <f>HYPERLINK("http://vk.com/id26675501")</f>
        <v>http://vk.com/id26675501</v>
      </c>
      <c r="K1878">
        <v>163</v>
      </c>
      <c r="L1878" t="s">
        <v>121</v>
      </c>
      <c r="M1878">
        <v>31</v>
      </c>
      <c r="N1878" t="s">
        <v>122</v>
      </c>
      <c r="O1878" t="s">
        <v>175</v>
      </c>
      <c r="P1878" t="str">
        <f>HYPERLINK("http://vk.com/club27863223")</f>
        <v>http://vk.com/club27863223</v>
      </c>
      <c r="Q1878">
        <v>134698</v>
      </c>
      <c r="R1878" t="s">
        <v>124</v>
      </c>
      <c r="S1878" t="s">
        <v>125</v>
      </c>
      <c r="T1878" t="s">
        <v>137</v>
      </c>
      <c r="U1878" t="s">
        <v>137</v>
      </c>
      <c r="AM1878" t="s">
        <v>129</v>
      </c>
      <c r="AN1878" t="s">
        <v>130</v>
      </c>
      <c r="AP1878" t="s">
        <v>41</v>
      </c>
      <c r="AT1878" t="s">
        <v>45</v>
      </c>
      <c r="AU1878" t="s">
        <v>46</v>
      </c>
      <c r="AZ1878" t="s">
        <v>51</v>
      </c>
      <c r="BA1878" t="s">
        <v>52</v>
      </c>
    </row>
    <row r="1879" spans="1:100" x14ac:dyDescent="0.2">
      <c r="A1879" t="s">
        <v>6591</v>
      </c>
      <c r="B1879" t="s">
        <v>2613</v>
      </c>
      <c r="C1879" t="s">
        <v>6809</v>
      </c>
      <c r="D1879" t="s">
        <v>6810</v>
      </c>
      <c r="E1879" t="s">
        <v>6811</v>
      </c>
      <c r="F1879" t="s">
        <v>118</v>
      </c>
      <c r="G1879" t="str">
        <f>HYPERLINK("https://www.youtube.com/watch?v=Rc9SoUpZO0U&amp;lc=UgwLpOiVwDarPi4RO3F4AaABAg")</f>
        <v>https://www.youtube.com/watch?v=Rc9SoUpZO0U&amp;lc=UgwLpOiVwDarPi4RO3F4AaABAg</v>
      </c>
      <c r="H1879" t="s">
        <v>119</v>
      </c>
      <c r="I1879" t="s">
        <v>6812</v>
      </c>
      <c r="J1879" t="str">
        <f>HYPERLINK("https://www.youtube.com/channel/UChhizSPTNecDrCIMD4yX_uA")</f>
        <v>https://www.youtube.com/channel/UChhizSPTNecDrCIMD4yX_uA</v>
      </c>
      <c r="K1879">
        <v>4</v>
      </c>
      <c r="L1879" t="s">
        <v>151</v>
      </c>
      <c r="N1879" t="s">
        <v>248</v>
      </c>
      <c r="O1879" t="s">
        <v>6813</v>
      </c>
      <c r="P1879" t="str">
        <f>HYPERLINK("https://www.youtube.com/channel/UCfZD3mjN0WRxXIRTp51daHQ")</f>
        <v>https://www.youtube.com/channel/UCfZD3mjN0WRxXIRTp51daHQ</v>
      </c>
      <c r="Q1879">
        <v>82</v>
      </c>
      <c r="R1879" t="s">
        <v>124</v>
      </c>
      <c r="W1879">
        <v>1</v>
      </c>
      <c r="X1879">
        <v>1</v>
      </c>
      <c r="AE1879">
        <v>0</v>
      </c>
      <c r="AM1879" t="s">
        <v>129</v>
      </c>
      <c r="AN1879" t="s">
        <v>130</v>
      </c>
      <c r="AP1879" t="s">
        <v>41</v>
      </c>
      <c r="AU1879" t="s">
        <v>46</v>
      </c>
      <c r="AZ1879" t="s">
        <v>51</v>
      </c>
      <c r="BA1879" t="s">
        <v>52</v>
      </c>
    </row>
    <row r="1880" spans="1:100" x14ac:dyDescent="0.2">
      <c r="A1880" t="s">
        <v>6591</v>
      </c>
      <c r="B1880" t="s">
        <v>2084</v>
      </c>
      <c r="C1880" t="s">
        <v>6814</v>
      </c>
      <c r="D1880" t="s">
        <v>1697</v>
      </c>
      <c r="E1880" t="s">
        <v>6815</v>
      </c>
      <c r="F1880" t="s">
        <v>180</v>
      </c>
      <c r="G1880" t="str">
        <f>HYPERLINK("https://apps.apple.com/ru/app/мой-триколор/id1204321194#7586387031")</f>
        <v>https://apps.apple.com/ru/app/мой-триколор/id1204321194#7586387031</v>
      </c>
      <c r="H1880" t="s">
        <v>228</v>
      </c>
      <c r="I1880" t="s">
        <v>6816</v>
      </c>
      <c r="J1880" t="str">
        <f>HYPERLINK("https://itunes.apple.com/reviews?userProfileId=245179268")</f>
        <v>https://itunes.apple.com/reviews?userProfileId=245179268</v>
      </c>
      <c r="N1880" t="s">
        <v>1411</v>
      </c>
      <c r="O1880" t="s">
        <v>1697</v>
      </c>
      <c r="P1880" t="str">
        <f>HYPERLINK("https://apps.apple.com/ru/app/мой-триколор/id1204321194")</f>
        <v>https://apps.apple.com/ru/app/мой-триколор/id1204321194</v>
      </c>
      <c r="R1880" t="s">
        <v>184</v>
      </c>
      <c r="S1880" t="s">
        <v>125</v>
      </c>
      <c r="AH1880">
        <v>1</v>
      </c>
      <c r="AM1880" t="s">
        <v>129</v>
      </c>
      <c r="AN1880" t="s">
        <v>130</v>
      </c>
      <c r="AP1880" t="s">
        <v>41</v>
      </c>
      <c r="AZ1880" t="s">
        <v>51</v>
      </c>
      <c r="BA1880" t="s">
        <v>52</v>
      </c>
      <c r="BQ1880" t="s">
        <v>68</v>
      </c>
    </row>
    <row r="1881" spans="1:100" x14ac:dyDescent="0.2">
      <c r="A1881" t="s">
        <v>6591</v>
      </c>
      <c r="B1881" t="s">
        <v>3853</v>
      </c>
      <c r="C1881" t="s">
        <v>6817</v>
      </c>
      <c r="D1881" t="s">
        <v>6801</v>
      </c>
      <c r="E1881" t="s">
        <v>6818</v>
      </c>
      <c r="F1881" t="s">
        <v>118</v>
      </c>
      <c r="G1881" t="str">
        <f>HYPERLINK("https://vk.com/wall-27863223_291831?w=wall-27863223_291831_r291897")</f>
        <v>https://vk.com/wall-27863223_291831?w=wall-27863223_291831_r291897</v>
      </c>
      <c r="H1881" t="s">
        <v>228</v>
      </c>
      <c r="I1881" t="s">
        <v>6803</v>
      </c>
      <c r="J1881" t="str">
        <f>HYPERLINK("http://vk.com/id468458880")</f>
        <v>http://vk.com/id468458880</v>
      </c>
      <c r="K1881">
        <v>60</v>
      </c>
      <c r="L1881" t="s">
        <v>151</v>
      </c>
      <c r="N1881" t="s">
        <v>122</v>
      </c>
      <c r="O1881" t="s">
        <v>175</v>
      </c>
      <c r="P1881" t="str">
        <f>HYPERLINK("http://vk.com/club27863223")</f>
        <v>http://vk.com/club27863223</v>
      </c>
      <c r="Q1881">
        <v>134698</v>
      </c>
      <c r="R1881" t="s">
        <v>124</v>
      </c>
      <c r="S1881" t="s">
        <v>125</v>
      </c>
      <c r="W1881">
        <v>0</v>
      </c>
      <c r="X1881">
        <v>0</v>
      </c>
      <c r="AM1881" t="s">
        <v>129</v>
      </c>
      <c r="AN1881" t="s">
        <v>130</v>
      </c>
      <c r="AP1881" t="s">
        <v>41</v>
      </c>
      <c r="AX1881" t="s">
        <v>49</v>
      </c>
      <c r="AZ1881" t="s">
        <v>51</v>
      </c>
      <c r="BD1881" t="s">
        <v>55</v>
      </c>
    </row>
    <row r="1882" spans="1:100" x14ac:dyDescent="0.2">
      <c r="A1882" t="s">
        <v>6591</v>
      </c>
      <c r="B1882" t="s">
        <v>6819</v>
      </c>
      <c r="C1882" t="s">
        <v>6820</v>
      </c>
      <c r="D1882" t="s">
        <v>3166</v>
      </c>
      <c r="E1882" t="s">
        <v>6821</v>
      </c>
      <c r="F1882" t="s">
        <v>118</v>
      </c>
      <c r="G1882" t="str">
        <f>HYPERLINK("https://vk.com/wall-27863223_291605?reply=291893&amp;thread=291889")</f>
        <v>https://vk.com/wall-27863223_291605?reply=291893&amp;thread=291889</v>
      </c>
      <c r="H1882" t="s">
        <v>228</v>
      </c>
      <c r="I1882" t="s">
        <v>6822</v>
      </c>
      <c r="J1882" t="str">
        <f>HYPERLINK("http://vk.com/id33737831")</f>
        <v>http://vk.com/id33737831</v>
      </c>
      <c r="K1882">
        <v>51</v>
      </c>
      <c r="L1882" t="s">
        <v>151</v>
      </c>
      <c r="M1882">
        <v>66</v>
      </c>
      <c r="N1882" t="s">
        <v>122</v>
      </c>
      <c r="O1882" t="s">
        <v>175</v>
      </c>
      <c r="P1882" t="str">
        <f>HYPERLINK("http://vk.com/club27863223")</f>
        <v>http://vk.com/club27863223</v>
      </c>
      <c r="Q1882">
        <v>134698</v>
      </c>
      <c r="R1882" t="s">
        <v>124</v>
      </c>
      <c r="S1882" t="s">
        <v>125</v>
      </c>
      <c r="T1882" t="s">
        <v>4407</v>
      </c>
      <c r="U1882" t="s">
        <v>6823</v>
      </c>
      <c r="AM1882" t="s">
        <v>129</v>
      </c>
      <c r="AN1882" t="s">
        <v>130</v>
      </c>
      <c r="AP1882" t="s">
        <v>41</v>
      </c>
      <c r="AZ1882" t="s">
        <v>51</v>
      </c>
      <c r="BA1882" t="s">
        <v>52</v>
      </c>
      <c r="BL1882" t="s">
        <v>63</v>
      </c>
      <c r="CV1882" t="s">
        <v>99</v>
      </c>
    </row>
    <row r="1883" spans="1:100" x14ac:dyDescent="0.2">
      <c r="A1883" t="s">
        <v>6591</v>
      </c>
      <c r="B1883" t="s">
        <v>1083</v>
      </c>
      <c r="C1883" t="s">
        <v>6824</v>
      </c>
      <c r="D1883" t="s">
        <v>204</v>
      </c>
      <c r="E1883" t="s">
        <v>6825</v>
      </c>
      <c r="F1883" t="s">
        <v>180</v>
      </c>
      <c r="G1883" t="str">
        <f>HYPERLINK("https://play.google.com/store/apps/details?id=ru.iflex.android.a3colortv&amp;reviewId=gp:AOqpTOEHaPTQNrnUDfPiY1ipdNxRkqKbAg_AIHEsGjAfbBToMxkJs0imV3DDsoEj1pxwjRGAO8rVk7MFZJV6ew")</f>
        <v>https://play.google.com/store/apps/details?id=ru.iflex.android.a3colortv&amp;reviewId=gp:AOqpTOEHaPTQNrnUDfPiY1ipdNxRkqKbAg_AIHEsGjAfbBToMxkJs0imV3DDsoEj1pxwjRGAO8rVk7MFZJV6ew</v>
      </c>
      <c r="H1883" t="s">
        <v>228</v>
      </c>
      <c r="I1883" t="s">
        <v>6826</v>
      </c>
      <c r="J1883" t="str">
        <f>HYPERLINK("https://plus.google.com/108804757556364314043")</f>
        <v>https://plus.google.com/108804757556364314043</v>
      </c>
      <c r="L1883" t="s">
        <v>151</v>
      </c>
      <c r="N1883" t="s">
        <v>207</v>
      </c>
      <c r="O1883" t="s">
        <v>204</v>
      </c>
      <c r="P1883" t="str">
        <f>HYPERLINK("https://play.google.com/store/apps/details?id=ru.iflex.android.a3colortv&amp;hl=ru")</f>
        <v>https://play.google.com/store/apps/details?id=ru.iflex.android.a3colortv&amp;hl=ru</v>
      </c>
      <c r="R1883" t="s">
        <v>184</v>
      </c>
      <c r="S1883" t="s">
        <v>125</v>
      </c>
      <c r="W1883">
        <v>0</v>
      </c>
      <c r="X1883">
        <v>0</v>
      </c>
      <c r="AH1883">
        <v>1</v>
      </c>
      <c r="AM1883" t="s">
        <v>129</v>
      </c>
      <c r="AN1883" t="s">
        <v>130</v>
      </c>
      <c r="AP1883" t="s">
        <v>41</v>
      </c>
      <c r="AY1883" t="s">
        <v>50</v>
      </c>
      <c r="AZ1883" t="s">
        <v>51</v>
      </c>
      <c r="BA1883" t="s">
        <v>52</v>
      </c>
      <c r="BQ1883" t="s">
        <v>68</v>
      </c>
    </row>
    <row r="1884" spans="1:100" x14ac:dyDescent="0.2">
      <c r="A1884" t="s">
        <v>6591</v>
      </c>
      <c r="B1884" t="s">
        <v>4821</v>
      </c>
      <c r="C1884" t="s">
        <v>6827</v>
      </c>
      <c r="D1884" t="s">
        <v>129</v>
      </c>
      <c r="E1884" t="s">
        <v>6828</v>
      </c>
      <c r="F1884" t="s">
        <v>180</v>
      </c>
      <c r="G1884" t="str">
        <f>HYPERLINK("https://twitter.com/360582757/status/1416334755738624000")</f>
        <v>https://twitter.com/360582757/status/1416334755738624000</v>
      </c>
      <c r="H1884" t="s">
        <v>119</v>
      </c>
      <c r="I1884" t="s">
        <v>175</v>
      </c>
      <c r="J1884" t="str">
        <f>HYPERLINK("http://twitter.com/tricolortv")</f>
        <v>http://twitter.com/tricolortv</v>
      </c>
      <c r="K1884">
        <v>5663</v>
      </c>
      <c r="N1884" t="s">
        <v>350</v>
      </c>
      <c r="R1884" t="s">
        <v>124</v>
      </c>
      <c r="S1884" t="s">
        <v>125</v>
      </c>
      <c r="T1884" t="s">
        <v>137</v>
      </c>
      <c r="U1884" t="s">
        <v>137</v>
      </c>
      <c r="W1884">
        <v>1</v>
      </c>
      <c r="X1884">
        <v>1</v>
      </c>
      <c r="AE1884">
        <v>0</v>
      </c>
      <c r="AF1884">
        <v>0</v>
      </c>
      <c r="AJ1884" t="s">
        <v>2424</v>
      </c>
      <c r="AK1884" t="s">
        <v>129</v>
      </c>
      <c r="AL1884" t="str">
        <f>HYPERLINK("https://pbs.twimg.com/media/E6fU8DsXIAE8MHK.jpg")</f>
        <v>https://pbs.twimg.com/media/E6fU8DsXIAE8MHK.jpg</v>
      </c>
      <c r="AM1884" t="s">
        <v>129</v>
      </c>
      <c r="AN1884" t="s">
        <v>130</v>
      </c>
      <c r="BI1884" t="s">
        <v>60</v>
      </c>
    </row>
    <row r="1885" spans="1:100" x14ac:dyDescent="0.2">
      <c r="A1885" t="s">
        <v>6591</v>
      </c>
      <c r="B1885" t="s">
        <v>1638</v>
      </c>
      <c r="C1885" t="s">
        <v>6829</v>
      </c>
      <c r="D1885" t="s">
        <v>6830</v>
      </c>
      <c r="E1885" t="s">
        <v>6831</v>
      </c>
      <c r="F1885" t="s">
        <v>180</v>
      </c>
      <c r="G1885" t="str">
        <f>HYPERLINK("https://ok.ru/group/51085510115462/topic/153457194542470")</f>
        <v>https://ok.ru/group/51085510115462/topic/153457194542470</v>
      </c>
      <c r="H1885" t="s">
        <v>119</v>
      </c>
      <c r="I1885" t="s">
        <v>175</v>
      </c>
      <c r="J1885" t="str">
        <f>HYPERLINK("https://ok.ru/group/51085510115462")</f>
        <v>https://ok.ru/group/51085510115462</v>
      </c>
      <c r="K1885">
        <v>94768</v>
      </c>
      <c r="L1885" t="s">
        <v>340</v>
      </c>
      <c r="N1885" t="s">
        <v>347</v>
      </c>
      <c r="O1885" t="s">
        <v>175</v>
      </c>
      <c r="P1885" t="str">
        <f>HYPERLINK("https://ok.ru/group/51085510115462")</f>
        <v>https://ok.ru/group/51085510115462</v>
      </c>
      <c r="Q1885">
        <v>94768</v>
      </c>
      <c r="R1885" t="s">
        <v>124</v>
      </c>
      <c r="W1885">
        <v>9</v>
      </c>
      <c r="X1885">
        <v>9</v>
      </c>
      <c r="Y1885">
        <v>0</v>
      </c>
      <c r="Z1885">
        <v>0</v>
      </c>
      <c r="AA1885">
        <v>0</v>
      </c>
      <c r="AB1885">
        <v>0</v>
      </c>
      <c r="AE1885">
        <v>0</v>
      </c>
      <c r="AF1885">
        <v>0</v>
      </c>
      <c r="AJ1885" t="s">
        <v>2424</v>
      </c>
      <c r="AK1885" t="s">
        <v>129</v>
      </c>
      <c r="AL1885" t="str">
        <f>HYPERLINK("https://i.mycdn.me/image?id=918644009606&amp;t=20&amp;plc=API&amp;aid=1131601408&amp;tkn=*iB-CLTsqt62zaz1O2j7Cq9xB7vU")</f>
        <v>https://i.mycdn.me/image?id=918644009606&amp;t=20&amp;plc=API&amp;aid=1131601408&amp;tkn=*iB-CLTsqt62zaz1O2j7Cq9xB7vU</v>
      </c>
      <c r="AM1885" t="s">
        <v>129</v>
      </c>
      <c r="AN1885" t="s">
        <v>130</v>
      </c>
      <c r="BI1885" t="s">
        <v>60</v>
      </c>
    </row>
    <row r="1886" spans="1:100" x14ac:dyDescent="0.2">
      <c r="A1886" t="s">
        <v>6591</v>
      </c>
      <c r="B1886" t="s">
        <v>6471</v>
      </c>
      <c r="C1886" t="s">
        <v>6692</v>
      </c>
      <c r="D1886" t="s">
        <v>129</v>
      </c>
      <c r="E1886" t="s">
        <v>6832</v>
      </c>
      <c r="F1886" t="s">
        <v>180</v>
      </c>
      <c r="G1886" t="str">
        <f>HYPERLINK("https://www.facebook.com/tricolortv/posts/4092403594147213")</f>
        <v>https://www.facebook.com/tricolortv/posts/4092403594147213</v>
      </c>
      <c r="H1886" t="s">
        <v>119</v>
      </c>
      <c r="I1886" t="s">
        <v>175</v>
      </c>
      <c r="J1886" t="str">
        <f>HYPERLINK("https://www.facebook.com/206198386101106")</f>
        <v>https://www.facebook.com/206198386101106</v>
      </c>
      <c r="K1886">
        <v>16432</v>
      </c>
      <c r="L1886" t="s">
        <v>340</v>
      </c>
      <c r="N1886" t="s">
        <v>305</v>
      </c>
      <c r="O1886" t="s">
        <v>175</v>
      </c>
      <c r="P1886" t="str">
        <f>HYPERLINK("https://www.facebook.com/206198386101106")</f>
        <v>https://www.facebook.com/206198386101106</v>
      </c>
      <c r="Q1886">
        <v>16432</v>
      </c>
      <c r="R1886" t="s">
        <v>124</v>
      </c>
      <c r="W1886">
        <v>0</v>
      </c>
      <c r="X1886">
        <v>0</v>
      </c>
      <c r="Y1886">
        <v>0</v>
      </c>
      <c r="Z1886">
        <v>0</v>
      </c>
      <c r="AA1886">
        <v>0</v>
      </c>
      <c r="AB1886">
        <v>0</v>
      </c>
      <c r="AC1886">
        <v>0</v>
      </c>
      <c r="AE1886">
        <v>0</v>
      </c>
      <c r="AF1886">
        <v>0</v>
      </c>
      <c r="AJ1886" t="s">
        <v>2424</v>
      </c>
      <c r="AK1886" t="s">
        <v>129</v>
      </c>
      <c r="AL1886" t="s">
        <v>6833</v>
      </c>
      <c r="AM1886" t="s">
        <v>129</v>
      </c>
      <c r="AN1886" t="s">
        <v>130</v>
      </c>
      <c r="BI1886" t="s">
        <v>60</v>
      </c>
    </row>
    <row r="1887" spans="1:100" x14ac:dyDescent="0.2">
      <c r="A1887" t="s">
        <v>6591</v>
      </c>
      <c r="B1887" t="s">
        <v>2663</v>
      </c>
      <c r="C1887" t="s">
        <v>6661</v>
      </c>
      <c r="D1887" t="s">
        <v>6068</v>
      </c>
      <c r="E1887" t="s">
        <v>6834</v>
      </c>
      <c r="F1887" t="s">
        <v>118</v>
      </c>
      <c r="G1887" t="str">
        <f>HYPERLINK("https://ok.ru/group/53918693523698/topic/153728707247602#MTYyNjUxNDE0MTI3NTotMTMwNTc6MTYyNjUxNDE0MTI3NToxNTM3Mjg3MDcyNDc2MDI6MQ==")</f>
        <v>https://ok.ru/group/53918693523698/topic/153728707247602#MTYyNjUxNDE0MTI3NTotMTMwNTc6MTYyNjUxNDE0MTI3NToxNTM3Mjg3MDcyNDc2MDI6MQ==</v>
      </c>
      <c r="H1887" t="s">
        <v>181</v>
      </c>
      <c r="I1887" t="s">
        <v>6835</v>
      </c>
      <c r="J1887" t="str">
        <f>HYPERLINK("https://ok.ru/profile/545759518767")</f>
        <v>https://ok.ru/profile/545759518767</v>
      </c>
      <c r="K1887">
        <v>308</v>
      </c>
      <c r="L1887" t="s">
        <v>151</v>
      </c>
      <c r="M1887">
        <v>35</v>
      </c>
      <c r="N1887" t="s">
        <v>347</v>
      </c>
      <c r="O1887" t="s">
        <v>6071</v>
      </c>
      <c r="P1887" t="str">
        <f>HYPERLINK("https://ok.ru/group/53918693523698")</f>
        <v>https://ok.ru/group/53918693523698</v>
      </c>
      <c r="Q1887">
        <v>17454</v>
      </c>
      <c r="R1887" t="s">
        <v>124</v>
      </c>
      <c r="S1887" t="s">
        <v>125</v>
      </c>
      <c r="T1887" t="s">
        <v>256</v>
      </c>
      <c r="U1887" t="s">
        <v>6836</v>
      </c>
      <c r="W1887">
        <v>1</v>
      </c>
      <c r="X1887">
        <v>1</v>
      </c>
      <c r="AM1887" t="s">
        <v>129</v>
      </c>
      <c r="AN1887" t="s">
        <v>130</v>
      </c>
      <c r="AP1887" t="s">
        <v>41</v>
      </c>
      <c r="AZ1887" t="s">
        <v>51</v>
      </c>
      <c r="BA1887" t="s">
        <v>52</v>
      </c>
    </row>
    <row r="1888" spans="1:100" x14ac:dyDescent="0.2">
      <c r="A1888" t="s">
        <v>6591</v>
      </c>
      <c r="B1888" t="s">
        <v>1668</v>
      </c>
      <c r="C1888" t="s">
        <v>6837</v>
      </c>
      <c r="D1888" t="s">
        <v>6801</v>
      </c>
      <c r="E1888" t="s">
        <v>6838</v>
      </c>
      <c r="F1888" t="s">
        <v>118</v>
      </c>
      <c r="G1888" t="str">
        <f>HYPERLINK("https://vk.com/wall-27863223_291831?w=wall-27863223_291831_r291882")</f>
        <v>https://vk.com/wall-27863223_291831?w=wall-27863223_291831_r291882</v>
      </c>
      <c r="H1888" t="s">
        <v>228</v>
      </c>
      <c r="I1888" t="s">
        <v>6803</v>
      </c>
      <c r="J1888" t="str">
        <f>HYPERLINK("http://vk.com/id468458880")</f>
        <v>http://vk.com/id468458880</v>
      </c>
      <c r="K1888">
        <v>60</v>
      </c>
      <c r="L1888" t="s">
        <v>151</v>
      </c>
      <c r="N1888" t="s">
        <v>122</v>
      </c>
      <c r="O1888" t="s">
        <v>175</v>
      </c>
      <c r="P1888" t="str">
        <f>HYPERLINK("http://vk.com/club27863223")</f>
        <v>http://vk.com/club27863223</v>
      </c>
      <c r="Q1888">
        <v>134698</v>
      </c>
      <c r="R1888" t="s">
        <v>124</v>
      </c>
      <c r="S1888" t="s">
        <v>125</v>
      </c>
      <c r="W1888">
        <v>0</v>
      </c>
      <c r="X1888">
        <v>0</v>
      </c>
      <c r="AM1888" t="s">
        <v>129</v>
      </c>
      <c r="AN1888" t="s">
        <v>130</v>
      </c>
      <c r="AP1888" t="s">
        <v>41</v>
      </c>
      <c r="AX1888" t="s">
        <v>49</v>
      </c>
      <c r="AZ1888" t="s">
        <v>51</v>
      </c>
      <c r="BD1888" t="s">
        <v>55</v>
      </c>
    </row>
    <row r="1889" spans="1:65" x14ac:dyDescent="0.2">
      <c r="A1889" t="s">
        <v>6591</v>
      </c>
      <c r="B1889" t="s">
        <v>6839</v>
      </c>
      <c r="C1889" t="s">
        <v>5345</v>
      </c>
      <c r="D1889" t="s">
        <v>381</v>
      </c>
      <c r="E1889" t="s">
        <v>6840</v>
      </c>
      <c r="F1889" t="s">
        <v>180</v>
      </c>
      <c r="G1889" t="str">
        <f>HYPERLINK("https://www.ozon.ru/context/detail/id/220479377/#60020676")</f>
        <v>https://www.ozon.ru/context/detail/id/220479377/#60020676</v>
      </c>
      <c r="H1889" t="s">
        <v>181</v>
      </c>
      <c r="I1889" t="s">
        <v>6841</v>
      </c>
      <c r="J1889" t="str">
        <f>HYPERLINK("https://www.ozon.ru/context/client_opinion/ClientGuid/4b5cc716-fd13-4b2e-9e10-ef53c51d5409/")</f>
        <v>https://www.ozon.ru/context/client_opinion/ClientGuid/4b5cc716-fd13-4b2e-9e10-ef53c51d5409/</v>
      </c>
      <c r="L1889" t="s">
        <v>151</v>
      </c>
      <c r="N1889" t="s">
        <v>183</v>
      </c>
      <c r="O1889" t="s">
        <v>384</v>
      </c>
      <c r="P1889" t="str">
        <f>HYPERLINK("https://www.ozon.ru/context/detail/id/220479377/")</f>
        <v>https://www.ozon.ru/context/detail/id/220479377/</v>
      </c>
      <c r="R1889" t="s">
        <v>184</v>
      </c>
      <c r="S1889" t="s">
        <v>125</v>
      </c>
      <c r="W1889">
        <v>0</v>
      </c>
      <c r="X1889">
        <v>0</v>
      </c>
      <c r="AH1889">
        <v>5</v>
      </c>
      <c r="AM1889" t="s">
        <v>129</v>
      </c>
      <c r="AN1889" t="s">
        <v>130</v>
      </c>
      <c r="AP1889" t="s">
        <v>41</v>
      </c>
      <c r="AT1889" t="s">
        <v>45</v>
      </c>
      <c r="AZ1889" t="s">
        <v>51</v>
      </c>
      <c r="BA1889" t="s">
        <v>52</v>
      </c>
    </row>
    <row r="1890" spans="1:65" x14ac:dyDescent="0.2">
      <c r="A1890" t="s">
        <v>6591</v>
      </c>
      <c r="B1890" t="s">
        <v>550</v>
      </c>
      <c r="C1890" t="s">
        <v>6842</v>
      </c>
      <c r="D1890" t="s">
        <v>3166</v>
      </c>
      <c r="E1890" t="s">
        <v>6843</v>
      </c>
      <c r="F1890" t="s">
        <v>118</v>
      </c>
      <c r="G1890" t="str">
        <f>HYPERLINK("https://vk.com/wall-27863223_291605?reply=291880&amp;thread=291875")</f>
        <v>https://vk.com/wall-27863223_291605?reply=291880&amp;thread=291875</v>
      </c>
      <c r="H1890" t="s">
        <v>228</v>
      </c>
      <c r="I1890" t="s">
        <v>6822</v>
      </c>
      <c r="J1890" t="str">
        <f>HYPERLINK("http://vk.com/id33737831")</f>
        <v>http://vk.com/id33737831</v>
      </c>
      <c r="K1890">
        <v>51</v>
      </c>
      <c r="L1890" t="s">
        <v>151</v>
      </c>
      <c r="M1890">
        <v>66</v>
      </c>
      <c r="N1890" t="s">
        <v>122</v>
      </c>
      <c r="O1890" t="s">
        <v>175</v>
      </c>
      <c r="P1890" t="str">
        <f>HYPERLINK("http://vk.com/club27863223")</f>
        <v>http://vk.com/club27863223</v>
      </c>
      <c r="Q1890">
        <v>134698</v>
      </c>
      <c r="R1890" t="s">
        <v>124</v>
      </c>
      <c r="S1890" t="s">
        <v>125</v>
      </c>
      <c r="T1890" t="s">
        <v>4407</v>
      </c>
      <c r="U1890" t="s">
        <v>6823</v>
      </c>
      <c r="AM1890" t="s">
        <v>129</v>
      </c>
      <c r="AN1890" t="s">
        <v>130</v>
      </c>
      <c r="AP1890" t="s">
        <v>41</v>
      </c>
      <c r="AZ1890" t="s">
        <v>51</v>
      </c>
      <c r="BA1890" t="s">
        <v>52</v>
      </c>
      <c r="BL1890" t="s">
        <v>63</v>
      </c>
    </row>
    <row r="1891" spans="1:65" x14ac:dyDescent="0.2">
      <c r="A1891" t="s">
        <v>6591</v>
      </c>
      <c r="B1891" t="s">
        <v>553</v>
      </c>
      <c r="C1891" t="s">
        <v>6844</v>
      </c>
      <c r="D1891" t="s">
        <v>3941</v>
      </c>
      <c r="E1891" t="s">
        <v>6845</v>
      </c>
      <c r="F1891" t="s">
        <v>118</v>
      </c>
      <c r="G1891" t="str">
        <f>HYPERLINK("https://vk.com/wall-27863223_291839?reply=291879&amp;thread=291861")</f>
        <v>https://vk.com/wall-27863223_291839?reply=291879&amp;thread=291861</v>
      </c>
      <c r="H1891" t="s">
        <v>228</v>
      </c>
      <c r="I1891" t="s">
        <v>1111</v>
      </c>
      <c r="J1891" t="str">
        <f>HYPERLINK("http://vk.com/id575539922")</f>
        <v>http://vk.com/id575539922</v>
      </c>
      <c r="K1891">
        <v>12</v>
      </c>
      <c r="L1891" t="s">
        <v>121</v>
      </c>
      <c r="M1891">
        <v>54</v>
      </c>
      <c r="N1891" t="s">
        <v>122</v>
      </c>
      <c r="O1891" t="s">
        <v>175</v>
      </c>
      <c r="P1891" t="str">
        <f>HYPERLINK("http://vk.com/club27863223")</f>
        <v>http://vk.com/club27863223</v>
      </c>
      <c r="Q1891">
        <v>134698</v>
      </c>
      <c r="R1891" t="s">
        <v>124</v>
      </c>
      <c r="S1891" t="s">
        <v>125</v>
      </c>
      <c r="T1891" t="s">
        <v>627</v>
      </c>
      <c r="U1891" t="s">
        <v>1112</v>
      </c>
      <c r="AM1891" t="s">
        <v>129</v>
      </c>
      <c r="AN1891" t="s">
        <v>130</v>
      </c>
      <c r="AP1891" t="s">
        <v>41</v>
      </c>
      <c r="AZ1891" t="s">
        <v>51</v>
      </c>
      <c r="BD1891" t="s">
        <v>55</v>
      </c>
    </row>
    <row r="1892" spans="1:65" x14ac:dyDescent="0.2">
      <c r="A1892" t="s">
        <v>6591</v>
      </c>
      <c r="B1892" t="s">
        <v>553</v>
      </c>
      <c r="C1892" t="s">
        <v>6846</v>
      </c>
      <c r="D1892" t="s">
        <v>6847</v>
      </c>
      <c r="E1892" t="s">
        <v>6848</v>
      </c>
      <c r="F1892" t="s">
        <v>180</v>
      </c>
      <c r="G1892" t="str">
        <f>HYPERLINK("https://www.ozon.ru/context/detail/id/164230615/#60018668")</f>
        <v>https://www.ozon.ru/context/detail/id/164230615/#60018668</v>
      </c>
      <c r="H1892" t="s">
        <v>119</v>
      </c>
      <c r="I1892" t="s">
        <v>6849</v>
      </c>
      <c r="J1892" t="str">
        <f>HYPERLINK("https://www.ozon.ru/context/client_opinion/ClientGuid/db655d99-9c99-4916-93a5-b04891f636d7/")</f>
        <v>https://www.ozon.ru/context/client_opinion/ClientGuid/db655d99-9c99-4916-93a5-b04891f636d7/</v>
      </c>
      <c r="L1892" t="s">
        <v>151</v>
      </c>
      <c r="N1892" t="s">
        <v>183</v>
      </c>
      <c r="O1892" t="s">
        <v>6847</v>
      </c>
      <c r="P1892" t="str">
        <f>HYPERLINK("https://www.ozon.ru/context/detail/id/164230615/")</f>
        <v>https://www.ozon.ru/context/detail/id/164230615/</v>
      </c>
      <c r="R1892" t="s">
        <v>184</v>
      </c>
      <c r="S1892" t="s">
        <v>125</v>
      </c>
      <c r="W1892">
        <v>0</v>
      </c>
      <c r="X1892">
        <v>0</v>
      </c>
      <c r="AH1892">
        <v>4</v>
      </c>
      <c r="AJ1892" t="s">
        <v>129</v>
      </c>
      <c r="AK1892" t="s">
        <v>129</v>
      </c>
      <c r="AL1892" t="str">
        <f>HYPERLINK("https://cdn1.ozone.ru/s3/rp-photo-4/1dc1c7ec-fb6d-4e62-947b-c100e5c52ef6.jpeg")</f>
        <v>https://cdn1.ozone.ru/s3/rp-photo-4/1dc1c7ec-fb6d-4e62-947b-c100e5c52ef6.jpeg</v>
      </c>
      <c r="AM1892" t="s">
        <v>129</v>
      </c>
      <c r="AN1892" t="s">
        <v>130</v>
      </c>
      <c r="AP1892" t="s">
        <v>41</v>
      </c>
      <c r="AT1892" t="s">
        <v>45</v>
      </c>
      <c r="AZ1892" t="s">
        <v>51</v>
      </c>
      <c r="BA1892" t="s">
        <v>52</v>
      </c>
      <c r="BL1892" t="s">
        <v>63</v>
      </c>
      <c r="BM1892" t="s">
        <v>64</v>
      </c>
    </row>
    <row r="1893" spans="1:65" x14ac:dyDescent="0.2">
      <c r="A1893" t="s">
        <v>6591</v>
      </c>
      <c r="B1893" t="s">
        <v>2678</v>
      </c>
      <c r="C1893" t="s">
        <v>6850</v>
      </c>
      <c r="D1893" t="s">
        <v>3166</v>
      </c>
      <c r="E1893" t="s">
        <v>6851</v>
      </c>
      <c r="F1893" t="s">
        <v>118</v>
      </c>
      <c r="G1893" t="str">
        <f>HYPERLINK("https://vk.com/wall-27863223_291605?reply=291874")</f>
        <v>https://vk.com/wall-27863223_291605?reply=291874</v>
      </c>
      <c r="H1893" t="s">
        <v>119</v>
      </c>
      <c r="I1893" t="s">
        <v>6822</v>
      </c>
      <c r="J1893" t="str">
        <f>HYPERLINK("http://vk.com/id33737831")</f>
        <v>http://vk.com/id33737831</v>
      </c>
      <c r="K1893">
        <v>51</v>
      </c>
      <c r="L1893" t="s">
        <v>151</v>
      </c>
      <c r="M1893">
        <v>66</v>
      </c>
      <c r="N1893" t="s">
        <v>122</v>
      </c>
      <c r="O1893" t="s">
        <v>175</v>
      </c>
      <c r="P1893" t="str">
        <f>HYPERLINK("http://vk.com/club27863223")</f>
        <v>http://vk.com/club27863223</v>
      </c>
      <c r="Q1893">
        <v>134698</v>
      </c>
      <c r="R1893" t="s">
        <v>124</v>
      </c>
      <c r="S1893" t="s">
        <v>125</v>
      </c>
      <c r="T1893" t="s">
        <v>4407</v>
      </c>
      <c r="U1893" t="s">
        <v>6823</v>
      </c>
      <c r="W1893">
        <v>0</v>
      </c>
      <c r="X1893">
        <v>0</v>
      </c>
      <c r="AM1893" t="s">
        <v>129</v>
      </c>
      <c r="AN1893" t="s">
        <v>130</v>
      </c>
      <c r="AP1893" t="s">
        <v>41</v>
      </c>
      <c r="AU1893" t="s">
        <v>46</v>
      </c>
      <c r="AY1893" t="s">
        <v>50</v>
      </c>
      <c r="BA1893" t="s">
        <v>52</v>
      </c>
      <c r="BE1893" t="s">
        <v>56</v>
      </c>
    </row>
    <row r="1894" spans="1:65" x14ac:dyDescent="0.2">
      <c r="A1894" t="s">
        <v>6591</v>
      </c>
      <c r="B1894" t="s">
        <v>2678</v>
      </c>
      <c r="C1894" t="s">
        <v>6850</v>
      </c>
      <c r="D1894" t="s">
        <v>3166</v>
      </c>
      <c r="E1894" t="s">
        <v>6852</v>
      </c>
      <c r="F1894" t="s">
        <v>118</v>
      </c>
      <c r="G1894" t="str">
        <f>HYPERLINK("https://vk.com/wall-27863223_291605?reply=291873")</f>
        <v>https://vk.com/wall-27863223_291605?reply=291873</v>
      </c>
      <c r="H1894" t="s">
        <v>228</v>
      </c>
      <c r="I1894" t="s">
        <v>6822</v>
      </c>
      <c r="J1894" t="str">
        <f>HYPERLINK("http://vk.com/id33737831")</f>
        <v>http://vk.com/id33737831</v>
      </c>
      <c r="K1894">
        <v>51</v>
      </c>
      <c r="L1894" t="s">
        <v>151</v>
      </c>
      <c r="M1894">
        <v>66</v>
      </c>
      <c r="N1894" t="s">
        <v>122</v>
      </c>
      <c r="O1894" t="s">
        <v>175</v>
      </c>
      <c r="P1894" t="str">
        <f>HYPERLINK("http://vk.com/club27863223")</f>
        <v>http://vk.com/club27863223</v>
      </c>
      <c r="Q1894">
        <v>134698</v>
      </c>
      <c r="R1894" t="s">
        <v>124</v>
      </c>
      <c r="S1894" t="s">
        <v>125</v>
      </c>
      <c r="T1894" t="s">
        <v>4407</v>
      </c>
      <c r="U1894" t="s">
        <v>6823</v>
      </c>
      <c r="W1894">
        <v>0</v>
      </c>
      <c r="X1894">
        <v>0</v>
      </c>
      <c r="AM1894" t="s">
        <v>129</v>
      </c>
      <c r="AN1894" t="s">
        <v>130</v>
      </c>
      <c r="AP1894" t="s">
        <v>41</v>
      </c>
      <c r="AX1894" t="s">
        <v>49</v>
      </c>
      <c r="AY1894" t="s">
        <v>50</v>
      </c>
      <c r="AZ1894" t="s">
        <v>51</v>
      </c>
      <c r="BA1894" t="s">
        <v>52</v>
      </c>
    </row>
    <row r="1895" spans="1:65" x14ac:dyDescent="0.2">
      <c r="A1895" t="s">
        <v>6591</v>
      </c>
      <c r="B1895" t="s">
        <v>4851</v>
      </c>
      <c r="C1895" t="s">
        <v>6853</v>
      </c>
      <c r="D1895" t="s">
        <v>6854</v>
      </c>
      <c r="E1895" t="s">
        <v>6855</v>
      </c>
      <c r="F1895" t="s">
        <v>118</v>
      </c>
      <c r="G1895" t="str">
        <f>HYPERLINK("https://vk.com/wall-153041342_10271?reply=10272")</f>
        <v>https://vk.com/wall-153041342_10271?reply=10272</v>
      </c>
      <c r="H1895" t="s">
        <v>119</v>
      </c>
      <c r="I1895" t="s">
        <v>6856</v>
      </c>
      <c r="J1895" t="str">
        <f>HYPERLINK("http://vk.com/id9106226")</f>
        <v>http://vk.com/id9106226</v>
      </c>
      <c r="K1895">
        <v>66</v>
      </c>
      <c r="L1895" t="s">
        <v>121</v>
      </c>
      <c r="M1895">
        <v>63</v>
      </c>
      <c r="N1895" t="s">
        <v>122</v>
      </c>
      <c r="O1895" t="s">
        <v>6857</v>
      </c>
      <c r="P1895" t="str">
        <f>HYPERLINK("http://vk.com/club153041342")</f>
        <v>http://vk.com/club153041342</v>
      </c>
      <c r="Q1895">
        <v>658</v>
      </c>
      <c r="R1895" t="s">
        <v>124</v>
      </c>
      <c r="S1895" t="s">
        <v>125</v>
      </c>
      <c r="T1895" t="s">
        <v>137</v>
      </c>
      <c r="U1895" t="s">
        <v>137</v>
      </c>
      <c r="AM1895" t="s">
        <v>129</v>
      </c>
      <c r="AN1895" t="s">
        <v>130</v>
      </c>
      <c r="AP1895" t="s">
        <v>41</v>
      </c>
      <c r="AZ1895" t="s">
        <v>51</v>
      </c>
      <c r="BA1895" t="s">
        <v>52</v>
      </c>
      <c r="BL1895" t="s">
        <v>63</v>
      </c>
    </row>
    <row r="1896" spans="1:65" x14ac:dyDescent="0.2">
      <c r="A1896" t="s">
        <v>6591</v>
      </c>
      <c r="B1896" t="s">
        <v>559</v>
      </c>
      <c r="C1896" t="s">
        <v>5628</v>
      </c>
      <c r="D1896" t="s">
        <v>476</v>
      </c>
      <c r="E1896" t="s">
        <v>6455</v>
      </c>
      <c r="F1896" t="s">
        <v>180</v>
      </c>
      <c r="G1896" t="str">
        <f>HYPERLINK("https://www.ozon.ru/context/detail/id/261611432/#60015744")</f>
        <v>https://www.ozon.ru/context/detail/id/261611432/#60015744</v>
      </c>
      <c r="H1896" t="s">
        <v>181</v>
      </c>
      <c r="I1896" t="s">
        <v>6858</v>
      </c>
      <c r="J1896" t="str">
        <f>HYPERLINK("https://www.ozon.ru/context/client_opinion/ClientGuid/c1d4849a-92ed-4660-9555-689b093d930b/")</f>
        <v>https://www.ozon.ru/context/client_opinion/ClientGuid/c1d4849a-92ed-4660-9555-689b093d930b/</v>
      </c>
      <c r="L1896" t="s">
        <v>121</v>
      </c>
      <c r="N1896" t="s">
        <v>183</v>
      </c>
      <c r="O1896" t="s">
        <v>476</v>
      </c>
      <c r="P1896" t="str">
        <f>HYPERLINK("https://www.ozon.ru/context/detail/id/261611432/")</f>
        <v>https://www.ozon.ru/context/detail/id/261611432/</v>
      </c>
      <c r="R1896" t="s">
        <v>184</v>
      </c>
      <c r="S1896" t="s">
        <v>125</v>
      </c>
      <c r="W1896">
        <v>0</v>
      </c>
      <c r="X1896">
        <v>0</v>
      </c>
      <c r="AH1896">
        <v>5</v>
      </c>
      <c r="AM1896" t="s">
        <v>129</v>
      </c>
      <c r="AN1896" t="s">
        <v>130</v>
      </c>
      <c r="AP1896" t="s">
        <v>41</v>
      </c>
      <c r="AT1896" t="s">
        <v>45</v>
      </c>
      <c r="AZ1896" t="s">
        <v>51</v>
      </c>
      <c r="BA1896" t="s">
        <v>52</v>
      </c>
    </row>
    <row r="1897" spans="1:65" x14ac:dyDescent="0.2">
      <c r="A1897" t="s">
        <v>6591</v>
      </c>
      <c r="B1897" t="s">
        <v>1678</v>
      </c>
      <c r="C1897" t="s">
        <v>6661</v>
      </c>
      <c r="D1897" t="s">
        <v>6068</v>
      </c>
      <c r="E1897" t="s">
        <v>6859</v>
      </c>
      <c r="F1897" t="s">
        <v>118</v>
      </c>
      <c r="G1897" t="str">
        <f>HYPERLINK("https://ok.ru/group/53918693523698/topic/153728707247602#MTYyNjUxMjAxNDU1NzotMTg0NzoxNjI2NTEyMDE0NTU3OjE1MzcyODcwNzI0NzYwMjox")</f>
        <v>https://ok.ru/group/53918693523698/topic/153728707247602#MTYyNjUxMjAxNDU1NzotMTg0NzoxNjI2NTEyMDE0NTU3OjE1MzcyODcwNzI0NzYwMjox</v>
      </c>
      <c r="H1897" t="s">
        <v>181</v>
      </c>
      <c r="I1897" t="s">
        <v>6663</v>
      </c>
      <c r="J1897" t="str">
        <f>HYPERLINK("https://ok.ru/profile/505017309270")</f>
        <v>https://ok.ru/profile/505017309270</v>
      </c>
      <c r="K1897">
        <v>157</v>
      </c>
      <c r="L1897" t="s">
        <v>151</v>
      </c>
      <c r="N1897" t="s">
        <v>347</v>
      </c>
      <c r="O1897" t="s">
        <v>6071</v>
      </c>
      <c r="P1897" t="str">
        <f>HYPERLINK("https://ok.ru/group/53918693523698")</f>
        <v>https://ok.ru/group/53918693523698</v>
      </c>
      <c r="Q1897">
        <v>17454</v>
      </c>
      <c r="R1897" t="s">
        <v>124</v>
      </c>
      <c r="S1897" t="s">
        <v>125</v>
      </c>
      <c r="T1897" t="s">
        <v>256</v>
      </c>
      <c r="U1897" t="s">
        <v>6372</v>
      </c>
      <c r="W1897">
        <v>2</v>
      </c>
      <c r="X1897">
        <v>2</v>
      </c>
      <c r="AM1897" t="s">
        <v>129</v>
      </c>
      <c r="AN1897" t="s">
        <v>130</v>
      </c>
      <c r="AP1897" t="s">
        <v>41</v>
      </c>
      <c r="AZ1897" t="s">
        <v>51</v>
      </c>
      <c r="BA1897" t="s">
        <v>52</v>
      </c>
    </row>
    <row r="1898" spans="1:65" x14ac:dyDescent="0.2">
      <c r="A1898" t="s">
        <v>6591</v>
      </c>
      <c r="B1898" t="s">
        <v>565</v>
      </c>
      <c r="C1898" t="s">
        <v>6850</v>
      </c>
      <c r="D1898" t="s">
        <v>6801</v>
      </c>
      <c r="E1898" t="s">
        <v>6860</v>
      </c>
      <c r="F1898" t="s">
        <v>118</v>
      </c>
      <c r="G1898" t="str">
        <f>HYPERLINK("https://vk.com/wall-27863223_291831?w=wall-27863223_291831_r291870")</f>
        <v>https://vk.com/wall-27863223_291831?w=wall-27863223_291831_r291870</v>
      </c>
      <c r="H1898" t="s">
        <v>228</v>
      </c>
      <c r="I1898" t="s">
        <v>6803</v>
      </c>
      <c r="J1898" t="str">
        <f>HYPERLINK("http://vk.com/id468458880")</f>
        <v>http://vk.com/id468458880</v>
      </c>
      <c r="K1898">
        <v>60</v>
      </c>
      <c r="L1898" t="s">
        <v>151</v>
      </c>
      <c r="N1898" t="s">
        <v>122</v>
      </c>
      <c r="O1898" t="s">
        <v>175</v>
      </c>
      <c r="P1898" t="str">
        <f>HYPERLINK("http://vk.com/club27863223")</f>
        <v>http://vk.com/club27863223</v>
      </c>
      <c r="Q1898">
        <v>134698</v>
      </c>
      <c r="R1898" t="s">
        <v>124</v>
      </c>
      <c r="S1898" t="s">
        <v>125</v>
      </c>
      <c r="W1898">
        <v>0</v>
      </c>
      <c r="X1898">
        <v>0</v>
      </c>
      <c r="AJ1898" t="s">
        <v>6861</v>
      </c>
      <c r="AK1898" t="s">
        <v>129</v>
      </c>
      <c r="AL1898" t="str">
        <f>HYPERLINK("https://sun9-61.userapi.com/impg/hSpwsm14T7dnTMNBnORd2N1vigX909sQ0RtWqQ/npCFUWD5Mx8.jpg?size=738x1600&amp;quality=96&amp;sign=722f25e78c4fb567c7b915217baa8b4e&amp;c_uniq_tag=SuxdG4gLXwOL2rgLU85KcVMnQWJoPfrCJ6CosA_2-aU&amp;type=album")</f>
        <v>https://sun9-61.userapi.com/impg/hSpwsm14T7dnTMNBnORd2N1vigX909sQ0RtWqQ/npCFUWD5Mx8.jpg?size=738x1600&amp;quality=96&amp;sign=722f25e78c4fb567c7b915217baa8b4e&amp;c_uniq_tag=SuxdG4gLXwOL2rgLU85KcVMnQWJoPfrCJ6CosA_2-aU&amp;type=album</v>
      </c>
      <c r="AM1898" t="s">
        <v>129</v>
      </c>
      <c r="AN1898" t="s">
        <v>130</v>
      </c>
      <c r="AP1898" t="s">
        <v>41</v>
      </c>
      <c r="AZ1898" t="s">
        <v>51</v>
      </c>
      <c r="BA1898" t="s">
        <v>52</v>
      </c>
    </row>
    <row r="1899" spans="1:65" x14ac:dyDescent="0.2">
      <c r="A1899" t="s">
        <v>6591</v>
      </c>
      <c r="B1899" t="s">
        <v>1680</v>
      </c>
      <c r="C1899" t="s">
        <v>6850</v>
      </c>
      <c r="D1899" t="s">
        <v>3166</v>
      </c>
      <c r="E1899" t="s">
        <v>6862</v>
      </c>
      <c r="F1899" t="s">
        <v>118</v>
      </c>
      <c r="G1899" t="str">
        <f>HYPERLINK("https://vk.com/wall-27863223_291605?reply=291869")</f>
        <v>https://vk.com/wall-27863223_291605?reply=291869</v>
      </c>
      <c r="H1899" t="s">
        <v>228</v>
      </c>
      <c r="I1899" t="s">
        <v>6822</v>
      </c>
      <c r="J1899" t="str">
        <f>HYPERLINK("http://vk.com/id33737831")</f>
        <v>http://vk.com/id33737831</v>
      </c>
      <c r="K1899">
        <v>51</v>
      </c>
      <c r="L1899" t="s">
        <v>151</v>
      </c>
      <c r="M1899">
        <v>66</v>
      </c>
      <c r="N1899" t="s">
        <v>122</v>
      </c>
      <c r="O1899" t="s">
        <v>175</v>
      </c>
      <c r="P1899" t="str">
        <f>HYPERLINK("http://vk.com/club27863223")</f>
        <v>http://vk.com/club27863223</v>
      </c>
      <c r="Q1899">
        <v>134698</v>
      </c>
      <c r="R1899" t="s">
        <v>124</v>
      </c>
      <c r="S1899" t="s">
        <v>125</v>
      </c>
      <c r="T1899" t="s">
        <v>4407</v>
      </c>
      <c r="U1899" t="s">
        <v>6823</v>
      </c>
      <c r="W1899">
        <v>0</v>
      </c>
      <c r="X1899">
        <v>0</v>
      </c>
      <c r="AM1899" t="s">
        <v>129</v>
      </c>
      <c r="AN1899" t="s">
        <v>130</v>
      </c>
      <c r="AP1899" t="s">
        <v>41</v>
      </c>
      <c r="AT1899" t="s">
        <v>45</v>
      </c>
      <c r="AZ1899" t="s">
        <v>51</v>
      </c>
      <c r="BA1899" t="s">
        <v>52</v>
      </c>
      <c r="BL1899" t="s">
        <v>63</v>
      </c>
    </row>
    <row r="1900" spans="1:65" x14ac:dyDescent="0.2">
      <c r="A1900" t="s">
        <v>6591</v>
      </c>
      <c r="B1900" t="s">
        <v>1725</v>
      </c>
      <c r="C1900" t="s">
        <v>6286</v>
      </c>
      <c r="D1900" t="s">
        <v>6863</v>
      </c>
      <c r="E1900" t="s">
        <v>6864</v>
      </c>
      <c r="F1900" t="s">
        <v>180</v>
      </c>
      <c r="G1900" t="str">
        <f>HYPERLINK("https://www.ozon.ru/context/detail/id/174809969/#60003537")</f>
        <v>https://www.ozon.ru/context/detail/id/174809969/#60003537</v>
      </c>
      <c r="H1900" t="s">
        <v>181</v>
      </c>
      <c r="I1900" t="s">
        <v>512</v>
      </c>
      <c r="J1900" t="str">
        <f>HYPERLINK("https://www.ozon.ru/context/client_opinion/ClientGuid//")</f>
        <v>https://www.ozon.ru/context/client_opinion/ClientGuid//</v>
      </c>
      <c r="N1900" t="s">
        <v>183</v>
      </c>
      <c r="O1900" t="s">
        <v>6863</v>
      </c>
      <c r="P1900" t="str">
        <f>HYPERLINK("https://www.ozon.ru/context/detail/id/174809969/")</f>
        <v>https://www.ozon.ru/context/detail/id/174809969/</v>
      </c>
      <c r="R1900" t="s">
        <v>184</v>
      </c>
      <c r="S1900" t="s">
        <v>125</v>
      </c>
      <c r="W1900">
        <v>0</v>
      </c>
      <c r="X1900">
        <v>0</v>
      </c>
      <c r="AH1900">
        <v>5</v>
      </c>
      <c r="AM1900" t="s">
        <v>129</v>
      </c>
      <c r="AN1900" t="s">
        <v>130</v>
      </c>
      <c r="AP1900" t="s">
        <v>41</v>
      </c>
      <c r="AT1900" t="s">
        <v>45</v>
      </c>
      <c r="AZ1900" t="s">
        <v>51</v>
      </c>
      <c r="BA1900" t="s">
        <v>52</v>
      </c>
      <c r="BL1900" t="s">
        <v>63</v>
      </c>
    </row>
    <row r="1901" spans="1:65" x14ac:dyDescent="0.2">
      <c r="A1901" t="s">
        <v>6591</v>
      </c>
      <c r="B1901" t="s">
        <v>621</v>
      </c>
      <c r="C1901" t="s">
        <v>6865</v>
      </c>
      <c r="D1901" t="s">
        <v>6866</v>
      </c>
      <c r="E1901" t="s">
        <v>6867</v>
      </c>
      <c r="F1901" t="s">
        <v>180</v>
      </c>
      <c r="G1901" t="str">
        <f>HYPERLINK("https://www.championat.com/bets/news-4403937-ufc-fight-night-mahachev-mojzes-data-boya-vremya-nachala-translyacii-po-moskve-prognozy.html")</f>
        <v>https://www.championat.com/bets/news-4403937-ufc-fight-night-mahachev-mojzes-data-boya-vremya-nachala-translyacii-po-moskve-prognozy.html</v>
      </c>
      <c r="H1901" t="s">
        <v>119</v>
      </c>
      <c r="I1901" t="s">
        <v>6548</v>
      </c>
      <c r="J1901" t="str">
        <f>HYPERLINK("http://championat.com")</f>
        <v>http://championat.com</v>
      </c>
      <c r="N1901" t="s">
        <v>6548</v>
      </c>
      <c r="R1901" t="s">
        <v>785</v>
      </c>
      <c r="S1901" t="s">
        <v>125</v>
      </c>
      <c r="AM1901" t="s">
        <v>129</v>
      </c>
      <c r="AN1901" t="s">
        <v>130</v>
      </c>
      <c r="AV1901" t="s">
        <v>47</v>
      </c>
    </row>
    <row r="1902" spans="1:65" x14ac:dyDescent="0.2">
      <c r="A1902" t="s">
        <v>6591</v>
      </c>
      <c r="B1902" t="s">
        <v>621</v>
      </c>
      <c r="C1902" t="s">
        <v>6868</v>
      </c>
      <c r="D1902" t="s">
        <v>3388</v>
      </c>
      <c r="E1902" t="s">
        <v>6869</v>
      </c>
      <c r="F1902" t="s">
        <v>180</v>
      </c>
      <c r="G1902" t="str">
        <f>HYPERLINK("https://www.wildberries.ru/catalog/25365834/detail.aspx?targetUrl=ES#Comments")</f>
        <v>https://www.wildberries.ru/catalog/25365834/detail.aspx?targetUrl=ES#Comments</v>
      </c>
      <c r="H1902" t="s">
        <v>119</v>
      </c>
      <c r="I1902" t="s">
        <v>6276</v>
      </c>
      <c r="J1902" t="str">
        <f>HYPERLINK("https://www.wildberries.ru/profile/w7TDssOkw7PCu8KzwrXCt8K5wrDCtsKxwrM=")</f>
        <v>https://www.wildberries.ru/profile/w7TDssOkw7PCu8KzwrXCt8K5wrDCtsKxwrM=</v>
      </c>
      <c r="L1902" t="s">
        <v>121</v>
      </c>
      <c r="N1902" t="s">
        <v>534</v>
      </c>
      <c r="O1902" t="s">
        <v>3388</v>
      </c>
      <c r="P1902" t="str">
        <f>HYPERLINK("https://www.wildberries.ru/catalog/18682734/detail.aspx")</f>
        <v>https://www.wildberries.ru/catalog/18682734/detail.aspx</v>
      </c>
      <c r="R1902" t="s">
        <v>184</v>
      </c>
      <c r="S1902" t="s">
        <v>125</v>
      </c>
      <c r="W1902">
        <v>0</v>
      </c>
      <c r="X1902">
        <v>0</v>
      </c>
      <c r="AH1902">
        <v>4</v>
      </c>
      <c r="AJ1902" t="s">
        <v>6870</v>
      </c>
      <c r="AK1902" t="s">
        <v>129</v>
      </c>
      <c r="AL1902" t="str">
        <f>HYPERLINK("http://feedbackphotos.wbstatic.net/feedbacks/1868/18682734/043e7706-13b5-4682-be93-1d8bb69819b6_fs.jpg")</f>
        <v>http://feedbackphotos.wbstatic.net/feedbacks/1868/18682734/043e7706-13b5-4682-be93-1d8bb69819b6_fs.jpg</v>
      </c>
      <c r="AM1902" t="s">
        <v>129</v>
      </c>
      <c r="AN1902" t="s">
        <v>130</v>
      </c>
      <c r="AP1902" t="s">
        <v>41</v>
      </c>
      <c r="AT1902" t="s">
        <v>45</v>
      </c>
      <c r="AZ1902" t="s">
        <v>51</v>
      </c>
      <c r="BA1902" t="s">
        <v>52</v>
      </c>
      <c r="BL1902" t="s">
        <v>63</v>
      </c>
      <c r="BM1902" t="s">
        <v>64</v>
      </c>
    </row>
    <row r="1903" spans="1:65" x14ac:dyDescent="0.2">
      <c r="A1903" t="s">
        <v>6591</v>
      </c>
      <c r="B1903" t="s">
        <v>3224</v>
      </c>
      <c r="C1903" t="s">
        <v>6871</v>
      </c>
      <c r="D1903" t="s">
        <v>3941</v>
      </c>
      <c r="E1903" t="s">
        <v>6872</v>
      </c>
      <c r="F1903" t="s">
        <v>118</v>
      </c>
      <c r="G1903" t="str">
        <f>HYPERLINK("https://vk.com/wall-27863223_291839?reply=291865&amp;thread=291840")</f>
        <v>https://vk.com/wall-27863223_291839?reply=291865&amp;thread=291840</v>
      </c>
      <c r="H1903" t="s">
        <v>228</v>
      </c>
      <c r="I1903" t="s">
        <v>254</v>
      </c>
      <c r="J1903" t="str">
        <f>HYPERLINK("http://vk.com/id286061518")</f>
        <v>http://vk.com/id286061518</v>
      </c>
      <c r="K1903">
        <v>5170</v>
      </c>
      <c r="L1903" t="s">
        <v>121</v>
      </c>
      <c r="M1903">
        <v>34</v>
      </c>
      <c r="N1903" t="s">
        <v>122</v>
      </c>
      <c r="O1903" t="s">
        <v>175</v>
      </c>
      <c r="P1903" t="str">
        <f>HYPERLINK("http://vk.com/club27863223")</f>
        <v>http://vk.com/club27863223</v>
      </c>
      <c r="Q1903">
        <v>134698</v>
      </c>
      <c r="R1903" t="s">
        <v>124</v>
      </c>
      <c r="S1903" t="s">
        <v>125</v>
      </c>
      <c r="T1903" t="s">
        <v>256</v>
      </c>
      <c r="U1903" t="s">
        <v>257</v>
      </c>
      <c r="AM1903" t="s">
        <v>129</v>
      </c>
      <c r="AN1903" t="s">
        <v>130</v>
      </c>
      <c r="AP1903" t="s">
        <v>41</v>
      </c>
      <c r="AU1903" t="s">
        <v>46</v>
      </c>
      <c r="AY1903" t="s">
        <v>50</v>
      </c>
      <c r="AZ1903" t="s">
        <v>51</v>
      </c>
      <c r="BA1903" t="s">
        <v>52</v>
      </c>
    </row>
    <row r="1904" spans="1:65" x14ac:dyDescent="0.2">
      <c r="A1904" t="s">
        <v>6591</v>
      </c>
      <c r="B1904" t="s">
        <v>5333</v>
      </c>
      <c r="C1904" t="s">
        <v>6873</v>
      </c>
      <c r="D1904" t="s">
        <v>3941</v>
      </c>
      <c r="E1904" t="s">
        <v>6874</v>
      </c>
      <c r="F1904" t="s">
        <v>118</v>
      </c>
      <c r="G1904" t="str">
        <f>HYPERLINK("https://vk.com/wall-27863223_291839?reply=291864&amp;thread=291861")</f>
        <v>https://vk.com/wall-27863223_291839?reply=291864&amp;thread=291861</v>
      </c>
      <c r="H1904" t="s">
        <v>228</v>
      </c>
      <c r="I1904" t="s">
        <v>1111</v>
      </c>
      <c r="J1904" t="str">
        <f>HYPERLINK("http://vk.com/id575539922")</f>
        <v>http://vk.com/id575539922</v>
      </c>
      <c r="K1904">
        <v>12</v>
      </c>
      <c r="L1904" t="s">
        <v>121</v>
      </c>
      <c r="M1904">
        <v>54</v>
      </c>
      <c r="N1904" t="s">
        <v>122</v>
      </c>
      <c r="O1904" t="s">
        <v>175</v>
      </c>
      <c r="P1904" t="str">
        <f>HYPERLINK("http://vk.com/club27863223")</f>
        <v>http://vk.com/club27863223</v>
      </c>
      <c r="Q1904">
        <v>134698</v>
      </c>
      <c r="R1904" t="s">
        <v>124</v>
      </c>
      <c r="S1904" t="s">
        <v>125</v>
      </c>
      <c r="T1904" t="s">
        <v>627</v>
      </c>
      <c r="U1904" t="s">
        <v>1112</v>
      </c>
      <c r="AM1904" t="s">
        <v>129</v>
      </c>
      <c r="AN1904" t="s">
        <v>130</v>
      </c>
      <c r="AP1904" t="s">
        <v>41</v>
      </c>
      <c r="AY1904" t="s">
        <v>50</v>
      </c>
      <c r="AZ1904" t="s">
        <v>51</v>
      </c>
      <c r="BA1904" t="s">
        <v>52</v>
      </c>
    </row>
    <row r="1905" spans="1:69" x14ac:dyDescent="0.2">
      <c r="A1905" t="s">
        <v>6591</v>
      </c>
      <c r="B1905" t="s">
        <v>649</v>
      </c>
      <c r="C1905" t="s">
        <v>6875</v>
      </c>
      <c r="D1905" t="s">
        <v>6068</v>
      </c>
      <c r="E1905" t="s">
        <v>6068</v>
      </c>
      <c r="F1905" t="s">
        <v>180</v>
      </c>
      <c r="G1905" t="str">
        <f>HYPERLINK("https://ok.ru/group/53918693523698/topic/153728707247602")</f>
        <v>https://ok.ru/group/53918693523698/topic/153728707247602</v>
      </c>
      <c r="H1905" t="s">
        <v>119</v>
      </c>
      <c r="I1905" t="s">
        <v>6071</v>
      </c>
      <c r="J1905" t="str">
        <f>HYPERLINK("https://ok.ru/group/53918693523698")</f>
        <v>https://ok.ru/group/53918693523698</v>
      </c>
      <c r="K1905">
        <v>17454</v>
      </c>
      <c r="L1905" t="s">
        <v>340</v>
      </c>
      <c r="N1905" t="s">
        <v>347</v>
      </c>
      <c r="O1905" t="s">
        <v>6071</v>
      </c>
      <c r="P1905" t="str">
        <f>HYPERLINK("https://ok.ru/group/53918693523698")</f>
        <v>https://ok.ru/group/53918693523698</v>
      </c>
      <c r="Q1905">
        <v>17454</v>
      </c>
      <c r="R1905" t="s">
        <v>124</v>
      </c>
      <c r="S1905" t="s">
        <v>125</v>
      </c>
      <c r="T1905" t="s">
        <v>4836</v>
      </c>
      <c r="U1905" t="s">
        <v>6876</v>
      </c>
      <c r="W1905">
        <v>1</v>
      </c>
      <c r="X1905">
        <v>1</v>
      </c>
      <c r="Y1905">
        <v>0</v>
      </c>
      <c r="Z1905">
        <v>0</v>
      </c>
      <c r="AA1905">
        <v>0</v>
      </c>
      <c r="AB1905">
        <v>0</v>
      </c>
      <c r="AE1905">
        <v>14</v>
      </c>
      <c r="AF1905">
        <v>0</v>
      </c>
      <c r="AM1905" t="s">
        <v>129</v>
      </c>
      <c r="AN1905" t="s">
        <v>130</v>
      </c>
      <c r="AP1905" t="s">
        <v>41</v>
      </c>
      <c r="AZ1905" t="s">
        <v>51</v>
      </c>
      <c r="BA1905" t="s">
        <v>52</v>
      </c>
    </row>
    <row r="1906" spans="1:69" x14ac:dyDescent="0.2">
      <c r="A1906" t="s">
        <v>6591</v>
      </c>
      <c r="B1906" t="s">
        <v>6877</v>
      </c>
      <c r="C1906" t="s">
        <v>6878</v>
      </c>
      <c r="D1906" t="s">
        <v>6879</v>
      </c>
      <c r="E1906" t="s">
        <v>6880</v>
      </c>
      <c r="F1906" t="s">
        <v>180</v>
      </c>
      <c r="G1906" t="str">
        <f>HYPERLINK("https://market.yandex.ru/product/459672218/reviews?id=134715527")</f>
        <v>https://market.yandex.ru/product/459672218/reviews?id=134715527</v>
      </c>
      <c r="H1906" t="s">
        <v>181</v>
      </c>
      <c r="I1906" t="s">
        <v>6881</v>
      </c>
      <c r="J1906" t="str">
        <f>HYPERLINK("https://market.yandex.ru/user/3hyh9fk3ypxp89wmqkx7318g7r/reviews")</f>
        <v>https://market.yandex.ru/user/3hyh9fk3ypxp89wmqkx7318g7r/reviews</v>
      </c>
      <c r="L1906" t="s">
        <v>121</v>
      </c>
      <c r="N1906" t="s">
        <v>611</v>
      </c>
      <c r="O1906" t="s">
        <v>6879</v>
      </c>
      <c r="P1906" t="str">
        <f>HYPERLINK("https://market.yandex.ru/product/459672218")</f>
        <v>https://market.yandex.ru/product/459672218</v>
      </c>
      <c r="R1906" t="s">
        <v>184</v>
      </c>
      <c r="S1906" t="s">
        <v>125</v>
      </c>
      <c r="T1906" t="s">
        <v>169</v>
      </c>
      <c r="U1906" t="s">
        <v>169</v>
      </c>
      <c r="W1906">
        <v>0</v>
      </c>
      <c r="X1906">
        <v>0</v>
      </c>
      <c r="AH1906">
        <v>5</v>
      </c>
      <c r="AM1906" t="s">
        <v>129</v>
      </c>
      <c r="AN1906" t="s">
        <v>130</v>
      </c>
      <c r="AP1906" t="s">
        <v>41</v>
      </c>
      <c r="AT1906" t="s">
        <v>45</v>
      </c>
      <c r="AU1906" t="s">
        <v>46</v>
      </c>
      <c r="AZ1906" t="s">
        <v>51</v>
      </c>
      <c r="BA1906" t="s">
        <v>52</v>
      </c>
      <c r="BM1906" t="s">
        <v>64</v>
      </c>
    </row>
    <row r="1907" spans="1:69" x14ac:dyDescent="0.2">
      <c r="A1907" t="s">
        <v>6591</v>
      </c>
      <c r="B1907" t="s">
        <v>1136</v>
      </c>
      <c r="C1907" t="s">
        <v>6882</v>
      </c>
      <c r="D1907" t="s">
        <v>3941</v>
      </c>
      <c r="E1907" t="s">
        <v>6883</v>
      </c>
      <c r="F1907" t="s">
        <v>118</v>
      </c>
      <c r="G1907" t="str">
        <f>HYPERLINK("https://vk.com/wall-27863223_291839?reply=291861")</f>
        <v>https://vk.com/wall-27863223_291839?reply=291861</v>
      </c>
      <c r="H1907" t="s">
        <v>119</v>
      </c>
      <c r="I1907" t="s">
        <v>1111</v>
      </c>
      <c r="J1907" t="str">
        <f>HYPERLINK("http://vk.com/id575539922")</f>
        <v>http://vk.com/id575539922</v>
      </c>
      <c r="K1907">
        <v>12</v>
      </c>
      <c r="L1907" t="s">
        <v>121</v>
      </c>
      <c r="M1907">
        <v>54</v>
      </c>
      <c r="N1907" t="s">
        <v>122</v>
      </c>
      <c r="O1907" t="s">
        <v>175</v>
      </c>
      <c r="P1907" t="str">
        <f>HYPERLINK("http://vk.com/club27863223")</f>
        <v>http://vk.com/club27863223</v>
      </c>
      <c r="Q1907">
        <v>134698</v>
      </c>
      <c r="R1907" t="s">
        <v>124</v>
      </c>
      <c r="S1907" t="s">
        <v>125</v>
      </c>
      <c r="T1907" t="s">
        <v>627</v>
      </c>
      <c r="U1907" t="s">
        <v>1112</v>
      </c>
      <c r="AM1907" t="s">
        <v>129</v>
      </c>
      <c r="AN1907" t="s">
        <v>130</v>
      </c>
      <c r="AP1907" t="s">
        <v>41</v>
      </c>
      <c r="AU1907" t="s">
        <v>46</v>
      </c>
      <c r="AY1907" t="s">
        <v>50</v>
      </c>
      <c r="AZ1907" t="s">
        <v>51</v>
      </c>
      <c r="BA1907" t="s">
        <v>52</v>
      </c>
    </row>
    <row r="1908" spans="1:69" x14ac:dyDescent="0.2">
      <c r="A1908" t="s">
        <v>6591</v>
      </c>
      <c r="B1908" t="s">
        <v>1779</v>
      </c>
      <c r="C1908" t="s">
        <v>6884</v>
      </c>
      <c r="D1908" t="s">
        <v>6885</v>
      </c>
      <c r="E1908" t="s">
        <v>6886</v>
      </c>
      <c r="F1908" t="s">
        <v>118</v>
      </c>
      <c r="G1908" t="str">
        <f>HYPERLINK("https://vk.com/wall-22935147_368400?w=wall-22935147_368400_r368421")</f>
        <v>https://vk.com/wall-22935147_368400?w=wall-22935147_368400_r368421</v>
      </c>
      <c r="H1908" t="s">
        <v>119</v>
      </c>
      <c r="I1908" t="s">
        <v>6887</v>
      </c>
      <c r="J1908" t="str">
        <f>HYPERLINK("http://vk.com/id358374226")</f>
        <v>http://vk.com/id358374226</v>
      </c>
      <c r="K1908">
        <v>3</v>
      </c>
      <c r="L1908" t="s">
        <v>121</v>
      </c>
      <c r="M1908">
        <v>119</v>
      </c>
      <c r="N1908" t="s">
        <v>122</v>
      </c>
      <c r="O1908" t="s">
        <v>1093</v>
      </c>
      <c r="P1908" t="str">
        <f>HYPERLINK("http://vk.com/club22935147")</f>
        <v>http://vk.com/club22935147</v>
      </c>
      <c r="Q1908">
        <v>8943</v>
      </c>
      <c r="R1908" t="s">
        <v>124</v>
      </c>
      <c r="S1908" t="s">
        <v>125</v>
      </c>
      <c r="T1908" t="s">
        <v>169</v>
      </c>
      <c r="U1908" t="s">
        <v>169</v>
      </c>
      <c r="W1908">
        <v>0</v>
      </c>
      <c r="X1908">
        <v>0</v>
      </c>
      <c r="AM1908" t="s">
        <v>129</v>
      </c>
      <c r="AN1908" t="s">
        <v>130</v>
      </c>
      <c r="AP1908" t="s">
        <v>41</v>
      </c>
      <c r="AU1908" t="s">
        <v>46</v>
      </c>
      <c r="AZ1908" t="s">
        <v>51</v>
      </c>
      <c r="BA1908" t="s">
        <v>52</v>
      </c>
    </row>
    <row r="1909" spans="1:69" x14ac:dyDescent="0.2">
      <c r="A1909" t="s">
        <v>6591</v>
      </c>
      <c r="B1909" t="s">
        <v>2187</v>
      </c>
      <c r="C1909" t="s">
        <v>6888</v>
      </c>
      <c r="D1909" t="s">
        <v>6889</v>
      </c>
      <c r="E1909" t="s">
        <v>6890</v>
      </c>
      <c r="F1909" t="s">
        <v>180</v>
      </c>
      <c r="G1909" t="str">
        <f>HYPERLINK("https://otvet.mail.ru/answer/1994015328")</f>
        <v>https://otvet.mail.ru/answer/1994015328</v>
      </c>
      <c r="H1909" t="s">
        <v>119</v>
      </c>
      <c r="I1909" t="s">
        <v>6891</v>
      </c>
      <c r="J1909" t="str">
        <f>HYPERLINK("http://otvet.mail.ru/profile/id224604222")</f>
        <v>http://otvet.mail.ru/profile/id224604222</v>
      </c>
      <c r="N1909" t="s">
        <v>690</v>
      </c>
      <c r="O1909" t="s">
        <v>6892</v>
      </c>
      <c r="P1909" t="str">
        <f>HYPERLINK("https://otvet.mail.ru/religion/")</f>
        <v>https://otvet.mail.ru/religion/</v>
      </c>
      <c r="Q1909">
        <v>1</v>
      </c>
      <c r="R1909" t="s">
        <v>295</v>
      </c>
      <c r="S1909" t="s">
        <v>125</v>
      </c>
      <c r="AM1909" t="s">
        <v>129</v>
      </c>
      <c r="AN1909" t="s">
        <v>130</v>
      </c>
      <c r="AP1909" t="s">
        <v>41</v>
      </c>
      <c r="AU1909" t="s">
        <v>46</v>
      </c>
      <c r="AZ1909" t="s">
        <v>51</v>
      </c>
      <c r="BA1909" t="s">
        <v>52</v>
      </c>
    </row>
    <row r="1910" spans="1:69" x14ac:dyDescent="0.2">
      <c r="A1910" t="s">
        <v>6591</v>
      </c>
      <c r="B1910" t="s">
        <v>5354</v>
      </c>
      <c r="C1910" t="s">
        <v>6884</v>
      </c>
      <c r="D1910" t="s">
        <v>6050</v>
      </c>
      <c r="E1910" t="s">
        <v>6893</v>
      </c>
      <c r="F1910" t="s">
        <v>118</v>
      </c>
      <c r="G1910" t="str">
        <f>HYPERLINK("https://vk.com/wall-22935147_368393?w=wall-22935147_368393_r368419")</f>
        <v>https://vk.com/wall-22935147_368393?w=wall-22935147_368393_r368419</v>
      </c>
      <c r="H1910" t="s">
        <v>181</v>
      </c>
      <c r="I1910" t="s">
        <v>1580</v>
      </c>
      <c r="J1910" t="str">
        <f>HYPERLINK("http://vk.com/id412163002")</f>
        <v>http://vk.com/id412163002</v>
      </c>
      <c r="K1910">
        <v>38</v>
      </c>
      <c r="L1910" t="s">
        <v>121</v>
      </c>
      <c r="N1910" t="s">
        <v>122</v>
      </c>
      <c r="O1910" t="s">
        <v>1093</v>
      </c>
      <c r="P1910" t="str">
        <f>HYPERLINK("http://vk.com/club22935147")</f>
        <v>http://vk.com/club22935147</v>
      </c>
      <c r="Q1910">
        <v>8943</v>
      </c>
      <c r="R1910" t="s">
        <v>124</v>
      </c>
      <c r="S1910" t="s">
        <v>125</v>
      </c>
      <c r="T1910" t="s">
        <v>1466</v>
      </c>
      <c r="U1910" t="s">
        <v>1467</v>
      </c>
      <c r="W1910">
        <v>0</v>
      </c>
      <c r="X1910">
        <v>0</v>
      </c>
      <c r="AM1910" t="s">
        <v>129</v>
      </c>
      <c r="AN1910" t="s">
        <v>130</v>
      </c>
      <c r="AP1910" t="s">
        <v>41</v>
      </c>
      <c r="AZ1910" t="s">
        <v>51</v>
      </c>
      <c r="BA1910" t="s">
        <v>52</v>
      </c>
    </row>
    <row r="1911" spans="1:69" x14ac:dyDescent="0.2">
      <c r="A1911" t="s">
        <v>6591</v>
      </c>
      <c r="B1911" t="s">
        <v>6207</v>
      </c>
      <c r="C1911" t="s">
        <v>6894</v>
      </c>
      <c r="D1911" t="s">
        <v>6895</v>
      </c>
      <c r="E1911" t="s">
        <v>6896</v>
      </c>
      <c r="F1911" t="s">
        <v>180</v>
      </c>
      <c r="G1911" t="str">
        <f>HYPERLINK("https://fanat1k.ru/news-274408-torpedo-spartak-2.php")</f>
        <v>https://fanat1k.ru/news-274408-torpedo-spartak-2.php</v>
      </c>
      <c r="H1911" t="s">
        <v>119</v>
      </c>
      <c r="I1911" t="s">
        <v>6897</v>
      </c>
      <c r="J1911" t="str">
        <f>HYPERLINK("http://fanat1k.ru")</f>
        <v>http://fanat1k.ru</v>
      </c>
      <c r="N1911" t="s">
        <v>6897</v>
      </c>
      <c r="R1911" t="s">
        <v>785</v>
      </c>
      <c r="S1911" t="s">
        <v>125</v>
      </c>
      <c r="AM1911" t="s">
        <v>129</v>
      </c>
      <c r="AN1911" t="s">
        <v>130</v>
      </c>
      <c r="AV1911" t="s">
        <v>47</v>
      </c>
    </row>
    <row r="1912" spans="1:69" x14ac:dyDescent="0.2">
      <c r="A1912" t="s">
        <v>6591</v>
      </c>
      <c r="B1912" t="s">
        <v>6898</v>
      </c>
      <c r="C1912" t="s">
        <v>6899</v>
      </c>
      <c r="D1912" t="s">
        <v>6050</v>
      </c>
      <c r="E1912" t="s">
        <v>6900</v>
      </c>
      <c r="F1912" t="s">
        <v>118</v>
      </c>
      <c r="G1912" t="str">
        <f>HYPERLINK("https://vk.com/wall-22935147_368393?reply=368417")</f>
        <v>https://vk.com/wall-22935147_368393?reply=368417</v>
      </c>
      <c r="H1912" t="s">
        <v>228</v>
      </c>
      <c r="I1912" t="s">
        <v>4934</v>
      </c>
      <c r="J1912" t="str">
        <f>HYPERLINK("http://vk.com/id662268001")</f>
        <v>http://vk.com/id662268001</v>
      </c>
      <c r="K1912">
        <v>0</v>
      </c>
      <c r="L1912" t="s">
        <v>121</v>
      </c>
      <c r="M1912">
        <v>38</v>
      </c>
      <c r="N1912" t="s">
        <v>122</v>
      </c>
      <c r="O1912" t="s">
        <v>1093</v>
      </c>
      <c r="P1912" t="str">
        <f>HYPERLINK("http://vk.com/club22935147")</f>
        <v>http://vk.com/club22935147</v>
      </c>
      <c r="Q1912">
        <v>8943</v>
      </c>
      <c r="R1912" t="s">
        <v>124</v>
      </c>
      <c r="S1912" t="s">
        <v>125</v>
      </c>
      <c r="T1912" t="s">
        <v>169</v>
      </c>
      <c r="U1912" t="s">
        <v>169</v>
      </c>
      <c r="AM1912" t="s">
        <v>129</v>
      </c>
      <c r="AN1912" t="s">
        <v>130</v>
      </c>
      <c r="AP1912" t="s">
        <v>41</v>
      </c>
      <c r="AZ1912" t="s">
        <v>51</v>
      </c>
      <c r="BA1912" t="s">
        <v>52</v>
      </c>
    </row>
    <row r="1913" spans="1:69" x14ac:dyDescent="0.2">
      <c r="A1913" t="s">
        <v>6591</v>
      </c>
      <c r="B1913" t="s">
        <v>6901</v>
      </c>
      <c r="C1913" t="s">
        <v>6902</v>
      </c>
      <c r="D1913" t="s">
        <v>1945</v>
      </c>
      <c r="E1913" t="s">
        <v>6903</v>
      </c>
      <c r="F1913" t="s">
        <v>180</v>
      </c>
      <c r="G1913" t="str">
        <f>HYPERLINK("https://www.google.com/maps/reviews/data=!4m5!14m4!1m3!1m2!1s112299172567554904293!2s0x0:0x7789caf337059fc1?hl=en-NL")</f>
        <v>https://www.google.com/maps/reviews/data=!4m5!14m4!1m3!1m2!1s112299172567554904293!2s0x0:0x7789caf337059fc1?hl=en-NL</v>
      </c>
      <c r="H1913" t="s">
        <v>181</v>
      </c>
      <c r="I1913" t="s">
        <v>6904</v>
      </c>
      <c r="J1913" t="str">
        <f>HYPERLINK("https://maps.google.com/maps/contrib/112299172567554904293")</f>
        <v>https://maps.google.com/maps/contrib/112299172567554904293</v>
      </c>
      <c r="L1913" t="s">
        <v>151</v>
      </c>
      <c r="N1913" t="s">
        <v>673</v>
      </c>
      <c r="O1913" t="s">
        <v>1945</v>
      </c>
      <c r="P1913" t="str">
        <f>HYPERLINK("https://maps.google.com/maps/place/data=!3m1!4b1!4m5!3m4!1s0x0:0x7789caf337059fc1!8m2!3d44.742870!4d37.728980")</f>
        <v>https://maps.google.com/maps/place/data=!3m1!4b1!4m5!3m4!1s0x0:0x7789caf337059fc1!8m2!3d44.742870!4d37.728980</v>
      </c>
      <c r="R1913" t="s">
        <v>184</v>
      </c>
      <c r="S1913" t="s">
        <v>125</v>
      </c>
      <c r="T1913" t="s">
        <v>759</v>
      </c>
      <c r="U1913" t="s">
        <v>6905</v>
      </c>
      <c r="W1913">
        <v>0</v>
      </c>
      <c r="X1913">
        <v>0</v>
      </c>
      <c r="AH1913">
        <v>5</v>
      </c>
      <c r="AM1913" t="s">
        <v>129</v>
      </c>
      <c r="AN1913" t="s">
        <v>130</v>
      </c>
      <c r="AP1913" t="s">
        <v>41</v>
      </c>
      <c r="AZ1913" t="s">
        <v>51</v>
      </c>
      <c r="BA1913" t="s">
        <v>52</v>
      </c>
      <c r="BM1913" t="s">
        <v>64</v>
      </c>
    </row>
    <row r="1914" spans="1:69" x14ac:dyDescent="0.2">
      <c r="A1914" t="s">
        <v>6591</v>
      </c>
      <c r="B1914" t="s">
        <v>6906</v>
      </c>
      <c r="C1914" t="s">
        <v>6907</v>
      </c>
      <c r="D1914" t="s">
        <v>6908</v>
      </c>
      <c r="E1914" t="s">
        <v>6909</v>
      </c>
      <c r="F1914" t="s">
        <v>118</v>
      </c>
      <c r="G1914" t="str">
        <f>HYPERLINK("https://vk.com/wall-196241704_6239?reply=6240")</f>
        <v>https://vk.com/wall-196241704_6239?reply=6240</v>
      </c>
      <c r="H1914" t="s">
        <v>119</v>
      </c>
      <c r="I1914" t="s">
        <v>6910</v>
      </c>
      <c r="J1914" t="str">
        <f>HYPERLINK("http://vk.com/id525236031")</f>
        <v>http://vk.com/id525236031</v>
      </c>
      <c r="K1914">
        <v>168</v>
      </c>
      <c r="L1914" t="s">
        <v>121</v>
      </c>
      <c r="M1914">
        <v>60</v>
      </c>
      <c r="N1914" t="s">
        <v>122</v>
      </c>
      <c r="O1914" t="s">
        <v>6911</v>
      </c>
      <c r="P1914" t="str">
        <f>HYPERLINK("http://vk.com/club196241704")</f>
        <v>http://vk.com/club196241704</v>
      </c>
      <c r="Q1914">
        <v>2119</v>
      </c>
      <c r="R1914" t="s">
        <v>124</v>
      </c>
      <c r="S1914" t="s">
        <v>125</v>
      </c>
      <c r="T1914" t="s">
        <v>759</v>
      </c>
      <c r="U1914" t="s">
        <v>2080</v>
      </c>
      <c r="AM1914" t="s">
        <v>129</v>
      </c>
      <c r="AN1914" t="s">
        <v>130</v>
      </c>
      <c r="AP1914" t="s">
        <v>41</v>
      </c>
      <c r="AU1914" t="s">
        <v>46</v>
      </c>
      <c r="AZ1914" t="s">
        <v>51</v>
      </c>
      <c r="BA1914" t="s">
        <v>52</v>
      </c>
    </row>
    <row r="1915" spans="1:69" x14ac:dyDescent="0.2">
      <c r="A1915" t="s">
        <v>6591</v>
      </c>
      <c r="B1915" t="s">
        <v>6912</v>
      </c>
      <c r="C1915" t="s">
        <v>6913</v>
      </c>
      <c r="D1915" t="s">
        <v>1697</v>
      </c>
      <c r="E1915" t="s">
        <v>6914</v>
      </c>
      <c r="F1915" t="s">
        <v>180</v>
      </c>
      <c r="G1915" t="str">
        <f>HYPERLINK("https://apps.apple.com/ru/app/мой-триколор/id1204321194#7585517953")</f>
        <v>https://apps.apple.com/ru/app/мой-триколор/id1204321194#7585517953</v>
      </c>
      <c r="H1915" t="s">
        <v>181</v>
      </c>
      <c r="I1915" t="s">
        <v>6915</v>
      </c>
      <c r="J1915" t="str">
        <f>HYPERLINK("https://itunes.apple.com/reviews?userProfileId=1220756632")</f>
        <v>https://itunes.apple.com/reviews?userProfileId=1220756632</v>
      </c>
      <c r="N1915" t="s">
        <v>1411</v>
      </c>
      <c r="O1915" t="s">
        <v>1697</v>
      </c>
      <c r="P1915" t="str">
        <f>HYPERLINK("https://apps.apple.com/ru/app/мой-триколор/id1204321194")</f>
        <v>https://apps.apple.com/ru/app/мой-триколор/id1204321194</v>
      </c>
      <c r="R1915" t="s">
        <v>184</v>
      </c>
      <c r="S1915" t="s">
        <v>125</v>
      </c>
      <c r="AH1915">
        <v>5</v>
      </c>
      <c r="AM1915" t="s">
        <v>129</v>
      </c>
      <c r="AN1915" t="s">
        <v>130</v>
      </c>
      <c r="AP1915" t="s">
        <v>41</v>
      </c>
      <c r="AZ1915" t="s">
        <v>51</v>
      </c>
      <c r="BA1915" t="s">
        <v>52</v>
      </c>
      <c r="BQ1915" t="s">
        <v>68</v>
      </c>
    </row>
    <row r="1916" spans="1:69" x14ac:dyDescent="0.2">
      <c r="A1916" t="s">
        <v>6591</v>
      </c>
      <c r="B1916" t="s">
        <v>6916</v>
      </c>
      <c r="C1916" t="s">
        <v>5616</v>
      </c>
      <c r="D1916" t="s">
        <v>6917</v>
      </c>
      <c r="E1916" t="s">
        <v>6918</v>
      </c>
      <c r="F1916" t="s">
        <v>180</v>
      </c>
      <c r="G1916" t="str">
        <f>HYPERLINK("https://www.ozon.ru/context/detail/id/265857263/#59967586")</f>
        <v>https://www.ozon.ru/context/detail/id/265857263/#59967586</v>
      </c>
      <c r="H1916" t="s">
        <v>181</v>
      </c>
      <c r="I1916" t="s">
        <v>6919</v>
      </c>
      <c r="J1916" t="str">
        <f>HYPERLINK("https://www.ozon.ru/context/client_opinion/ClientGuid/ac482ca5-1253-4416-87d6-bb633487fe95/")</f>
        <v>https://www.ozon.ru/context/client_opinion/ClientGuid/ac482ca5-1253-4416-87d6-bb633487fe95/</v>
      </c>
      <c r="L1916" t="s">
        <v>151</v>
      </c>
      <c r="N1916" t="s">
        <v>183</v>
      </c>
      <c r="O1916" t="s">
        <v>6917</v>
      </c>
      <c r="P1916" t="str">
        <f>HYPERLINK("https://www.ozon.ru/context/detail/id/265857263/")</f>
        <v>https://www.ozon.ru/context/detail/id/265857263/</v>
      </c>
      <c r="R1916" t="s">
        <v>184</v>
      </c>
      <c r="S1916" t="s">
        <v>125</v>
      </c>
      <c r="W1916">
        <v>0</v>
      </c>
      <c r="X1916">
        <v>0</v>
      </c>
      <c r="AH1916">
        <v>5</v>
      </c>
      <c r="AM1916" t="s">
        <v>129</v>
      </c>
      <c r="AN1916" t="s">
        <v>130</v>
      </c>
      <c r="AP1916" t="s">
        <v>41</v>
      </c>
      <c r="AT1916" t="s">
        <v>45</v>
      </c>
      <c r="AZ1916" t="s">
        <v>51</v>
      </c>
      <c r="BA1916" t="s">
        <v>52</v>
      </c>
    </row>
    <row r="1917" spans="1:69" x14ac:dyDescent="0.2">
      <c r="A1917" t="s">
        <v>6591</v>
      </c>
      <c r="B1917" t="s">
        <v>5853</v>
      </c>
      <c r="C1917" t="s">
        <v>6920</v>
      </c>
      <c r="D1917" t="s">
        <v>6921</v>
      </c>
      <c r="E1917" t="s">
        <v>6922</v>
      </c>
      <c r="F1917" t="s">
        <v>118</v>
      </c>
      <c r="G1917" t="str">
        <f>HYPERLINK("https://vk.com/wall-103059882_308021?reply=308070")</f>
        <v>https://vk.com/wall-103059882_308021?reply=308070</v>
      </c>
      <c r="H1917" t="s">
        <v>119</v>
      </c>
      <c r="I1917" t="s">
        <v>6923</v>
      </c>
      <c r="J1917" t="str">
        <f>HYPERLINK("http://vk.com/id17265759")</f>
        <v>http://vk.com/id17265759</v>
      </c>
      <c r="K1917">
        <v>502</v>
      </c>
      <c r="L1917" t="s">
        <v>121</v>
      </c>
      <c r="N1917" t="s">
        <v>122</v>
      </c>
      <c r="O1917" t="s">
        <v>6924</v>
      </c>
      <c r="P1917" t="str">
        <f>HYPERLINK("http://vk.com/club103059882")</f>
        <v>http://vk.com/club103059882</v>
      </c>
      <c r="Q1917">
        <v>71275</v>
      </c>
      <c r="R1917" t="s">
        <v>124</v>
      </c>
      <c r="S1917" t="s">
        <v>125</v>
      </c>
      <c r="T1917" t="s">
        <v>1229</v>
      </c>
      <c r="U1917" t="s">
        <v>6925</v>
      </c>
      <c r="AM1917" t="s">
        <v>129</v>
      </c>
      <c r="AN1917" t="s">
        <v>130</v>
      </c>
      <c r="AP1917" t="s">
        <v>41</v>
      </c>
      <c r="AZ1917" t="s">
        <v>51</v>
      </c>
      <c r="BB1917" t="s">
        <v>53</v>
      </c>
    </row>
    <row r="1918" spans="1:69" x14ac:dyDescent="0.2">
      <c r="A1918" t="s">
        <v>6591</v>
      </c>
      <c r="B1918" t="s">
        <v>1174</v>
      </c>
      <c r="C1918" t="s">
        <v>6926</v>
      </c>
      <c r="D1918" t="s">
        <v>6927</v>
      </c>
      <c r="E1918" t="s">
        <v>6928</v>
      </c>
      <c r="F1918" t="s">
        <v>118</v>
      </c>
      <c r="G1918" t="str">
        <f>HYPERLINK("https://www.youtube.com/watch?v=5-5XmQsZfgY&amp;lc=UgwLxbcrOW_ksJbsDrR4AaABAg")</f>
        <v>https://www.youtube.com/watch?v=5-5XmQsZfgY&amp;lc=UgwLxbcrOW_ksJbsDrR4AaABAg</v>
      </c>
      <c r="H1918" t="s">
        <v>119</v>
      </c>
      <c r="I1918" t="s">
        <v>6929</v>
      </c>
      <c r="J1918" t="str">
        <f>HYPERLINK("https://www.youtube.com/channel/UC4g498lzwPiTnb5d86rOPCw")</f>
        <v>https://www.youtube.com/channel/UC4g498lzwPiTnb5d86rOPCw</v>
      </c>
      <c r="K1918">
        <v>186</v>
      </c>
      <c r="L1918" t="s">
        <v>121</v>
      </c>
      <c r="N1918" t="s">
        <v>248</v>
      </c>
      <c r="O1918" t="s">
        <v>6930</v>
      </c>
      <c r="P1918" t="str">
        <f>HYPERLINK("https://www.youtube.com/channel/UCW47jKqLC9l-tWspoARe8tg")</f>
        <v>https://www.youtube.com/channel/UCW47jKqLC9l-tWspoARe8tg</v>
      </c>
      <c r="Q1918">
        <v>2440</v>
      </c>
      <c r="R1918" t="s">
        <v>124</v>
      </c>
      <c r="S1918" t="s">
        <v>125</v>
      </c>
      <c r="W1918">
        <v>0</v>
      </c>
      <c r="X1918">
        <v>0</v>
      </c>
      <c r="AE1918">
        <v>0</v>
      </c>
      <c r="AM1918" t="s">
        <v>129</v>
      </c>
      <c r="AN1918" t="s">
        <v>130</v>
      </c>
      <c r="AP1918" t="s">
        <v>41</v>
      </c>
      <c r="AZ1918" t="s">
        <v>51</v>
      </c>
      <c r="BA1918" t="s">
        <v>52</v>
      </c>
    </row>
    <row r="1919" spans="1:69" x14ac:dyDescent="0.2">
      <c r="A1919" t="s">
        <v>6591</v>
      </c>
      <c r="B1919" t="s">
        <v>1827</v>
      </c>
      <c r="C1919" t="s">
        <v>6931</v>
      </c>
      <c r="D1919" t="s">
        <v>6932</v>
      </c>
      <c r="E1919" t="s">
        <v>6933</v>
      </c>
      <c r="F1919" t="s">
        <v>118</v>
      </c>
      <c r="G1919" t="str">
        <f>HYPERLINK("https://vk.com/wall-115708061_28978?reply=29110&amp;thread=29027")</f>
        <v>https://vk.com/wall-115708061_28978?reply=29110&amp;thread=29027</v>
      </c>
      <c r="H1919" t="s">
        <v>119</v>
      </c>
      <c r="I1919" t="s">
        <v>6934</v>
      </c>
      <c r="J1919" t="str">
        <f>HYPERLINK("http://vk.com/id324234924")</f>
        <v>http://vk.com/id324234924</v>
      </c>
      <c r="K1919">
        <v>261</v>
      </c>
      <c r="L1919" t="s">
        <v>121</v>
      </c>
      <c r="N1919" t="s">
        <v>122</v>
      </c>
      <c r="O1919" t="s">
        <v>6935</v>
      </c>
      <c r="P1919" t="str">
        <f>HYPERLINK("http://vk.com/club115708061")</f>
        <v>http://vk.com/club115708061</v>
      </c>
      <c r="Q1919">
        <v>5344</v>
      </c>
      <c r="R1919" t="s">
        <v>124</v>
      </c>
      <c r="S1919" t="s">
        <v>125</v>
      </c>
      <c r="T1919" t="s">
        <v>161</v>
      </c>
      <c r="U1919" t="s">
        <v>6936</v>
      </c>
      <c r="AM1919" t="s">
        <v>129</v>
      </c>
      <c r="AN1919" t="s">
        <v>130</v>
      </c>
      <c r="AP1919" t="s">
        <v>41</v>
      </c>
      <c r="AU1919" t="s">
        <v>46</v>
      </c>
      <c r="AZ1919" t="s">
        <v>51</v>
      </c>
      <c r="BA1919" t="s">
        <v>52</v>
      </c>
    </row>
    <row r="1920" spans="1:69" x14ac:dyDescent="0.2">
      <c r="A1920" t="s">
        <v>6591</v>
      </c>
      <c r="B1920" t="s">
        <v>6937</v>
      </c>
      <c r="C1920" t="s">
        <v>6938</v>
      </c>
      <c r="D1920" t="s">
        <v>3941</v>
      </c>
      <c r="E1920" t="s">
        <v>6939</v>
      </c>
      <c r="F1920" t="s">
        <v>118</v>
      </c>
      <c r="G1920" t="str">
        <f>HYPERLINK("https://vk.com/wall-27863223_291839?reply=291858&amp;thread=291840")</f>
        <v>https://vk.com/wall-27863223_291839?reply=291858&amp;thread=291840</v>
      </c>
      <c r="H1920" t="s">
        <v>119</v>
      </c>
      <c r="I1920" t="s">
        <v>2353</v>
      </c>
      <c r="J1920" t="str">
        <f>HYPERLINK("http://vk.com/id26675501")</f>
        <v>http://vk.com/id26675501</v>
      </c>
      <c r="K1920">
        <v>163</v>
      </c>
      <c r="L1920" t="s">
        <v>121</v>
      </c>
      <c r="M1920">
        <v>31</v>
      </c>
      <c r="N1920" t="s">
        <v>122</v>
      </c>
      <c r="O1920" t="s">
        <v>175</v>
      </c>
      <c r="P1920" t="str">
        <f>HYPERLINK("http://vk.com/club27863223")</f>
        <v>http://vk.com/club27863223</v>
      </c>
      <c r="Q1920">
        <v>134698</v>
      </c>
      <c r="R1920" t="s">
        <v>124</v>
      </c>
      <c r="S1920" t="s">
        <v>125</v>
      </c>
      <c r="T1920" t="s">
        <v>137</v>
      </c>
      <c r="U1920" t="s">
        <v>137</v>
      </c>
      <c r="AM1920" t="s">
        <v>129</v>
      </c>
      <c r="AN1920" t="s">
        <v>130</v>
      </c>
      <c r="AP1920" t="s">
        <v>41</v>
      </c>
      <c r="AU1920" t="s">
        <v>46</v>
      </c>
      <c r="AZ1920" t="s">
        <v>51</v>
      </c>
      <c r="BA1920" t="s">
        <v>52</v>
      </c>
    </row>
    <row r="1921" spans="1:100" x14ac:dyDescent="0.2">
      <c r="A1921" t="s">
        <v>6591</v>
      </c>
      <c r="B1921" t="s">
        <v>5891</v>
      </c>
      <c r="C1921" t="s">
        <v>6940</v>
      </c>
      <c r="D1921" t="s">
        <v>5893</v>
      </c>
      <c r="E1921" t="s">
        <v>5894</v>
      </c>
      <c r="F1921" t="s">
        <v>180</v>
      </c>
      <c r="G1921" t="str">
        <f>HYPERLINK("https://infoslash.net/raznoe/item/56466-1626540787")</f>
        <v>https://infoslash.net/raznoe/item/56466-1626540787</v>
      </c>
      <c r="H1921" t="s">
        <v>119</v>
      </c>
      <c r="N1921" t="s">
        <v>6941</v>
      </c>
      <c r="R1921" t="s">
        <v>785</v>
      </c>
      <c r="AJ1921" t="s">
        <v>5896</v>
      </c>
      <c r="AK1921" t="s">
        <v>5897</v>
      </c>
      <c r="AL1921" t="str">
        <f>HYPERLINK("https://kompromat.wiki/images/thumb/7/73/Shamalov02-1.jpg/300px-Shamalov02-1.jpg")</f>
        <v>https://kompromat.wiki/images/thumb/7/73/Shamalov02-1.jpg/300px-Shamalov02-1.jpg</v>
      </c>
      <c r="AM1921" t="s">
        <v>129</v>
      </c>
      <c r="AN1921" t="s">
        <v>130</v>
      </c>
      <c r="AV1921" t="s">
        <v>47</v>
      </c>
    </row>
    <row r="1922" spans="1:100" x14ac:dyDescent="0.2">
      <c r="A1922" t="s">
        <v>6591</v>
      </c>
      <c r="B1922" t="s">
        <v>5891</v>
      </c>
      <c r="C1922" t="s">
        <v>6942</v>
      </c>
      <c r="D1922" t="s">
        <v>5893</v>
      </c>
      <c r="E1922" t="s">
        <v>5894</v>
      </c>
      <c r="F1922" t="s">
        <v>180</v>
      </c>
      <c r="G1922" t="str">
        <f>HYPERLINK("https://0522ua.com/ukraina/item/63662-1626478443")</f>
        <v>https://0522ua.com/ukraina/item/63662-1626478443</v>
      </c>
      <c r="H1922" t="s">
        <v>119</v>
      </c>
      <c r="N1922" t="s">
        <v>6943</v>
      </c>
      <c r="R1922" t="s">
        <v>785</v>
      </c>
      <c r="AJ1922" t="s">
        <v>5896</v>
      </c>
      <c r="AK1922" t="s">
        <v>5897</v>
      </c>
      <c r="AL1922" t="str">
        <f>HYPERLINK("https://kompromat.wiki/images/thumb/7/73/Shamalov02-1.jpg/300px-Shamalov02-1.jpg")</f>
        <v>https://kompromat.wiki/images/thumb/7/73/Shamalov02-1.jpg/300px-Shamalov02-1.jpg</v>
      </c>
      <c r="AM1922" t="s">
        <v>129</v>
      </c>
      <c r="AN1922" t="s">
        <v>130</v>
      </c>
      <c r="AV1922" t="s">
        <v>47</v>
      </c>
    </row>
    <row r="1923" spans="1:100" x14ac:dyDescent="0.2">
      <c r="A1923" t="s">
        <v>6591</v>
      </c>
      <c r="B1923" t="s">
        <v>5900</v>
      </c>
      <c r="C1923" t="s">
        <v>6944</v>
      </c>
      <c r="D1923" t="s">
        <v>6945</v>
      </c>
      <c r="E1923" t="s">
        <v>6946</v>
      </c>
      <c r="F1923" t="s">
        <v>118</v>
      </c>
      <c r="G1923" t="str">
        <f>HYPERLINK("https://www.facebook.com/story.php?story_fbid=4405049946173987&amp;id=716976338314718&amp;comment_id=4406516236027358")</f>
        <v>https://www.facebook.com/story.php?story_fbid=4405049946173987&amp;id=716976338314718&amp;comment_id=4406516236027358</v>
      </c>
      <c r="H1923" t="s">
        <v>119</v>
      </c>
      <c r="I1923" t="s">
        <v>6947</v>
      </c>
      <c r="J1923" t="str">
        <f>HYPERLINK("https://www.facebook.com/100005379308420")</f>
        <v>https://www.facebook.com/100005379308420</v>
      </c>
      <c r="K1923">
        <v>0</v>
      </c>
      <c r="L1923" t="s">
        <v>121</v>
      </c>
      <c r="N1923" t="s">
        <v>305</v>
      </c>
      <c r="O1923" t="s">
        <v>6948</v>
      </c>
      <c r="P1923" t="str">
        <f>HYPERLINK("https://www.facebook.com/716976338314718")</f>
        <v>https://www.facebook.com/716976338314718</v>
      </c>
      <c r="Q1923">
        <v>3731</v>
      </c>
      <c r="R1923" t="s">
        <v>124</v>
      </c>
      <c r="S1923" t="s">
        <v>125</v>
      </c>
      <c r="T1923" t="s">
        <v>4836</v>
      </c>
      <c r="U1923" t="s">
        <v>6949</v>
      </c>
      <c r="W1923">
        <v>0</v>
      </c>
      <c r="X1923">
        <v>0</v>
      </c>
      <c r="AE1923">
        <v>0</v>
      </c>
      <c r="AM1923" t="s">
        <v>129</v>
      </c>
      <c r="AN1923" t="s">
        <v>130</v>
      </c>
      <c r="AP1923" t="s">
        <v>41</v>
      </c>
      <c r="AZ1923" t="s">
        <v>51</v>
      </c>
      <c r="BA1923" t="s">
        <v>52</v>
      </c>
      <c r="BM1923" t="s">
        <v>64</v>
      </c>
    </row>
    <row r="1924" spans="1:100" x14ac:dyDescent="0.2">
      <c r="A1924" t="s">
        <v>6591</v>
      </c>
      <c r="B1924" t="s">
        <v>6950</v>
      </c>
      <c r="C1924" t="s">
        <v>6951</v>
      </c>
      <c r="D1924" t="s">
        <v>6952</v>
      </c>
      <c r="E1924" t="s">
        <v>6953</v>
      </c>
      <c r="F1924" t="s">
        <v>118</v>
      </c>
      <c r="G1924" t="str">
        <f>HYPERLINK("https://vk.com/wall-22935147_368374?reply=368414")</f>
        <v>https://vk.com/wall-22935147_368374?reply=368414</v>
      </c>
      <c r="H1924" t="s">
        <v>119</v>
      </c>
      <c r="I1924" t="s">
        <v>6954</v>
      </c>
      <c r="J1924" t="str">
        <f>HYPERLINK("http://vk.com/id141950690")</f>
        <v>http://vk.com/id141950690</v>
      </c>
      <c r="K1924">
        <v>57</v>
      </c>
      <c r="L1924" t="s">
        <v>121</v>
      </c>
      <c r="M1924">
        <v>33</v>
      </c>
      <c r="N1924" t="s">
        <v>122</v>
      </c>
      <c r="O1924" t="s">
        <v>1093</v>
      </c>
      <c r="P1924" t="str">
        <f>HYPERLINK("http://vk.com/club22935147")</f>
        <v>http://vk.com/club22935147</v>
      </c>
      <c r="Q1924">
        <v>8943</v>
      </c>
      <c r="R1924" t="s">
        <v>124</v>
      </c>
      <c r="S1924" t="s">
        <v>125</v>
      </c>
      <c r="T1924" t="s">
        <v>1027</v>
      </c>
      <c r="U1924" t="s">
        <v>1028</v>
      </c>
      <c r="W1924">
        <v>0</v>
      </c>
      <c r="X1924">
        <v>0</v>
      </c>
      <c r="AM1924" t="s">
        <v>129</v>
      </c>
      <c r="AN1924" t="s">
        <v>130</v>
      </c>
      <c r="AP1924" t="s">
        <v>41</v>
      </c>
      <c r="AU1924" t="s">
        <v>46</v>
      </c>
      <c r="AZ1924" t="s">
        <v>51</v>
      </c>
      <c r="BA1924" t="s">
        <v>52</v>
      </c>
    </row>
    <row r="1925" spans="1:100" x14ac:dyDescent="0.2">
      <c r="A1925" t="s">
        <v>6591</v>
      </c>
      <c r="B1925" t="s">
        <v>6955</v>
      </c>
      <c r="C1925" t="s">
        <v>6956</v>
      </c>
      <c r="D1925" t="s">
        <v>6957</v>
      </c>
      <c r="E1925" t="s">
        <v>6958</v>
      </c>
      <c r="F1925" t="s">
        <v>118</v>
      </c>
      <c r="G1925" t="str">
        <f>HYPERLINK("https://www.youtube.com/watch?v=_rUohuhGHVs&amp;lc=UgxvwU5zZtVCOV8UME14AaABAg")</f>
        <v>https://www.youtube.com/watch?v=_rUohuhGHVs&amp;lc=UgxvwU5zZtVCOV8UME14AaABAg</v>
      </c>
      <c r="H1925" t="s">
        <v>119</v>
      </c>
      <c r="I1925" t="s">
        <v>6959</v>
      </c>
      <c r="J1925" t="str">
        <f>HYPERLINK("https://www.youtube.com/channel/UCE_Q1KcLNmt0bHl6_9CD96w")</f>
        <v>https://www.youtube.com/channel/UCE_Q1KcLNmt0bHl6_9CD96w</v>
      </c>
      <c r="K1925">
        <v>0</v>
      </c>
      <c r="L1925" t="s">
        <v>121</v>
      </c>
      <c r="N1925" t="s">
        <v>248</v>
      </c>
      <c r="O1925" t="s">
        <v>6960</v>
      </c>
      <c r="P1925" t="str">
        <f>HYPERLINK("https://www.youtube.com/channel/UCoAEj6XaIzqxQ5C5OUIGcZA")</f>
        <v>https://www.youtube.com/channel/UCoAEj6XaIzqxQ5C5OUIGcZA</v>
      </c>
      <c r="Q1925">
        <v>1260000</v>
      </c>
      <c r="R1925" t="s">
        <v>124</v>
      </c>
      <c r="S1925" t="s">
        <v>125</v>
      </c>
      <c r="W1925">
        <v>0</v>
      </c>
      <c r="X1925">
        <v>0</v>
      </c>
      <c r="AE1925">
        <v>0</v>
      </c>
      <c r="AM1925" t="s">
        <v>129</v>
      </c>
      <c r="AN1925" t="s">
        <v>130</v>
      </c>
      <c r="AP1925" t="s">
        <v>41</v>
      </c>
      <c r="AU1925" t="s">
        <v>46</v>
      </c>
      <c r="AZ1925" t="s">
        <v>51</v>
      </c>
      <c r="BA1925" t="s">
        <v>52</v>
      </c>
      <c r="BM1925" t="s">
        <v>64</v>
      </c>
    </row>
    <row r="1926" spans="1:100" x14ac:dyDescent="0.2">
      <c r="A1926" t="s">
        <v>6961</v>
      </c>
      <c r="B1926" t="s">
        <v>138</v>
      </c>
      <c r="C1926" t="s">
        <v>6962</v>
      </c>
      <c r="D1926" t="s">
        <v>6963</v>
      </c>
      <c r="E1926" t="s">
        <v>6964</v>
      </c>
      <c r="F1926" t="s">
        <v>118</v>
      </c>
      <c r="G1926" t="str">
        <f>HYPERLINK("https://telegram.me/oldhard/949920")</f>
        <v>https://telegram.me/oldhard/949920</v>
      </c>
      <c r="H1926" t="s">
        <v>119</v>
      </c>
      <c r="I1926" t="s">
        <v>6965</v>
      </c>
      <c r="J1926" t="str">
        <f>HYPERLINK("https://telegram.me/m100bit")</f>
        <v>https://telegram.me/m100bit</v>
      </c>
      <c r="N1926" t="s">
        <v>143</v>
      </c>
      <c r="O1926" t="s">
        <v>6966</v>
      </c>
      <c r="P1926" t="str">
        <f>HYPERLINK("https://telegram.me/oldhard")</f>
        <v>https://telegram.me/oldhard</v>
      </c>
      <c r="Q1926">
        <v>271</v>
      </c>
      <c r="R1926" t="s">
        <v>145</v>
      </c>
      <c r="AM1926" t="s">
        <v>129</v>
      </c>
      <c r="AN1926" t="s">
        <v>130</v>
      </c>
      <c r="AP1926" t="s">
        <v>41</v>
      </c>
      <c r="AZ1926" t="s">
        <v>51</v>
      </c>
      <c r="BA1926" t="s">
        <v>52</v>
      </c>
      <c r="BL1926" t="s">
        <v>63</v>
      </c>
    </row>
    <row r="1927" spans="1:100" x14ac:dyDescent="0.2">
      <c r="A1927" t="s">
        <v>6961</v>
      </c>
      <c r="B1927" t="s">
        <v>6967</v>
      </c>
      <c r="C1927" t="s">
        <v>6968</v>
      </c>
      <c r="D1927" t="s">
        <v>6801</v>
      </c>
      <c r="E1927" t="s">
        <v>6969</v>
      </c>
      <c r="F1927" t="s">
        <v>118</v>
      </c>
      <c r="G1927" t="str">
        <f>HYPERLINK("https://vk.com/wall-27863223_291831?w=wall-27863223_291831_r291856")</f>
        <v>https://vk.com/wall-27863223_291831?w=wall-27863223_291831_r291856</v>
      </c>
      <c r="H1927" t="s">
        <v>228</v>
      </c>
      <c r="I1927" t="s">
        <v>6803</v>
      </c>
      <c r="J1927" t="str">
        <f>HYPERLINK("http://vk.com/id468458880")</f>
        <v>http://vk.com/id468458880</v>
      </c>
      <c r="K1927">
        <v>60</v>
      </c>
      <c r="L1927" t="s">
        <v>151</v>
      </c>
      <c r="N1927" t="s">
        <v>122</v>
      </c>
      <c r="O1927" t="s">
        <v>175</v>
      </c>
      <c r="P1927" t="str">
        <f>HYPERLINK("http://vk.com/club27863223")</f>
        <v>http://vk.com/club27863223</v>
      </c>
      <c r="Q1927">
        <v>134698</v>
      </c>
      <c r="R1927" t="s">
        <v>124</v>
      </c>
      <c r="S1927" t="s">
        <v>125</v>
      </c>
      <c r="W1927">
        <v>0</v>
      </c>
      <c r="X1927">
        <v>0</v>
      </c>
      <c r="AM1927" t="s">
        <v>129</v>
      </c>
      <c r="AN1927" t="s">
        <v>130</v>
      </c>
      <c r="AP1927" t="s">
        <v>41</v>
      </c>
      <c r="AX1927" t="s">
        <v>49</v>
      </c>
      <c r="BD1927" t="s">
        <v>55</v>
      </c>
      <c r="BF1927" t="s">
        <v>57</v>
      </c>
    </row>
    <row r="1928" spans="1:100" x14ac:dyDescent="0.2">
      <c r="A1928" t="s">
        <v>6961</v>
      </c>
      <c r="B1928" t="s">
        <v>2311</v>
      </c>
      <c r="C1928" t="s">
        <v>6970</v>
      </c>
      <c r="D1928" t="s">
        <v>204</v>
      </c>
      <c r="E1928" t="s">
        <v>6971</v>
      </c>
      <c r="F1928" t="s">
        <v>180</v>
      </c>
      <c r="G1928" t="str">
        <f>HYPERLINK("https://play.google.com/store/apps/details?id=ru.iflex.android.a3colortv&amp;reviewId=gp:AOqpTOGujZTZJy325yrDta1G8K7rAA2WV4kCrrYfB0hl6aFn-vMIw4kA_IZWZxcjGwPjxh5fwnHq_kdZaN3-qA")</f>
        <v>https://play.google.com/store/apps/details?id=ru.iflex.android.a3colortv&amp;reviewId=gp:AOqpTOGujZTZJy325yrDta1G8K7rAA2WV4kCrrYfB0hl6aFn-vMIw4kA_IZWZxcjGwPjxh5fwnHq_kdZaN3-qA</v>
      </c>
      <c r="H1928" t="s">
        <v>228</v>
      </c>
      <c r="I1928" t="s">
        <v>6972</v>
      </c>
      <c r="J1928" t="str">
        <f>HYPERLINK("https://plus.google.com/103503535588326570817")</f>
        <v>https://plus.google.com/103503535588326570817</v>
      </c>
      <c r="L1928" t="s">
        <v>151</v>
      </c>
      <c r="N1928" t="s">
        <v>207</v>
      </c>
      <c r="O1928" t="s">
        <v>204</v>
      </c>
      <c r="P1928" t="str">
        <f>HYPERLINK("https://play.google.com/store/apps/details?id=ru.iflex.android.a3colortv&amp;hl=ru")</f>
        <v>https://play.google.com/store/apps/details?id=ru.iflex.android.a3colortv&amp;hl=ru</v>
      </c>
      <c r="R1928" t="s">
        <v>184</v>
      </c>
      <c r="S1928" t="s">
        <v>125</v>
      </c>
      <c r="W1928">
        <v>0</v>
      </c>
      <c r="X1928">
        <v>0</v>
      </c>
      <c r="AH1928">
        <v>1</v>
      </c>
      <c r="AM1928" t="s">
        <v>129</v>
      </c>
      <c r="AN1928" t="s">
        <v>130</v>
      </c>
      <c r="AP1928" t="s">
        <v>41</v>
      </c>
      <c r="AZ1928" t="s">
        <v>51</v>
      </c>
      <c r="BA1928" t="s">
        <v>52</v>
      </c>
      <c r="BQ1928" t="s">
        <v>68</v>
      </c>
    </row>
    <row r="1929" spans="1:100" x14ac:dyDescent="0.2">
      <c r="A1929" t="s">
        <v>6961</v>
      </c>
      <c r="B1929" t="s">
        <v>4580</v>
      </c>
      <c r="C1929" t="s">
        <v>6973</v>
      </c>
      <c r="D1929" t="s">
        <v>6801</v>
      </c>
      <c r="E1929" t="s">
        <v>6974</v>
      </c>
      <c r="F1929" t="s">
        <v>118</v>
      </c>
      <c r="G1929" t="str">
        <f>HYPERLINK("https://vk.com/wall-27863223_291831?w=wall-27863223_291831_r291853")</f>
        <v>https://vk.com/wall-27863223_291831?w=wall-27863223_291831_r291853</v>
      </c>
      <c r="H1929" t="s">
        <v>228</v>
      </c>
      <c r="I1929" t="s">
        <v>6803</v>
      </c>
      <c r="J1929" t="str">
        <f>HYPERLINK("http://vk.com/id468458880")</f>
        <v>http://vk.com/id468458880</v>
      </c>
      <c r="K1929">
        <v>60</v>
      </c>
      <c r="L1929" t="s">
        <v>151</v>
      </c>
      <c r="N1929" t="s">
        <v>122</v>
      </c>
      <c r="O1929" t="s">
        <v>175</v>
      </c>
      <c r="P1929" t="str">
        <f>HYPERLINK("http://vk.com/club27863223")</f>
        <v>http://vk.com/club27863223</v>
      </c>
      <c r="Q1929">
        <v>134698</v>
      </c>
      <c r="R1929" t="s">
        <v>124</v>
      </c>
      <c r="S1929" t="s">
        <v>125</v>
      </c>
      <c r="W1929">
        <v>0</v>
      </c>
      <c r="X1929">
        <v>0</v>
      </c>
      <c r="AJ1929" t="s">
        <v>6861</v>
      </c>
      <c r="AK1929" t="s">
        <v>129</v>
      </c>
      <c r="AL1929" t="str">
        <f>HYPERLINK("https://sun9-47.userapi.com/impg/TmAnQFs3NbhJI39pfxO8Buf32EXuf5-8VZoaoQ/9TFyKxMBZAw.jpg?size=738x1600&amp;quality=96&amp;sign=ac40114ee70ac6953b5f1ab6fb0ddeb1&amp;c_uniq_tag=v_lVzzY0fMEL_EBplUWMdr4HID02i5Ab1A4K2gb_Gzw&amp;type=album")</f>
        <v>https://sun9-47.userapi.com/impg/TmAnQFs3NbhJI39pfxO8Buf32EXuf5-8VZoaoQ/9TFyKxMBZAw.jpg?size=738x1600&amp;quality=96&amp;sign=ac40114ee70ac6953b5f1ab6fb0ddeb1&amp;c_uniq_tag=v_lVzzY0fMEL_EBplUWMdr4HID02i5Ab1A4K2gb_Gzw&amp;type=album</v>
      </c>
      <c r="AM1929" t="s">
        <v>129</v>
      </c>
      <c r="AN1929" t="s">
        <v>130</v>
      </c>
      <c r="AP1929" t="s">
        <v>41</v>
      </c>
      <c r="AX1929" t="s">
        <v>49</v>
      </c>
      <c r="AZ1929" t="s">
        <v>51</v>
      </c>
      <c r="BA1929" t="s">
        <v>52</v>
      </c>
      <c r="CV1929" t="s">
        <v>99</v>
      </c>
    </row>
    <row r="1930" spans="1:100" x14ac:dyDescent="0.2">
      <c r="A1930" t="s">
        <v>6961</v>
      </c>
      <c r="B1930" t="s">
        <v>1892</v>
      </c>
      <c r="C1930" t="s">
        <v>6975</v>
      </c>
      <c r="D1930" t="s">
        <v>6801</v>
      </c>
      <c r="E1930" t="s">
        <v>6976</v>
      </c>
      <c r="F1930" t="s">
        <v>118</v>
      </c>
      <c r="G1930" t="str">
        <f>HYPERLINK("https://vk.com/wall-27863223_291831?w=wall-27863223_291831_r291850")</f>
        <v>https://vk.com/wall-27863223_291831?w=wall-27863223_291831_r291850</v>
      </c>
      <c r="H1930" t="s">
        <v>228</v>
      </c>
      <c r="I1930" t="s">
        <v>6977</v>
      </c>
      <c r="J1930" t="str">
        <f>HYPERLINK("http://vk.com/id400424980")</f>
        <v>http://vk.com/id400424980</v>
      </c>
      <c r="K1930">
        <v>317</v>
      </c>
      <c r="L1930" t="s">
        <v>121</v>
      </c>
      <c r="M1930">
        <v>39</v>
      </c>
      <c r="N1930" t="s">
        <v>122</v>
      </c>
      <c r="O1930" t="s">
        <v>175</v>
      </c>
      <c r="P1930" t="str">
        <f>HYPERLINK("http://vk.com/club27863223")</f>
        <v>http://vk.com/club27863223</v>
      </c>
      <c r="Q1930">
        <v>134698</v>
      </c>
      <c r="R1930" t="s">
        <v>124</v>
      </c>
      <c r="W1930">
        <v>0</v>
      </c>
      <c r="X1930">
        <v>0</v>
      </c>
      <c r="AM1930" t="s">
        <v>129</v>
      </c>
      <c r="AN1930" t="s">
        <v>130</v>
      </c>
      <c r="AP1930" t="s">
        <v>41</v>
      </c>
      <c r="AZ1930" t="s">
        <v>51</v>
      </c>
      <c r="BD1930" t="s">
        <v>55</v>
      </c>
    </row>
    <row r="1931" spans="1:100" x14ac:dyDescent="0.2">
      <c r="A1931" t="s">
        <v>6961</v>
      </c>
      <c r="B1931" t="s">
        <v>1902</v>
      </c>
      <c r="C1931" t="s">
        <v>6978</v>
      </c>
      <c r="D1931" t="s">
        <v>6979</v>
      </c>
      <c r="E1931" t="s">
        <v>6980</v>
      </c>
      <c r="F1931" t="s">
        <v>180</v>
      </c>
      <c r="G1931" t="str">
        <f>HYPERLINK("https://forums.overclockers.ru/viewtopic.php?f=104&amp;t=175161&amp;start=15460#p17429635")</f>
        <v>https://forums.overclockers.ru/viewtopic.php?f=104&amp;t=175161&amp;start=15460#p17429635</v>
      </c>
      <c r="H1931" t="s">
        <v>119</v>
      </c>
      <c r="I1931" t="s">
        <v>6981</v>
      </c>
      <c r="J1931" t="str">
        <f>HYPERLINK("https://forums.overclockers.ru/memberlist.php?mode=viewprofile&amp;u=254941")</f>
        <v>https://forums.overclockers.ru/memberlist.php?mode=viewprofile&amp;u=254941</v>
      </c>
      <c r="N1931" t="s">
        <v>6982</v>
      </c>
      <c r="O1931" t="s">
        <v>6983</v>
      </c>
      <c r="P1931" t="str">
        <f>HYPERLINK("https://forums.overclockers.ru/viewforum.php?f=104")</f>
        <v>https://forums.overclockers.ru/viewforum.php?f=104</v>
      </c>
      <c r="R1931" t="s">
        <v>295</v>
      </c>
      <c r="S1931" t="s">
        <v>125</v>
      </c>
      <c r="AM1931" t="s">
        <v>129</v>
      </c>
      <c r="AN1931" t="s">
        <v>130</v>
      </c>
      <c r="AP1931" t="s">
        <v>41</v>
      </c>
      <c r="AT1931" t="s">
        <v>45</v>
      </c>
      <c r="AZ1931" t="s">
        <v>51</v>
      </c>
      <c r="BA1931" t="s">
        <v>52</v>
      </c>
    </row>
    <row r="1932" spans="1:100" x14ac:dyDescent="0.2">
      <c r="A1932" t="s">
        <v>6961</v>
      </c>
      <c r="B1932" t="s">
        <v>6637</v>
      </c>
      <c r="C1932" t="s">
        <v>6984</v>
      </c>
      <c r="D1932" t="s">
        <v>3455</v>
      </c>
      <c r="E1932" t="s">
        <v>6985</v>
      </c>
      <c r="F1932" t="s">
        <v>180</v>
      </c>
      <c r="G1932" t="str">
        <f>HYPERLINK("https://www.ozon.ru/context/detail/id/223364630/#59935108")</f>
        <v>https://www.ozon.ru/context/detail/id/223364630/#59935108</v>
      </c>
      <c r="H1932" t="s">
        <v>181</v>
      </c>
      <c r="I1932" t="s">
        <v>1330</v>
      </c>
      <c r="J1932" t="str">
        <f>HYPERLINK("https://www.ozon.ru/context/client_opinion/ClientGuid/9436fc96-cf08-4d21-baab-b814983283fa/")</f>
        <v>https://www.ozon.ru/context/client_opinion/ClientGuid/9436fc96-cf08-4d21-baab-b814983283fa/</v>
      </c>
      <c r="L1932" t="s">
        <v>121</v>
      </c>
      <c r="N1932" t="s">
        <v>183</v>
      </c>
      <c r="O1932" t="s">
        <v>3455</v>
      </c>
      <c r="P1932" t="str">
        <f>HYPERLINK("https://www.ozon.ru/context/detail/id/223364630/")</f>
        <v>https://www.ozon.ru/context/detail/id/223364630/</v>
      </c>
      <c r="R1932" t="s">
        <v>184</v>
      </c>
      <c r="S1932" t="s">
        <v>125</v>
      </c>
      <c r="W1932">
        <v>0</v>
      </c>
      <c r="X1932">
        <v>0</v>
      </c>
      <c r="AH1932">
        <v>5</v>
      </c>
      <c r="AM1932" t="s">
        <v>129</v>
      </c>
      <c r="AN1932" t="s">
        <v>130</v>
      </c>
      <c r="AP1932" t="s">
        <v>41</v>
      </c>
      <c r="AT1932" t="s">
        <v>45</v>
      </c>
      <c r="AZ1932" t="s">
        <v>51</v>
      </c>
      <c r="BA1932" t="s">
        <v>52</v>
      </c>
    </row>
    <row r="1933" spans="1:100" x14ac:dyDescent="0.2">
      <c r="A1933" t="s">
        <v>6961</v>
      </c>
      <c r="B1933" t="s">
        <v>1317</v>
      </c>
      <c r="C1933" t="s">
        <v>6986</v>
      </c>
      <c r="D1933" t="s">
        <v>6987</v>
      </c>
      <c r="E1933" t="s">
        <v>6988</v>
      </c>
      <c r="F1933" t="s">
        <v>118</v>
      </c>
      <c r="G1933" t="str">
        <f>HYPERLINK("https://ok.ru/group/51000214487253/topic/153601175378133#MTYyNjQ2MTU3Mzk1NDotNTM3OToxNjI2NDYxNTczOTU0OjE1MzYwMTE3NTM3ODEzMzox")</f>
        <v>https://ok.ru/group/51000214487253/topic/153601175378133#MTYyNjQ2MTU3Mzk1NDotNTM3OToxNjI2NDYxNTczOTU0OjE1MzYwMTE3NTM3ODEzMzox</v>
      </c>
      <c r="H1933" t="s">
        <v>119</v>
      </c>
      <c r="I1933" t="s">
        <v>6989</v>
      </c>
      <c r="J1933" t="str">
        <f>HYPERLINK("https://ok.ru/profile/568861918708")</f>
        <v>https://ok.ru/profile/568861918708</v>
      </c>
      <c r="K1933">
        <v>15</v>
      </c>
      <c r="L1933" t="s">
        <v>121</v>
      </c>
      <c r="M1933">
        <v>45</v>
      </c>
      <c r="N1933" t="s">
        <v>347</v>
      </c>
      <c r="O1933" t="s">
        <v>6990</v>
      </c>
      <c r="P1933" t="str">
        <f>HYPERLINK("https://ok.ru/group/51000214487253")</f>
        <v>https://ok.ru/group/51000214487253</v>
      </c>
      <c r="Q1933">
        <v>406733</v>
      </c>
      <c r="R1933" t="s">
        <v>124</v>
      </c>
      <c r="S1933" t="s">
        <v>125</v>
      </c>
      <c r="W1933">
        <v>0</v>
      </c>
      <c r="X1933">
        <v>0</v>
      </c>
      <c r="AM1933" t="s">
        <v>129</v>
      </c>
      <c r="AN1933" t="s">
        <v>130</v>
      </c>
      <c r="AP1933" t="s">
        <v>41</v>
      </c>
      <c r="AU1933" t="s">
        <v>46</v>
      </c>
      <c r="AY1933" t="s">
        <v>50</v>
      </c>
      <c r="AZ1933" t="s">
        <v>51</v>
      </c>
      <c r="BA1933" t="s">
        <v>52</v>
      </c>
    </row>
    <row r="1934" spans="1:100" x14ac:dyDescent="0.2">
      <c r="A1934" t="s">
        <v>6961</v>
      </c>
      <c r="B1934" t="s">
        <v>4105</v>
      </c>
      <c r="C1934" t="s">
        <v>6991</v>
      </c>
      <c r="D1934" t="s">
        <v>5863</v>
      </c>
      <c r="E1934" t="s">
        <v>6992</v>
      </c>
      <c r="F1934" t="s">
        <v>118</v>
      </c>
      <c r="G1934" t="str">
        <f>HYPERLINK("https://vk.com/wall-27863223_291773?reply=291848&amp;thread=291785")</f>
        <v>https://vk.com/wall-27863223_291773?reply=291848&amp;thread=291785</v>
      </c>
      <c r="H1934" t="s">
        <v>119</v>
      </c>
      <c r="I1934" t="s">
        <v>6993</v>
      </c>
      <c r="J1934" t="str">
        <f>HYPERLINK("http://vk.com/id369523874")</f>
        <v>http://vk.com/id369523874</v>
      </c>
      <c r="K1934">
        <v>567</v>
      </c>
      <c r="L1934" t="s">
        <v>151</v>
      </c>
      <c r="N1934" t="s">
        <v>122</v>
      </c>
      <c r="O1934" t="s">
        <v>175</v>
      </c>
      <c r="P1934" t="str">
        <f>HYPERLINK("http://vk.com/club27863223")</f>
        <v>http://vk.com/club27863223</v>
      </c>
      <c r="Q1934">
        <v>134698</v>
      </c>
      <c r="R1934" t="s">
        <v>124</v>
      </c>
      <c r="S1934" t="s">
        <v>125</v>
      </c>
      <c r="T1934" t="s">
        <v>137</v>
      </c>
      <c r="U1934" t="s">
        <v>137</v>
      </c>
      <c r="AM1934" t="s">
        <v>129</v>
      </c>
      <c r="AN1934" t="s">
        <v>130</v>
      </c>
      <c r="AP1934" t="s">
        <v>41</v>
      </c>
      <c r="AU1934" t="s">
        <v>46</v>
      </c>
      <c r="AY1934" t="s">
        <v>50</v>
      </c>
      <c r="AZ1934" t="s">
        <v>51</v>
      </c>
      <c r="BA1934" t="s">
        <v>52</v>
      </c>
      <c r="BM1934" t="s">
        <v>64</v>
      </c>
    </row>
    <row r="1935" spans="1:100" x14ac:dyDescent="0.2">
      <c r="A1935" t="s">
        <v>6961</v>
      </c>
      <c r="B1935" t="s">
        <v>4113</v>
      </c>
      <c r="C1935" t="s">
        <v>5594</v>
      </c>
      <c r="D1935" t="s">
        <v>5595</v>
      </c>
      <c r="E1935" t="s">
        <v>6994</v>
      </c>
      <c r="F1935" t="s">
        <v>180</v>
      </c>
      <c r="G1935" t="str">
        <f>HYPERLINK("https://www.ozon.ru/context/detail/id/203375815/#59931243")</f>
        <v>https://www.ozon.ru/context/detail/id/203375815/#59931243</v>
      </c>
      <c r="H1935" t="s">
        <v>181</v>
      </c>
      <c r="I1935" t="s">
        <v>6995</v>
      </c>
      <c r="J1935" t="str">
        <f>HYPERLINK("https://www.ozon.ru/context/client_opinion/ClientGuid/c53da8c2-efdd-4b11-85b5-4c8f88aead0b/")</f>
        <v>https://www.ozon.ru/context/client_opinion/ClientGuid/c53da8c2-efdd-4b11-85b5-4c8f88aead0b/</v>
      </c>
      <c r="L1935" t="s">
        <v>151</v>
      </c>
      <c r="N1935" t="s">
        <v>183</v>
      </c>
      <c r="O1935" t="s">
        <v>5595</v>
      </c>
      <c r="P1935" t="str">
        <f>HYPERLINK("https://www.ozon.ru/context/detail/id/203375815/")</f>
        <v>https://www.ozon.ru/context/detail/id/203375815/</v>
      </c>
      <c r="R1935" t="s">
        <v>184</v>
      </c>
      <c r="S1935" t="s">
        <v>125</v>
      </c>
      <c r="W1935">
        <v>1</v>
      </c>
      <c r="X1935">
        <v>1</v>
      </c>
      <c r="AH1935">
        <v>5</v>
      </c>
      <c r="AM1935" t="s">
        <v>129</v>
      </c>
      <c r="AN1935" t="s">
        <v>130</v>
      </c>
      <c r="AP1935" t="s">
        <v>41</v>
      </c>
      <c r="AZ1935" t="s">
        <v>51</v>
      </c>
      <c r="BA1935" t="s">
        <v>52</v>
      </c>
      <c r="BL1935" t="s">
        <v>63</v>
      </c>
    </row>
    <row r="1936" spans="1:100" x14ac:dyDescent="0.2">
      <c r="A1936" t="s">
        <v>6961</v>
      </c>
      <c r="B1936" t="s">
        <v>6996</v>
      </c>
      <c r="C1936" t="s">
        <v>6997</v>
      </c>
      <c r="D1936" t="s">
        <v>6998</v>
      </c>
      <c r="E1936" t="s">
        <v>6999</v>
      </c>
      <c r="F1936" t="s">
        <v>118</v>
      </c>
      <c r="G1936" t="str">
        <f>HYPERLINK("https://pikabu.ru/story/proshu_soveta_problemyi_s_internetom_8347625?cid=206342529")</f>
        <v>https://pikabu.ru/story/proshu_soveta_problemyi_s_internetom_8347625?cid=206342529</v>
      </c>
      <c r="H1936" t="s">
        <v>181</v>
      </c>
      <c r="I1936" t="s">
        <v>7000</v>
      </c>
      <c r="J1936" t="str">
        <f>HYPERLINK("http://pikabu.ru/profile/STAR.osta")</f>
        <v>http://pikabu.ru/profile/STAR.osta</v>
      </c>
      <c r="N1936" t="s">
        <v>402</v>
      </c>
      <c r="O1936" t="s">
        <v>7001</v>
      </c>
      <c r="P1936" t="str">
        <f>HYPERLINK("http://pikabu.ru/profile/Metel0500")</f>
        <v>http://pikabu.ru/profile/Metel0500</v>
      </c>
      <c r="R1936" t="s">
        <v>404</v>
      </c>
      <c r="AM1936" t="s">
        <v>129</v>
      </c>
      <c r="AN1936" t="s">
        <v>130</v>
      </c>
      <c r="AP1936" t="s">
        <v>41</v>
      </c>
      <c r="AZ1936" t="s">
        <v>51</v>
      </c>
      <c r="BB1936" t="s">
        <v>53</v>
      </c>
    </row>
    <row r="1937" spans="1:69" x14ac:dyDescent="0.2">
      <c r="A1937" t="s">
        <v>6961</v>
      </c>
      <c r="B1937" t="s">
        <v>220</v>
      </c>
      <c r="C1937" t="s">
        <v>7002</v>
      </c>
      <c r="D1937" t="s">
        <v>907</v>
      </c>
      <c r="E1937" t="s">
        <v>7003</v>
      </c>
      <c r="F1937" t="s">
        <v>180</v>
      </c>
      <c r="G1937" t="str">
        <f>HYPERLINK("https://telesputnik.ru/forum/viewtopic.php?f=36&amp;t=42382&amp;start=37820#p2481449")</f>
        <v>https://telesputnik.ru/forum/viewtopic.php?f=36&amp;t=42382&amp;start=37820#p2481449</v>
      </c>
      <c r="H1937" t="s">
        <v>119</v>
      </c>
      <c r="I1937" t="s">
        <v>7004</v>
      </c>
      <c r="J1937" t="str">
        <f>HYPERLINK("https://telesputnik.ru/forum/memberlist.php?mode=viewprofile&amp;u=48123")</f>
        <v>https://telesputnik.ru/forum/memberlist.php?mode=viewprofile&amp;u=48123</v>
      </c>
      <c r="N1937" t="s">
        <v>335</v>
      </c>
      <c r="O1937" t="s">
        <v>909</v>
      </c>
      <c r="P1937" t="str">
        <f>HYPERLINK("https://telesputnik.ru/forum/viewforum.php?f=36")</f>
        <v>https://telesputnik.ru/forum/viewforum.php?f=36</v>
      </c>
      <c r="R1937" t="s">
        <v>295</v>
      </c>
      <c r="S1937" t="s">
        <v>125</v>
      </c>
      <c r="AM1937" t="s">
        <v>129</v>
      </c>
      <c r="AN1937" t="s">
        <v>130</v>
      </c>
      <c r="AP1937" t="s">
        <v>41</v>
      </c>
      <c r="AZ1937" t="s">
        <v>51</v>
      </c>
      <c r="BA1937" t="s">
        <v>52</v>
      </c>
      <c r="BQ1937" t="s">
        <v>68</v>
      </c>
    </row>
    <row r="1938" spans="1:69" x14ac:dyDescent="0.2">
      <c r="A1938" t="s">
        <v>6961</v>
      </c>
      <c r="B1938" t="s">
        <v>7005</v>
      </c>
      <c r="C1938" t="s">
        <v>5419</v>
      </c>
      <c r="D1938" t="s">
        <v>5038</v>
      </c>
      <c r="E1938" t="s">
        <v>7006</v>
      </c>
      <c r="F1938" t="s">
        <v>180</v>
      </c>
      <c r="G1938" t="str">
        <f>HYPERLINK("https://www.ozon.ru/context/detail/id/202442051/#59927161")</f>
        <v>https://www.ozon.ru/context/detail/id/202442051/#59927161</v>
      </c>
      <c r="H1938" t="s">
        <v>181</v>
      </c>
      <c r="I1938" t="s">
        <v>7007</v>
      </c>
      <c r="J1938" t="str">
        <f>HYPERLINK("https://www.ozon.ru/context/client_opinion/ClientGuid/952255e7-0966-4adc-958e-04cc0938fb3c/")</f>
        <v>https://www.ozon.ru/context/client_opinion/ClientGuid/952255e7-0966-4adc-958e-04cc0938fb3c/</v>
      </c>
      <c r="L1938" t="s">
        <v>121</v>
      </c>
      <c r="N1938" t="s">
        <v>183</v>
      </c>
      <c r="O1938" t="s">
        <v>5038</v>
      </c>
      <c r="P1938" t="str">
        <f>HYPERLINK("https://www.ozon.ru/context/detail/id/202442051/")</f>
        <v>https://www.ozon.ru/context/detail/id/202442051/</v>
      </c>
      <c r="R1938" t="s">
        <v>184</v>
      </c>
      <c r="S1938" t="s">
        <v>125</v>
      </c>
      <c r="W1938">
        <v>2</v>
      </c>
      <c r="X1938">
        <v>2</v>
      </c>
      <c r="AH1938">
        <v>5</v>
      </c>
      <c r="AM1938" t="s">
        <v>129</v>
      </c>
      <c r="AN1938" t="s">
        <v>130</v>
      </c>
      <c r="AP1938" t="s">
        <v>41</v>
      </c>
      <c r="AY1938" t="s">
        <v>50</v>
      </c>
      <c r="AZ1938" t="s">
        <v>51</v>
      </c>
      <c r="BA1938" t="s">
        <v>52</v>
      </c>
      <c r="BO1938" t="s">
        <v>66</v>
      </c>
    </row>
    <row r="1939" spans="1:69" x14ac:dyDescent="0.2">
      <c r="A1939" t="s">
        <v>6961</v>
      </c>
      <c r="B1939" t="s">
        <v>1339</v>
      </c>
      <c r="C1939" t="s">
        <v>7008</v>
      </c>
      <c r="D1939" t="s">
        <v>3941</v>
      </c>
      <c r="E1939" t="s">
        <v>7009</v>
      </c>
      <c r="F1939" t="s">
        <v>118</v>
      </c>
      <c r="G1939" t="str">
        <f>HYPERLINK("https://vk.com/wall-27863223_291839?reply=291846")</f>
        <v>https://vk.com/wall-27863223_291839?reply=291846</v>
      </c>
      <c r="H1939" t="s">
        <v>228</v>
      </c>
      <c r="I1939" t="s">
        <v>7010</v>
      </c>
      <c r="J1939" t="str">
        <f>HYPERLINK("http://vk.com/id50729028")</f>
        <v>http://vk.com/id50729028</v>
      </c>
      <c r="K1939">
        <v>130</v>
      </c>
      <c r="L1939" t="s">
        <v>121</v>
      </c>
      <c r="N1939" t="s">
        <v>122</v>
      </c>
      <c r="O1939" t="s">
        <v>175</v>
      </c>
      <c r="P1939" t="str">
        <f>HYPERLINK("http://vk.com/club27863223")</f>
        <v>http://vk.com/club27863223</v>
      </c>
      <c r="Q1939">
        <v>134698</v>
      </c>
      <c r="R1939" t="s">
        <v>124</v>
      </c>
      <c r="S1939" t="s">
        <v>125</v>
      </c>
      <c r="AM1939" t="s">
        <v>129</v>
      </c>
      <c r="AN1939" t="s">
        <v>130</v>
      </c>
      <c r="AP1939" t="s">
        <v>41</v>
      </c>
      <c r="AU1939" t="s">
        <v>46</v>
      </c>
      <c r="AY1939" t="s">
        <v>50</v>
      </c>
      <c r="AZ1939" t="s">
        <v>51</v>
      </c>
      <c r="BA1939" t="s">
        <v>52</v>
      </c>
    </row>
    <row r="1940" spans="1:69" x14ac:dyDescent="0.2">
      <c r="A1940" t="s">
        <v>6961</v>
      </c>
      <c r="B1940" t="s">
        <v>6335</v>
      </c>
      <c r="C1940" t="s">
        <v>7011</v>
      </c>
      <c r="D1940" t="s">
        <v>7012</v>
      </c>
      <c r="E1940" t="s">
        <v>7013</v>
      </c>
      <c r="F1940" t="s">
        <v>118</v>
      </c>
      <c r="G1940" t="str">
        <f>HYPERLINK("https://telegram.me/tsflood/45923")</f>
        <v>https://telegram.me/tsflood/45923</v>
      </c>
      <c r="H1940" t="s">
        <v>119</v>
      </c>
      <c r="I1940" t="s">
        <v>7014</v>
      </c>
      <c r="J1940" t="str">
        <f>HYPERLINK("https://telegram.me/stitofff")</f>
        <v>https://telegram.me/stitofff</v>
      </c>
      <c r="L1940" t="s">
        <v>121</v>
      </c>
      <c r="N1940" t="s">
        <v>143</v>
      </c>
      <c r="O1940" t="s">
        <v>5445</v>
      </c>
      <c r="P1940" t="str">
        <f>HYPERLINK("https://telegram.me/tsflood")</f>
        <v>https://telegram.me/tsflood</v>
      </c>
      <c r="Q1940">
        <v>119</v>
      </c>
      <c r="R1940" t="s">
        <v>145</v>
      </c>
      <c r="AM1940" t="s">
        <v>129</v>
      </c>
      <c r="AN1940" t="s">
        <v>130</v>
      </c>
      <c r="AP1940" t="s">
        <v>41</v>
      </c>
      <c r="AU1940" t="s">
        <v>46</v>
      </c>
      <c r="AZ1940" t="s">
        <v>51</v>
      </c>
      <c r="BA1940" t="s">
        <v>52</v>
      </c>
    </row>
    <row r="1941" spans="1:69" x14ac:dyDescent="0.2">
      <c r="A1941" t="s">
        <v>6961</v>
      </c>
      <c r="B1941" t="s">
        <v>2947</v>
      </c>
      <c r="C1941" t="s">
        <v>7015</v>
      </c>
      <c r="D1941" t="s">
        <v>7016</v>
      </c>
      <c r="E1941" t="s">
        <v>7017</v>
      </c>
      <c r="F1941" t="s">
        <v>180</v>
      </c>
      <c r="G1941" t="str">
        <f>HYPERLINK("https://www.wildberries.ru/catalog/12046021/detail.aspx?targetUrl=ES#Comments")</f>
        <v>https://www.wildberries.ru/catalog/12046021/detail.aspx?targetUrl=ES#Comments</v>
      </c>
      <c r="H1941" t="s">
        <v>119</v>
      </c>
      <c r="I1941" t="s">
        <v>5176</v>
      </c>
      <c r="J1941" t="str">
        <f>HYPERLINK("https://www.wildberries.ru/profile/w7TDssOkw7PCu8KwwrbCsMK3wrfCscK2wrY=")</f>
        <v>https://www.wildberries.ru/profile/w7TDssOkw7PCu8KwwrbCsMK3wrfCscK2wrY=</v>
      </c>
      <c r="L1941" t="s">
        <v>151</v>
      </c>
      <c r="N1941" t="s">
        <v>534</v>
      </c>
      <c r="O1941" t="s">
        <v>7016</v>
      </c>
      <c r="P1941" t="str">
        <f>HYPERLINK("https://www.wildberries.ru/catalog/9045449/detail.aspx")</f>
        <v>https://www.wildberries.ru/catalog/9045449/detail.aspx</v>
      </c>
      <c r="R1941" t="s">
        <v>184</v>
      </c>
      <c r="S1941" t="s">
        <v>125</v>
      </c>
      <c r="W1941">
        <v>0</v>
      </c>
      <c r="X1941">
        <v>0</v>
      </c>
      <c r="AH1941">
        <v>1</v>
      </c>
      <c r="AM1941" t="s">
        <v>129</v>
      </c>
      <c r="AN1941" t="s">
        <v>130</v>
      </c>
      <c r="AP1941" t="s">
        <v>41</v>
      </c>
      <c r="AT1941" t="s">
        <v>45</v>
      </c>
      <c r="AZ1941" t="s">
        <v>51</v>
      </c>
      <c r="BA1941" t="s">
        <v>52</v>
      </c>
    </row>
    <row r="1942" spans="1:69" x14ac:dyDescent="0.2">
      <c r="A1942" t="s">
        <v>6961</v>
      </c>
      <c r="B1942" t="s">
        <v>1359</v>
      </c>
      <c r="C1942" t="s">
        <v>7018</v>
      </c>
      <c r="D1942" t="s">
        <v>204</v>
      </c>
      <c r="E1942" t="s">
        <v>7019</v>
      </c>
      <c r="F1942" t="s">
        <v>180</v>
      </c>
      <c r="G1942" t="str">
        <f>HYPERLINK("https://play.google.com/store/apps/details?id=ru.iflex.android.a3colortv&amp;reviewId=gp:AOqpTOEjAS7EruymBMCgRgGRTUAl6HaZZxYe6D4StGLHGSt7PHvHIJX5VxNikWGTLR01jn1bpByWVqWpYpue4w")</f>
        <v>https://play.google.com/store/apps/details?id=ru.iflex.android.a3colortv&amp;reviewId=gp:AOqpTOEjAS7EruymBMCgRgGRTUAl6HaZZxYe6D4StGLHGSt7PHvHIJX5VxNikWGTLR01jn1bpByWVqWpYpue4w</v>
      </c>
      <c r="H1942" t="s">
        <v>181</v>
      </c>
      <c r="I1942" t="s">
        <v>7020</v>
      </c>
      <c r="J1942" t="str">
        <f>HYPERLINK("https://plus.google.com/107514480650141925709")</f>
        <v>https://plus.google.com/107514480650141925709</v>
      </c>
      <c r="L1942" t="s">
        <v>121</v>
      </c>
      <c r="N1942" t="s">
        <v>207</v>
      </c>
      <c r="O1942" t="s">
        <v>204</v>
      </c>
      <c r="P1942" t="str">
        <f>HYPERLINK("https://play.google.com/store/apps/details?id=ru.iflex.android.a3colortv&amp;hl=ru")</f>
        <v>https://play.google.com/store/apps/details?id=ru.iflex.android.a3colortv&amp;hl=ru</v>
      </c>
      <c r="R1942" t="s">
        <v>184</v>
      </c>
      <c r="S1942" t="s">
        <v>125</v>
      </c>
      <c r="W1942">
        <v>0</v>
      </c>
      <c r="X1942">
        <v>0</v>
      </c>
      <c r="AH1942">
        <v>5</v>
      </c>
      <c r="AM1942" t="s">
        <v>129</v>
      </c>
      <c r="AN1942" t="s">
        <v>130</v>
      </c>
      <c r="AP1942" t="s">
        <v>41</v>
      </c>
      <c r="AZ1942" t="s">
        <v>51</v>
      </c>
      <c r="BA1942" t="s">
        <v>52</v>
      </c>
      <c r="BQ1942" t="s">
        <v>68</v>
      </c>
    </row>
    <row r="1943" spans="1:69" x14ac:dyDescent="0.2">
      <c r="A1943" t="s">
        <v>6961</v>
      </c>
      <c r="B1943" t="s">
        <v>1381</v>
      </c>
      <c r="C1943" t="s">
        <v>7021</v>
      </c>
      <c r="D1943" t="s">
        <v>7022</v>
      </c>
      <c r="E1943" t="s">
        <v>7023</v>
      </c>
      <c r="F1943" t="s">
        <v>180</v>
      </c>
      <c r="G1943" t="str">
        <f>HYPERLINK("https://www.championat.com/bets/news-4403493-gde-smotret-boj-mahachev-mojzes-pryamaya-onlajn-translyaciya-18-iyulya-2021-ufc-fight-night.html")</f>
        <v>https://www.championat.com/bets/news-4403493-gde-smotret-boj-mahachev-mojzes-pryamaya-onlajn-translyaciya-18-iyulya-2021-ufc-fight-night.html</v>
      </c>
      <c r="H1943" t="s">
        <v>119</v>
      </c>
      <c r="N1943" t="s">
        <v>6548</v>
      </c>
      <c r="R1943" t="s">
        <v>785</v>
      </c>
      <c r="S1943" t="s">
        <v>125</v>
      </c>
      <c r="AM1943" t="s">
        <v>129</v>
      </c>
      <c r="AN1943" t="s">
        <v>130</v>
      </c>
      <c r="AV1943" t="s">
        <v>47</v>
      </c>
    </row>
    <row r="1944" spans="1:69" x14ac:dyDescent="0.2">
      <c r="A1944" t="s">
        <v>6961</v>
      </c>
      <c r="B1944" t="s">
        <v>7024</v>
      </c>
      <c r="C1944" t="s">
        <v>7025</v>
      </c>
      <c r="D1944" t="s">
        <v>7026</v>
      </c>
      <c r="E1944" t="s">
        <v>7027</v>
      </c>
      <c r="F1944" t="s">
        <v>180</v>
      </c>
      <c r="G1944" t="str">
        <f>HYPERLINK("https://www.google.com/maps/reviews/data=!4m5!14m4!1m3!1m2!1s101391778451080293092!2s0x0:0xdeef721f134aa8bf?hl=en-NL")</f>
        <v>https://www.google.com/maps/reviews/data=!4m5!14m4!1m3!1m2!1s101391778451080293092!2s0x0:0xdeef721f134aa8bf?hl=en-NL</v>
      </c>
      <c r="H1944" t="s">
        <v>181</v>
      </c>
      <c r="I1944" t="s">
        <v>7028</v>
      </c>
      <c r="J1944" t="str">
        <f>HYPERLINK("https://maps.google.com/maps/contrib/101391778451080293092")</f>
        <v>https://maps.google.com/maps/contrib/101391778451080293092</v>
      </c>
      <c r="L1944" t="s">
        <v>151</v>
      </c>
      <c r="N1944" t="s">
        <v>673</v>
      </c>
      <c r="O1944" t="s">
        <v>7026</v>
      </c>
      <c r="P1944" t="str">
        <f>HYPERLINK("https://maps.google.com/maps/place/data=!3m1!4b1!4m5!3m4!1s0x0:0xdeef721f134aa8bf!8m2!3d55.795950!4d37.800570")</f>
        <v>https://maps.google.com/maps/place/data=!3m1!4b1!4m5!3m4!1s0x0:0xdeef721f134aa8bf!8m2!3d55.795950!4d37.800570</v>
      </c>
      <c r="R1944" t="s">
        <v>184</v>
      </c>
      <c r="S1944" t="s">
        <v>125</v>
      </c>
      <c r="W1944">
        <v>0</v>
      </c>
      <c r="X1944">
        <v>0</v>
      </c>
      <c r="AH1944">
        <v>5</v>
      </c>
      <c r="AM1944" t="s">
        <v>129</v>
      </c>
      <c r="AN1944" t="s">
        <v>130</v>
      </c>
      <c r="AP1944" t="s">
        <v>41</v>
      </c>
      <c r="AX1944" t="s">
        <v>49</v>
      </c>
      <c r="AZ1944" t="s">
        <v>51</v>
      </c>
      <c r="BA1944" t="s">
        <v>52</v>
      </c>
      <c r="BL1944" t="s">
        <v>63</v>
      </c>
    </row>
    <row r="1945" spans="1:69" x14ac:dyDescent="0.2">
      <c r="A1945" t="s">
        <v>6961</v>
      </c>
      <c r="B1945" t="s">
        <v>1385</v>
      </c>
      <c r="C1945" t="s">
        <v>7029</v>
      </c>
      <c r="D1945" t="s">
        <v>129</v>
      </c>
      <c r="E1945" t="s">
        <v>7030</v>
      </c>
      <c r="F1945" t="s">
        <v>118</v>
      </c>
      <c r="G1945" t="str">
        <f>HYPERLINK("https://vk.com/wall-102619012_352996?reply=353004&amp;thread=352997")</f>
        <v>https://vk.com/wall-102619012_352996?reply=353004&amp;thread=352997</v>
      </c>
      <c r="H1945" t="s">
        <v>119</v>
      </c>
      <c r="I1945" t="s">
        <v>7031</v>
      </c>
      <c r="J1945" t="str">
        <f>HYPERLINK("http://vk.com/id567754689")</f>
        <v>http://vk.com/id567754689</v>
      </c>
      <c r="K1945">
        <v>4</v>
      </c>
      <c r="L1945" t="s">
        <v>121</v>
      </c>
      <c r="N1945" t="s">
        <v>122</v>
      </c>
      <c r="O1945" t="s">
        <v>7032</v>
      </c>
      <c r="P1945" t="str">
        <f>HYPERLINK("http://vk.com/club102619012")</f>
        <v>http://vk.com/club102619012</v>
      </c>
      <c r="Q1945">
        <v>388749</v>
      </c>
      <c r="R1945" t="s">
        <v>124</v>
      </c>
      <c r="AM1945" t="s">
        <v>129</v>
      </c>
      <c r="AN1945" t="s">
        <v>130</v>
      </c>
      <c r="AP1945" t="s">
        <v>41</v>
      </c>
      <c r="AZ1945" t="s">
        <v>51</v>
      </c>
      <c r="BA1945" t="s">
        <v>52</v>
      </c>
      <c r="BM1945" t="s">
        <v>64</v>
      </c>
    </row>
    <row r="1946" spans="1:69" x14ac:dyDescent="0.2">
      <c r="A1946" t="s">
        <v>6961</v>
      </c>
      <c r="B1946" t="s">
        <v>4203</v>
      </c>
      <c r="C1946" t="s">
        <v>7033</v>
      </c>
      <c r="D1946" t="s">
        <v>204</v>
      </c>
      <c r="E1946" t="s">
        <v>7034</v>
      </c>
      <c r="F1946" t="s">
        <v>180</v>
      </c>
      <c r="G1946" t="str">
        <f>HYPERLINK("https://play.google.com/store/apps/details?id=ru.iflex.android.a3colortv&amp;reviewId=gp:AOqpTOHfSLFGz_BLn15hlq2GGtYOCvbqurd7bRPB1ROl1221QCWaZ0aaow0FMEzhcBoON6_2WAqA31uuyttOgw")</f>
        <v>https://play.google.com/store/apps/details?id=ru.iflex.android.a3colortv&amp;reviewId=gp:AOqpTOHfSLFGz_BLn15hlq2GGtYOCvbqurd7bRPB1ROl1221QCWaZ0aaow0FMEzhcBoON6_2WAqA31uuyttOgw</v>
      </c>
      <c r="H1946" t="s">
        <v>181</v>
      </c>
      <c r="I1946" t="s">
        <v>7035</v>
      </c>
      <c r="J1946" t="str">
        <f>HYPERLINK("https://plus.google.com/105167774093681913000")</f>
        <v>https://plus.google.com/105167774093681913000</v>
      </c>
      <c r="L1946" t="s">
        <v>121</v>
      </c>
      <c r="N1946" t="s">
        <v>207</v>
      </c>
      <c r="O1946" t="s">
        <v>204</v>
      </c>
      <c r="P1946" t="str">
        <f>HYPERLINK("https://play.google.com/store/apps/details?id=ru.iflex.android.a3colortv&amp;hl=ru")</f>
        <v>https://play.google.com/store/apps/details?id=ru.iflex.android.a3colortv&amp;hl=ru</v>
      </c>
      <c r="R1946" t="s">
        <v>184</v>
      </c>
      <c r="S1946" t="s">
        <v>125</v>
      </c>
      <c r="W1946">
        <v>0</v>
      </c>
      <c r="X1946">
        <v>0</v>
      </c>
      <c r="AH1946">
        <v>5</v>
      </c>
      <c r="AM1946" t="s">
        <v>129</v>
      </c>
      <c r="AN1946" t="s">
        <v>130</v>
      </c>
      <c r="AP1946" t="s">
        <v>41</v>
      </c>
      <c r="AZ1946" t="s">
        <v>51</v>
      </c>
      <c r="BA1946" t="s">
        <v>52</v>
      </c>
      <c r="BQ1946" t="s">
        <v>68</v>
      </c>
    </row>
    <row r="1947" spans="1:69" x14ac:dyDescent="0.2">
      <c r="A1947" t="s">
        <v>6961</v>
      </c>
      <c r="B1947" t="s">
        <v>5087</v>
      </c>
      <c r="C1947" t="s">
        <v>7036</v>
      </c>
      <c r="D1947" t="s">
        <v>967</v>
      </c>
      <c r="E1947" t="s">
        <v>7037</v>
      </c>
      <c r="F1947" t="s">
        <v>180</v>
      </c>
      <c r="G1947" t="str">
        <f>HYPERLINK("https://www.wildberries.ru/catalog/26952626/detail.aspx?targetUrl=ES#Comments")</f>
        <v>https://www.wildberries.ru/catalog/26952626/detail.aspx?targetUrl=ES#Comments</v>
      </c>
      <c r="H1947" t="s">
        <v>181</v>
      </c>
      <c r="I1947" t="s">
        <v>7038</v>
      </c>
      <c r="J1947" t="str">
        <f>HYPERLINK("https://www.wildberries.ru/profile/w7TDssOkw7PCu8K5wrTCsMK4wrHCs8Kw")</f>
        <v>https://www.wildberries.ru/profile/w7TDssOkw7PCu8K5wrTCsMK4wrHCs8Kw</v>
      </c>
      <c r="L1947" t="s">
        <v>121</v>
      </c>
      <c r="N1947" t="s">
        <v>534</v>
      </c>
      <c r="O1947" t="s">
        <v>967</v>
      </c>
      <c r="P1947" t="str">
        <f>HYPERLINK("https://www.wildberries.ru/catalog/19754871/detail.aspx")</f>
        <v>https://www.wildberries.ru/catalog/19754871/detail.aspx</v>
      </c>
      <c r="R1947" t="s">
        <v>184</v>
      </c>
      <c r="S1947" t="s">
        <v>125</v>
      </c>
      <c r="W1947">
        <v>0</v>
      </c>
      <c r="X1947">
        <v>0</v>
      </c>
      <c r="AH1947">
        <v>5</v>
      </c>
      <c r="AM1947" t="s">
        <v>129</v>
      </c>
      <c r="AN1947" t="s">
        <v>130</v>
      </c>
      <c r="AP1947" t="s">
        <v>41</v>
      </c>
      <c r="AT1947" t="s">
        <v>45</v>
      </c>
      <c r="AZ1947" t="s">
        <v>51</v>
      </c>
      <c r="BA1947" t="s">
        <v>52</v>
      </c>
    </row>
    <row r="1948" spans="1:69" x14ac:dyDescent="0.2">
      <c r="A1948" t="s">
        <v>6961</v>
      </c>
      <c r="B1948" t="s">
        <v>1414</v>
      </c>
      <c r="C1948" t="s">
        <v>7039</v>
      </c>
      <c r="D1948" t="s">
        <v>6736</v>
      </c>
      <c r="E1948" t="s">
        <v>7040</v>
      </c>
      <c r="F1948" t="s">
        <v>180</v>
      </c>
      <c r="G1948" t="str">
        <f>HYPERLINK("https://www.wildberries.ru/catalog/28179859/detail.aspx?targetUrl=ES#Comments")</f>
        <v>https://www.wildberries.ru/catalog/28179859/detail.aspx?targetUrl=ES#Comments</v>
      </c>
      <c r="H1948" t="s">
        <v>181</v>
      </c>
      <c r="I1948" t="s">
        <v>3460</v>
      </c>
      <c r="J1948" t="str">
        <f>HYPERLINK("https://www.wildberries.ru/profile/w7TDssOkw7PCu8K1wrbCscK4wrLCt8K4wrc=")</f>
        <v>https://www.wildberries.ru/profile/w7TDssOkw7PCu8K1wrbCscK4wrLCt8K4wrc=</v>
      </c>
      <c r="L1948" t="s">
        <v>121</v>
      </c>
      <c r="N1948" t="s">
        <v>534</v>
      </c>
      <c r="O1948" t="s">
        <v>6736</v>
      </c>
      <c r="P1948" t="str">
        <f>HYPERLINK("https://www.wildberries.ru/catalog/20691345/detail.aspx")</f>
        <v>https://www.wildberries.ru/catalog/20691345/detail.aspx</v>
      </c>
      <c r="R1948" t="s">
        <v>184</v>
      </c>
      <c r="S1948" t="s">
        <v>125</v>
      </c>
      <c r="W1948">
        <v>1</v>
      </c>
      <c r="X1948">
        <v>1</v>
      </c>
      <c r="AH1948">
        <v>5</v>
      </c>
      <c r="AM1948" t="s">
        <v>129</v>
      </c>
      <c r="AN1948" t="s">
        <v>130</v>
      </c>
      <c r="AP1948" t="s">
        <v>41</v>
      </c>
      <c r="AZ1948" t="s">
        <v>51</v>
      </c>
      <c r="BA1948" t="s">
        <v>52</v>
      </c>
      <c r="BK1948" t="s">
        <v>62</v>
      </c>
    </row>
    <row r="1949" spans="1:69" x14ac:dyDescent="0.2">
      <c r="A1949" t="s">
        <v>6961</v>
      </c>
      <c r="B1949" t="s">
        <v>296</v>
      </c>
      <c r="C1949" t="s">
        <v>7041</v>
      </c>
      <c r="D1949" t="s">
        <v>6885</v>
      </c>
      <c r="E1949" t="s">
        <v>7042</v>
      </c>
      <c r="F1949" t="s">
        <v>118</v>
      </c>
      <c r="G1949" t="str">
        <f>HYPERLINK("https://vk.com/wall-22935147_368400?reply=368413")</f>
        <v>https://vk.com/wall-22935147_368400?reply=368413</v>
      </c>
      <c r="H1949" t="s">
        <v>119</v>
      </c>
      <c r="I1949" t="s">
        <v>5090</v>
      </c>
      <c r="J1949" t="str">
        <f>HYPERLINK("http://vk.com/id312564300")</f>
        <v>http://vk.com/id312564300</v>
      </c>
      <c r="K1949">
        <v>79</v>
      </c>
      <c r="L1949" t="s">
        <v>121</v>
      </c>
      <c r="N1949" t="s">
        <v>122</v>
      </c>
      <c r="O1949" t="s">
        <v>1093</v>
      </c>
      <c r="P1949" t="str">
        <f>HYPERLINK("http://vk.com/club22935147")</f>
        <v>http://vk.com/club22935147</v>
      </c>
      <c r="Q1949">
        <v>8943</v>
      </c>
      <c r="R1949" t="s">
        <v>124</v>
      </c>
      <c r="S1949" t="s">
        <v>1856</v>
      </c>
      <c r="T1949" t="s">
        <v>5091</v>
      </c>
      <c r="U1949" t="s">
        <v>5091</v>
      </c>
      <c r="W1949">
        <v>0</v>
      </c>
      <c r="X1949">
        <v>0</v>
      </c>
      <c r="AM1949" t="s">
        <v>129</v>
      </c>
      <c r="AN1949" t="s">
        <v>130</v>
      </c>
      <c r="AP1949" t="s">
        <v>41</v>
      </c>
      <c r="AU1949" t="s">
        <v>46</v>
      </c>
      <c r="AZ1949" t="s">
        <v>51</v>
      </c>
      <c r="BA1949" t="s">
        <v>52</v>
      </c>
    </row>
    <row r="1950" spans="1:69" x14ac:dyDescent="0.2">
      <c r="A1950" t="s">
        <v>6961</v>
      </c>
      <c r="B1950" t="s">
        <v>3731</v>
      </c>
      <c r="C1950" t="s">
        <v>7041</v>
      </c>
      <c r="D1950" t="s">
        <v>3993</v>
      </c>
      <c r="E1950" t="s">
        <v>7043</v>
      </c>
      <c r="F1950" t="s">
        <v>180</v>
      </c>
      <c r="G1950" t="str">
        <f>HYPERLINK("https://ok.ru/group/51085510115462/topic/153454242669958")</f>
        <v>https://ok.ru/group/51085510115462/topic/153454242669958</v>
      </c>
      <c r="H1950" t="s">
        <v>119</v>
      </c>
      <c r="I1950" t="s">
        <v>175</v>
      </c>
      <c r="J1950" t="str">
        <f>HYPERLINK("https://ok.ru/group/51085510115462")</f>
        <v>https://ok.ru/group/51085510115462</v>
      </c>
      <c r="K1950">
        <v>94768</v>
      </c>
      <c r="L1950" t="s">
        <v>340</v>
      </c>
      <c r="N1950" t="s">
        <v>347</v>
      </c>
      <c r="O1950" t="s">
        <v>175</v>
      </c>
      <c r="P1950" t="str">
        <f>HYPERLINK("https://ok.ru/group/51085510115462")</f>
        <v>https://ok.ru/group/51085510115462</v>
      </c>
      <c r="Q1950">
        <v>94768</v>
      </c>
      <c r="R1950" t="s">
        <v>124</v>
      </c>
      <c r="W1950">
        <v>17</v>
      </c>
      <c r="X1950">
        <v>17</v>
      </c>
      <c r="Y1950">
        <v>0</v>
      </c>
      <c r="Z1950">
        <v>0</v>
      </c>
      <c r="AA1950">
        <v>0</v>
      </c>
      <c r="AB1950">
        <v>0</v>
      </c>
      <c r="AE1950">
        <v>0</v>
      </c>
      <c r="AF1950">
        <v>1</v>
      </c>
      <c r="AJ1950" t="s">
        <v>875</v>
      </c>
      <c r="AK1950" t="s">
        <v>876</v>
      </c>
      <c r="AL1950" t="str">
        <f>HYPERLINK("https://i.mycdn.me/image?id=918243276422&amp;t=20&amp;plc=API&amp;aid=1131601408&amp;tkn=*u88OJkGBCpMNHVQDIP7rYfkpan8")</f>
        <v>https://i.mycdn.me/image?id=918243276422&amp;t=20&amp;plc=API&amp;aid=1131601408&amp;tkn=*u88OJkGBCpMNHVQDIP7rYfkpan8</v>
      </c>
      <c r="AM1950" t="s">
        <v>129</v>
      </c>
      <c r="AN1950" t="s">
        <v>130</v>
      </c>
      <c r="BI1950" t="s">
        <v>60</v>
      </c>
    </row>
    <row r="1951" spans="1:69" x14ac:dyDescent="0.2">
      <c r="A1951" t="s">
        <v>6961</v>
      </c>
      <c r="B1951" t="s">
        <v>1984</v>
      </c>
      <c r="C1951" t="s">
        <v>7044</v>
      </c>
      <c r="D1951" t="s">
        <v>129</v>
      </c>
      <c r="E1951" t="s">
        <v>7045</v>
      </c>
      <c r="F1951" t="s">
        <v>180</v>
      </c>
      <c r="G1951" t="str">
        <f>HYPERLINK("https://www.facebook.com/tricolortv/posts/4090317527689153")</f>
        <v>https://www.facebook.com/tricolortv/posts/4090317527689153</v>
      </c>
      <c r="H1951" t="s">
        <v>119</v>
      </c>
      <c r="I1951" t="s">
        <v>175</v>
      </c>
      <c r="J1951" t="str">
        <f>HYPERLINK("https://www.facebook.com/206198386101106")</f>
        <v>https://www.facebook.com/206198386101106</v>
      </c>
      <c r="K1951">
        <v>16432</v>
      </c>
      <c r="L1951" t="s">
        <v>340</v>
      </c>
      <c r="N1951" t="s">
        <v>305</v>
      </c>
      <c r="O1951" t="s">
        <v>175</v>
      </c>
      <c r="P1951" t="str">
        <f>HYPERLINK("https://www.facebook.com/206198386101106")</f>
        <v>https://www.facebook.com/206198386101106</v>
      </c>
      <c r="Q1951">
        <v>16432</v>
      </c>
      <c r="R1951" t="s">
        <v>124</v>
      </c>
      <c r="W1951">
        <v>1</v>
      </c>
      <c r="X1951">
        <v>1</v>
      </c>
      <c r="Y1951">
        <v>0</v>
      </c>
      <c r="Z1951">
        <v>0</v>
      </c>
      <c r="AA1951">
        <v>0</v>
      </c>
      <c r="AB1951">
        <v>0</v>
      </c>
      <c r="AC1951">
        <v>0</v>
      </c>
      <c r="AE1951">
        <v>0</v>
      </c>
      <c r="AF1951">
        <v>0</v>
      </c>
      <c r="AJ1951" t="s">
        <v>875</v>
      </c>
      <c r="AK1951" t="s">
        <v>876</v>
      </c>
      <c r="AL1951" t="s">
        <v>7046</v>
      </c>
      <c r="AM1951" t="s">
        <v>129</v>
      </c>
      <c r="AN1951" t="s">
        <v>130</v>
      </c>
      <c r="BI1951" t="s">
        <v>60</v>
      </c>
    </row>
    <row r="1952" spans="1:69" x14ac:dyDescent="0.2">
      <c r="A1952" t="s">
        <v>6961</v>
      </c>
      <c r="B1952" t="s">
        <v>5991</v>
      </c>
      <c r="C1952" t="s">
        <v>7047</v>
      </c>
      <c r="D1952" t="s">
        <v>6945</v>
      </c>
      <c r="E1952" t="s">
        <v>7048</v>
      </c>
      <c r="F1952" t="s">
        <v>118</v>
      </c>
      <c r="G1952" t="str">
        <f>HYPERLINK("https://vk.com/wall-64198898_115636?reply=115650")</f>
        <v>https://vk.com/wall-64198898_115636?reply=115650</v>
      </c>
      <c r="H1952" t="s">
        <v>119</v>
      </c>
      <c r="I1952" t="s">
        <v>7049</v>
      </c>
      <c r="J1952" t="str">
        <f>HYPERLINK("http://vk.com/id3554399")</f>
        <v>http://vk.com/id3554399</v>
      </c>
      <c r="K1952">
        <v>306</v>
      </c>
      <c r="L1952" t="s">
        <v>121</v>
      </c>
      <c r="M1952">
        <v>36</v>
      </c>
      <c r="N1952" t="s">
        <v>122</v>
      </c>
      <c r="O1952" t="s">
        <v>2411</v>
      </c>
      <c r="P1952" t="str">
        <f>HYPERLINK("http://vk.com/club64198898")</f>
        <v>http://vk.com/club64198898</v>
      </c>
      <c r="Q1952">
        <v>21232</v>
      </c>
      <c r="R1952" t="s">
        <v>124</v>
      </c>
      <c r="S1952" t="s">
        <v>125</v>
      </c>
      <c r="AM1952" t="s">
        <v>129</v>
      </c>
      <c r="AN1952" t="s">
        <v>130</v>
      </c>
      <c r="AP1952" t="s">
        <v>41</v>
      </c>
      <c r="AT1952" t="s">
        <v>45</v>
      </c>
      <c r="AZ1952" t="s">
        <v>51</v>
      </c>
      <c r="BA1952" t="s">
        <v>52</v>
      </c>
    </row>
    <row r="1953" spans="1:77" x14ac:dyDescent="0.2">
      <c r="A1953" t="s">
        <v>6961</v>
      </c>
      <c r="B1953" t="s">
        <v>7050</v>
      </c>
      <c r="C1953" t="s">
        <v>7051</v>
      </c>
      <c r="D1953" t="s">
        <v>129</v>
      </c>
      <c r="E1953" t="s">
        <v>7052</v>
      </c>
      <c r="F1953" t="s">
        <v>118</v>
      </c>
      <c r="G1953" t="str">
        <f>HYPERLINK("https://twitter.com/89537799/status/1416051085115105280")</f>
        <v>https://twitter.com/89537799/status/1416051085115105280</v>
      </c>
      <c r="H1953" t="s">
        <v>119</v>
      </c>
      <c r="I1953" t="s">
        <v>7053</v>
      </c>
      <c r="J1953" t="str">
        <f>HYPERLINK("http://twitter.com/karbonio")</f>
        <v>http://twitter.com/karbonio</v>
      </c>
      <c r="K1953">
        <v>400</v>
      </c>
      <c r="N1953" t="s">
        <v>350</v>
      </c>
      <c r="R1953" t="s">
        <v>124</v>
      </c>
      <c r="S1953" t="s">
        <v>125</v>
      </c>
      <c r="T1953" t="s">
        <v>169</v>
      </c>
      <c r="U1953" t="s">
        <v>169</v>
      </c>
      <c r="W1953">
        <v>0</v>
      </c>
      <c r="X1953">
        <v>0</v>
      </c>
      <c r="AE1953">
        <v>1</v>
      </c>
      <c r="AF1953">
        <v>0</v>
      </c>
      <c r="AM1953" t="s">
        <v>129</v>
      </c>
      <c r="AN1953" t="s">
        <v>130</v>
      </c>
      <c r="AP1953" t="s">
        <v>41</v>
      </c>
      <c r="AU1953" t="s">
        <v>46</v>
      </c>
      <c r="AW1953" t="s">
        <v>48</v>
      </c>
      <c r="AZ1953" t="s">
        <v>51</v>
      </c>
      <c r="BB1953" t="s">
        <v>53</v>
      </c>
    </row>
    <row r="1954" spans="1:77" x14ac:dyDescent="0.2">
      <c r="A1954" t="s">
        <v>6961</v>
      </c>
      <c r="B1954" t="s">
        <v>906</v>
      </c>
      <c r="C1954" t="s">
        <v>7054</v>
      </c>
      <c r="D1954" t="s">
        <v>204</v>
      </c>
      <c r="E1954" t="s">
        <v>7055</v>
      </c>
      <c r="F1954" t="s">
        <v>180</v>
      </c>
      <c r="G1954" t="str">
        <f>HYPERLINK("https://play.google.com/store/apps/details?id=ru.iflex.android.a3colortv&amp;reviewId=gp:AOqpTOG7OVj52sHAzny6InFuV6CjaAhLJvafz8fYIz1_2LD_QQDU3-l4tc-wXX3LDI62zuVPUXjiv-NoKUy4Aw")</f>
        <v>https://play.google.com/store/apps/details?id=ru.iflex.android.a3colortv&amp;reviewId=gp:AOqpTOG7OVj52sHAzny6InFuV6CjaAhLJvafz8fYIz1_2LD_QQDU3-l4tc-wXX3LDI62zuVPUXjiv-NoKUy4Aw</v>
      </c>
      <c r="H1954" t="s">
        <v>181</v>
      </c>
      <c r="I1954" t="s">
        <v>7056</v>
      </c>
      <c r="J1954" t="str">
        <f>HYPERLINK("https://plus.google.com/116348817654197532765")</f>
        <v>https://plus.google.com/116348817654197532765</v>
      </c>
      <c r="L1954" t="s">
        <v>151</v>
      </c>
      <c r="N1954" t="s">
        <v>207</v>
      </c>
      <c r="O1954" t="s">
        <v>204</v>
      </c>
      <c r="P1954" t="str">
        <f>HYPERLINK("https://play.google.com/store/apps/details?id=ru.iflex.android.a3colortv&amp;hl=ru")</f>
        <v>https://play.google.com/store/apps/details?id=ru.iflex.android.a3colortv&amp;hl=ru</v>
      </c>
      <c r="R1954" t="s">
        <v>184</v>
      </c>
      <c r="S1954" t="s">
        <v>125</v>
      </c>
      <c r="W1954">
        <v>0</v>
      </c>
      <c r="X1954">
        <v>0</v>
      </c>
      <c r="AH1954">
        <v>5</v>
      </c>
      <c r="AM1954" t="s">
        <v>129</v>
      </c>
      <c r="AN1954" t="s">
        <v>130</v>
      </c>
      <c r="AP1954" t="s">
        <v>41</v>
      </c>
      <c r="AZ1954" t="s">
        <v>51</v>
      </c>
      <c r="BA1954" t="s">
        <v>52</v>
      </c>
      <c r="BQ1954" t="s">
        <v>68</v>
      </c>
    </row>
    <row r="1955" spans="1:77" x14ac:dyDescent="0.2">
      <c r="A1955" t="s">
        <v>6961</v>
      </c>
      <c r="B1955" t="s">
        <v>1458</v>
      </c>
      <c r="C1955" t="s">
        <v>7057</v>
      </c>
      <c r="D1955" t="s">
        <v>1393</v>
      </c>
      <c r="E1955" t="s">
        <v>7058</v>
      </c>
      <c r="F1955" t="s">
        <v>180</v>
      </c>
      <c r="G1955" t="str">
        <f>HYPERLINK("https://www.wildberries.ru/catalog/25679481/detail.aspx?targetUrl=ES#Comments")</f>
        <v>https://www.wildberries.ru/catalog/25679481/detail.aspx?targetUrl=ES#Comments</v>
      </c>
      <c r="H1955" t="s">
        <v>181</v>
      </c>
      <c r="I1955" t="s">
        <v>1650</v>
      </c>
      <c r="J1955" t="str">
        <f>HYPERLINK("https://www.wildberries.ru/profile/w7TDssOkw7PCu8K5wrnCscKzwrfCt8Kx")</f>
        <v>https://www.wildberries.ru/profile/w7TDssOkw7PCu8K5wrnCscKzwrfCt8Kx</v>
      </c>
      <c r="L1955" t="s">
        <v>151</v>
      </c>
      <c r="N1955" t="s">
        <v>534</v>
      </c>
      <c r="O1955" t="s">
        <v>1393</v>
      </c>
      <c r="P1955" t="str">
        <f>HYPERLINK("https://www.wildberries.ru/catalog/18941848/detail.aspx")</f>
        <v>https://www.wildberries.ru/catalog/18941848/detail.aspx</v>
      </c>
      <c r="R1955" t="s">
        <v>184</v>
      </c>
      <c r="S1955" t="s">
        <v>125</v>
      </c>
      <c r="W1955">
        <v>0</v>
      </c>
      <c r="X1955">
        <v>0</v>
      </c>
      <c r="AH1955">
        <v>5</v>
      </c>
      <c r="AM1955" t="s">
        <v>129</v>
      </c>
      <c r="AN1955" t="s">
        <v>130</v>
      </c>
      <c r="AP1955" t="s">
        <v>41</v>
      </c>
      <c r="AZ1955" t="s">
        <v>51</v>
      </c>
      <c r="BA1955" t="s">
        <v>52</v>
      </c>
      <c r="BK1955" t="s">
        <v>62</v>
      </c>
      <c r="BL1955" t="s">
        <v>63</v>
      </c>
    </row>
    <row r="1956" spans="1:77" x14ac:dyDescent="0.2">
      <c r="A1956" t="s">
        <v>6961</v>
      </c>
      <c r="B1956" t="s">
        <v>7059</v>
      </c>
      <c r="C1956" t="s">
        <v>7060</v>
      </c>
      <c r="D1956" t="s">
        <v>2304</v>
      </c>
      <c r="E1956" t="s">
        <v>7061</v>
      </c>
      <c r="F1956" t="s">
        <v>118</v>
      </c>
      <c r="G1956" t="str">
        <f>HYPERLINK("https://www.youtube.com/watch?v=cpy1_cJ5jYo&amp;lc=Ugwzv9w8LCEbjIYWvNR4AaABAg")</f>
        <v>https://www.youtube.com/watch?v=cpy1_cJ5jYo&amp;lc=Ugwzv9w8LCEbjIYWvNR4AaABAg</v>
      </c>
      <c r="H1956" t="s">
        <v>119</v>
      </c>
      <c r="I1956" t="s">
        <v>7062</v>
      </c>
      <c r="J1956" t="str">
        <f>HYPERLINK("https://www.youtube.com/channel/UC-zP5wEbJvC6c5ozh5ioHuQ")</f>
        <v>https://www.youtube.com/channel/UC-zP5wEbJvC6c5ozh5ioHuQ</v>
      </c>
      <c r="K1956">
        <v>0</v>
      </c>
      <c r="L1956" t="s">
        <v>121</v>
      </c>
      <c r="N1956" t="s">
        <v>248</v>
      </c>
      <c r="O1956" t="s">
        <v>2307</v>
      </c>
      <c r="P1956" t="str">
        <f>HYPERLINK("https://www.youtube.com/channel/UCfV0sfiYm-_0X3ULYnctXxw")</f>
        <v>https://www.youtube.com/channel/UCfV0sfiYm-_0X3ULYnctXxw</v>
      </c>
      <c r="Q1956">
        <v>25000</v>
      </c>
      <c r="R1956" t="s">
        <v>124</v>
      </c>
      <c r="S1956" t="s">
        <v>125</v>
      </c>
      <c r="W1956">
        <v>0</v>
      </c>
      <c r="X1956">
        <v>0</v>
      </c>
      <c r="AE1956">
        <v>1</v>
      </c>
      <c r="AM1956" t="s">
        <v>129</v>
      </c>
      <c r="AN1956" t="s">
        <v>130</v>
      </c>
      <c r="AP1956" t="s">
        <v>41</v>
      </c>
      <c r="AU1956" t="s">
        <v>46</v>
      </c>
      <c r="AW1956" t="s">
        <v>48</v>
      </c>
      <c r="AZ1956" t="s">
        <v>51</v>
      </c>
      <c r="BA1956" t="s">
        <v>52</v>
      </c>
      <c r="BL1956" t="s">
        <v>63</v>
      </c>
    </row>
    <row r="1957" spans="1:77" x14ac:dyDescent="0.2">
      <c r="A1957" t="s">
        <v>6961</v>
      </c>
      <c r="B1957" t="s">
        <v>7059</v>
      </c>
      <c r="C1957" t="s">
        <v>7063</v>
      </c>
      <c r="D1957" t="s">
        <v>6204</v>
      </c>
      <c r="E1957" t="s">
        <v>6205</v>
      </c>
      <c r="F1957" t="s">
        <v>180</v>
      </c>
      <c r="G1957" t="str">
        <f>HYPERLINK("https://telesputnik.ru/forum/viewtopic.php?f=36&amp;t=38434&amp;start=8540#p2480873")</f>
        <v>https://telesputnik.ru/forum/viewtopic.php?f=36&amp;t=38434&amp;start=8540#p2480873</v>
      </c>
      <c r="H1957" t="s">
        <v>119</v>
      </c>
      <c r="I1957" t="s">
        <v>6206</v>
      </c>
      <c r="J1957" t="str">
        <f>HYPERLINK("https://telesputnik.ru/forum/memberlist.php?mode=viewprofile&amp;u=50330")</f>
        <v>https://telesputnik.ru/forum/memberlist.php?mode=viewprofile&amp;u=50330</v>
      </c>
      <c r="N1957" t="s">
        <v>335</v>
      </c>
      <c r="O1957" t="s">
        <v>336</v>
      </c>
      <c r="P1957" t="str">
        <f>HYPERLINK("https://telesputnik.ru/forum/viewforum.php?f=11")</f>
        <v>https://telesputnik.ru/forum/viewforum.php?f=11</v>
      </c>
      <c r="R1957" t="s">
        <v>295</v>
      </c>
      <c r="S1957" t="s">
        <v>125</v>
      </c>
      <c r="AM1957" t="s">
        <v>129</v>
      </c>
      <c r="AN1957" t="s">
        <v>130</v>
      </c>
      <c r="AP1957" t="s">
        <v>41</v>
      </c>
      <c r="AU1957" t="s">
        <v>46</v>
      </c>
      <c r="AZ1957" t="s">
        <v>51</v>
      </c>
      <c r="BA1957" t="s">
        <v>52</v>
      </c>
    </row>
    <row r="1958" spans="1:77" x14ac:dyDescent="0.2">
      <c r="A1958" t="s">
        <v>6961</v>
      </c>
      <c r="B1958" t="s">
        <v>366</v>
      </c>
      <c r="C1958" t="s">
        <v>7064</v>
      </c>
      <c r="D1958" t="s">
        <v>129</v>
      </c>
      <c r="E1958" t="s">
        <v>7065</v>
      </c>
      <c r="F1958" t="s">
        <v>180</v>
      </c>
      <c r="G1958" t="str">
        <f>HYPERLINK("https://telegram.me/linkmeup_chat/336090")</f>
        <v>https://telegram.me/linkmeup_chat/336090</v>
      </c>
      <c r="H1958" t="s">
        <v>119</v>
      </c>
      <c r="I1958" t="s">
        <v>7066</v>
      </c>
      <c r="J1958" t="str">
        <f>HYPERLINK("https://telegram.me/donttrytofollowme")</f>
        <v>https://telegram.me/donttrytofollowme</v>
      </c>
      <c r="N1958" t="s">
        <v>143</v>
      </c>
      <c r="O1958" t="s">
        <v>7067</v>
      </c>
      <c r="P1958" t="str">
        <f>HYPERLINK("https://telegram.me/linkmeup_chat")</f>
        <v>https://telegram.me/linkmeup_chat</v>
      </c>
      <c r="Q1958">
        <v>2345</v>
      </c>
      <c r="R1958" t="s">
        <v>145</v>
      </c>
      <c r="AM1958" t="s">
        <v>129</v>
      </c>
      <c r="AN1958" t="s">
        <v>130</v>
      </c>
      <c r="AP1958" t="s">
        <v>41</v>
      </c>
      <c r="AZ1958" t="s">
        <v>51</v>
      </c>
      <c r="BA1958" t="s">
        <v>52</v>
      </c>
      <c r="BM1958" t="s">
        <v>64</v>
      </c>
    </row>
    <row r="1959" spans="1:77" x14ac:dyDescent="0.2">
      <c r="A1959" t="s">
        <v>6961</v>
      </c>
      <c r="B1959" t="s">
        <v>7068</v>
      </c>
      <c r="C1959" t="s">
        <v>7069</v>
      </c>
      <c r="D1959" t="s">
        <v>7070</v>
      </c>
      <c r="E1959" t="s">
        <v>7071</v>
      </c>
      <c r="F1959" t="s">
        <v>180</v>
      </c>
      <c r="G1959" t="str">
        <f>HYPERLINK("https://telesputnik.ru/forum/viewtopic.php?f=36&amp;t=49124&amp;start=1140#p2480866")</f>
        <v>https://telesputnik.ru/forum/viewtopic.php?f=36&amp;t=49124&amp;start=1140#p2480866</v>
      </c>
      <c r="H1959" t="s">
        <v>119</v>
      </c>
      <c r="I1959" t="s">
        <v>7072</v>
      </c>
      <c r="J1959" t="str">
        <f>HYPERLINK("https://telesputnik.ru/forum/memberlist.php?mode=viewprofile&amp;u=53634")</f>
        <v>https://telesputnik.ru/forum/memberlist.php?mode=viewprofile&amp;u=53634</v>
      </c>
      <c r="N1959" t="s">
        <v>335</v>
      </c>
      <c r="O1959" t="s">
        <v>909</v>
      </c>
      <c r="P1959" t="str">
        <f>HYPERLINK("https://telesputnik.ru/forum/viewforum.php?f=36")</f>
        <v>https://telesputnik.ru/forum/viewforum.php?f=36</v>
      </c>
      <c r="R1959" t="s">
        <v>295</v>
      </c>
      <c r="S1959" t="s">
        <v>125</v>
      </c>
      <c r="T1959" t="s">
        <v>169</v>
      </c>
      <c r="U1959" t="s">
        <v>169</v>
      </c>
      <c r="AM1959" t="s">
        <v>129</v>
      </c>
      <c r="AN1959" t="s">
        <v>130</v>
      </c>
      <c r="AP1959" t="s">
        <v>41</v>
      </c>
      <c r="AU1959" t="s">
        <v>46</v>
      </c>
      <c r="AW1959" t="s">
        <v>48</v>
      </c>
      <c r="AZ1959" t="s">
        <v>51</v>
      </c>
      <c r="BA1959" t="s">
        <v>52</v>
      </c>
    </row>
    <row r="1960" spans="1:77" x14ac:dyDescent="0.2">
      <c r="A1960" t="s">
        <v>6961</v>
      </c>
      <c r="B1960" t="s">
        <v>3041</v>
      </c>
      <c r="C1960" t="s">
        <v>7073</v>
      </c>
      <c r="D1960" t="s">
        <v>7074</v>
      </c>
      <c r="E1960" t="s">
        <v>7075</v>
      </c>
      <c r="F1960" t="s">
        <v>118</v>
      </c>
      <c r="G1960" t="str">
        <f>HYPERLINK("https://vk.com/wall-104398823_797047?reply=797165&amp;thread=797155")</f>
        <v>https://vk.com/wall-104398823_797047?reply=797165&amp;thread=797155</v>
      </c>
      <c r="H1960" t="s">
        <v>119</v>
      </c>
      <c r="I1960" t="s">
        <v>7076</v>
      </c>
      <c r="J1960" t="str">
        <f>HYPERLINK("http://vk.com/id55282177")</f>
        <v>http://vk.com/id55282177</v>
      </c>
      <c r="K1960">
        <v>556</v>
      </c>
      <c r="L1960" t="s">
        <v>151</v>
      </c>
      <c r="M1960">
        <v>29</v>
      </c>
      <c r="N1960" t="s">
        <v>122</v>
      </c>
      <c r="O1960" t="s">
        <v>7077</v>
      </c>
      <c r="P1960" t="str">
        <f>HYPERLINK("http://vk.com/club104398823")</f>
        <v>http://vk.com/club104398823</v>
      </c>
      <c r="Q1960">
        <v>5901</v>
      </c>
      <c r="R1960" t="s">
        <v>124</v>
      </c>
      <c r="S1960" t="s">
        <v>125</v>
      </c>
      <c r="T1960" t="s">
        <v>2455</v>
      </c>
      <c r="U1960" t="s">
        <v>7078</v>
      </c>
      <c r="AM1960" t="s">
        <v>129</v>
      </c>
      <c r="AN1960" t="s">
        <v>130</v>
      </c>
      <c r="AP1960" t="s">
        <v>41</v>
      </c>
      <c r="AZ1960" t="s">
        <v>51</v>
      </c>
      <c r="BA1960" t="s">
        <v>52</v>
      </c>
      <c r="BM1960" t="s">
        <v>64</v>
      </c>
    </row>
    <row r="1961" spans="1:77" x14ac:dyDescent="0.2">
      <c r="A1961" t="s">
        <v>6961</v>
      </c>
      <c r="B1961" t="s">
        <v>1993</v>
      </c>
      <c r="C1961" t="s">
        <v>7079</v>
      </c>
      <c r="D1961" t="s">
        <v>7080</v>
      </c>
      <c r="E1961" t="s">
        <v>7081</v>
      </c>
      <c r="F1961" t="s">
        <v>118</v>
      </c>
      <c r="G1961" t="str">
        <f>HYPERLINK("https://www.youtube.com/watch?v=mIebgZ3nSYk&amp;lc=Ugw72B8KuU_LbqfPrWJ4AaABAg.9PrTSQJlT5F9PrUCeYSOjU")</f>
        <v>https://www.youtube.com/watch?v=mIebgZ3nSYk&amp;lc=Ugw72B8KuU_LbqfPrWJ4AaABAg.9PrTSQJlT5F9PrUCeYSOjU</v>
      </c>
      <c r="H1961" t="s">
        <v>119</v>
      </c>
      <c r="I1961" t="s">
        <v>7082</v>
      </c>
      <c r="J1961" t="str">
        <f>HYPERLINK("https://www.youtube.com/channel/UCe_fqq7vBSLk1ooUeQEce0Q")</f>
        <v>https://www.youtube.com/channel/UCe_fqq7vBSLk1ooUeQEce0Q</v>
      </c>
      <c r="K1961">
        <v>148</v>
      </c>
      <c r="L1961" t="s">
        <v>121</v>
      </c>
      <c r="N1961" t="s">
        <v>248</v>
      </c>
      <c r="O1961" t="s">
        <v>7082</v>
      </c>
      <c r="P1961" t="str">
        <f>HYPERLINK("https://www.youtube.com/channel/UCe_fqq7vBSLk1ooUeQEce0Q")</f>
        <v>https://www.youtube.com/channel/UCe_fqq7vBSLk1ooUeQEce0Q</v>
      </c>
      <c r="Q1961">
        <v>148</v>
      </c>
      <c r="R1961" t="s">
        <v>124</v>
      </c>
      <c r="W1961">
        <v>0</v>
      </c>
      <c r="X1961">
        <v>0</v>
      </c>
      <c r="AM1961" t="s">
        <v>129</v>
      </c>
      <c r="AN1961" t="s">
        <v>130</v>
      </c>
      <c r="AP1961" t="s">
        <v>41</v>
      </c>
      <c r="AU1961" t="s">
        <v>46</v>
      </c>
      <c r="AZ1961" t="s">
        <v>51</v>
      </c>
      <c r="BA1961" t="s">
        <v>52</v>
      </c>
    </row>
    <row r="1962" spans="1:77" x14ac:dyDescent="0.2">
      <c r="A1962" t="s">
        <v>6961</v>
      </c>
      <c r="B1962" t="s">
        <v>3053</v>
      </c>
      <c r="C1962" t="s">
        <v>7079</v>
      </c>
      <c r="D1962" t="s">
        <v>7080</v>
      </c>
      <c r="E1962" t="s">
        <v>7083</v>
      </c>
      <c r="F1962" t="s">
        <v>118</v>
      </c>
      <c r="G1962" t="str">
        <f>HYPERLINK("https://www.youtube.com/watch?v=mIebgZ3nSYk&amp;lc=Ugw72B8KuU_LbqfPrWJ4AaABAg")</f>
        <v>https://www.youtube.com/watch?v=mIebgZ3nSYk&amp;lc=Ugw72B8KuU_LbqfPrWJ4AaABAg</v>
      </c>
      <c r="H1962" t="s">
        <v>119</v>
      </c>
      <c r="I1962" t="s">
        <v>7084</v>
      </c>
      <c r="J1962" t="str">
        <f>HYPERLINK("https://www.youtube.com/channel/UCPZLHP85K-QM5URNXTutiSA")</f>
        <v>https://www.youtube.com/channel/UCPZLHP85K-QM5URNXTutiSA</v>
      </c>
      <c r="K1962">
        <v>9</v>
      </c>
      <c r="N1962" t="s">
        <v>248</v>
      </c>
      <c r="O1962" t="s">
        <v>7082</v>
      </c>
      <c r="P1962" t="str">
        <f>HYPERLINK("https://www.youtube.com/channel/UCe_fqq7vBSLk1ooUeQEce0Q")</f>
        <v>https://www.youtube.com/channel/UCe_fqq7vBSLk1ooUeQEce0Q</v>
      </c>
      <c r="Q1962">
        <v>148</v>
      </c>
      <c r="R1962" t="s">
        <v>124</v>
      </c>
      <c r="W1962">
        <v>1</v>
      </c>
      <c r="X1962">
        <v>1</v>
      </c>
      <c r="AE1962">
        <v>1</v>
      </c>
      <c r="AM1962" t="s">
        <v>129</v>
      </c>
      <c r="AN1962" t="s">
        <v>130</v>
      </c>
      <c r="AP1962" t="s">
        <v>41</v>
      </c>
      <c r="AU1962" t="s">
        <v>46</v>
      </c>
      <c r="AZ1962" t="s">
        <v>51</v>
      </c>
      <c r="BA1962" t="s">
        <v>52</v>
      </c>
    </row>
    <row r="1963" spans="1:77" x14ac:dyDescent="0.2">
      <c r="A1963" t="s">
        <v>6961</v>
      </c>
      <c r="B1963" t="s">
        <v>411</v>
      </c>
      <c r="C1963" t="s">
        <v>7085</v>
      </c>
      <c r="D1963" t="s">
        <v>7086</v>
      </c>
      <c r="E1963" t="s">
        <v>7087</v>
      </c>
      <c r="F1963" t="s">
        <v>118</v>
      </c>
      <c r="G1963" t="str">
        <f>HYPERLINK("https://www.facebook.com/story.php?story_fbid=2899811253617828&amp;id=100007669441427&amp;comment_id=2899820546950232&amp;reply_comment_id=2899830283615925")</f>
        <v>https://www.facebook.com/story.php?story_fbid=2899811253617828&amp;id=100007669441427&amp;comment_id=2899820546950232&amp;reply_comment_id=2899830283615925</v>
      </c>
      <c r="H1963" t="s">
        <v>119</v>
      </c>
      <c r="I1963" t="s">
        <v>695</v>
      </c>
      <c r="J1963" t="str">
        <f>HYPERLINK("https://www.facebook.com/100002360413124")</f>
        <v>https://www.facebook.com/100002360413124</v>
      </c>
      <c r="K1963">
        <v>5211</v>
      </c>
      <c r="L1963" t="s">
        <v>121</v>
      </c>
      <c r="N1963" t="s">
        <v>305</v>
      </c>
      <c r="O1963" t="s">
        <v>7088</v>
      </c>
      <c r="P1963" t="str">
        <f>HYPERLINK("https://www.facebook.com/100007669441427")</f>
        <v>https://www.facebook.com/100007669441427</v>
      </c>
      <c r="Q1963">
        <v>4552</v>
      </c>
      <c r="R1963" t="s">
        <v>124</v>
      </c>
      <c r="S1963" t="s">
        <v>125</v>
      </c>
      <c r="T1963" t="s">
        <v>372</v>
      </c>
      <c r="U1963" t="s">
        <v>373</v>
      </c>
      <c r="W1963">
        <v>3</v>
      </c>
      <c r="X1963">
        <v>3</v>
      </c>
      <c r="AE1963">
        <v>0</v>
      </c>
      <c r="AM1963" t="s">
        <v>129</v>
      </c>
      <c r="AN1963" t="s">
        <v>130</v>
      </c>
      <c r="AP1963" t="s">
        <v>41</v>
      </c>
      <c r="AU1963" t="s">
        <v>46</v>
      </c>
      <c r="AZ1963" t="s">
        <v>51</v>
      </c>
      <c r="BA1963" t="s">
        <v>52</v>
      </c>
      <c r="BY1963" t="s">
        <v>76</v>
      </c>
    </row>
    <row r="1964" spans="1:77" x14ac:dyDescent="0.2">
      <c r="A1964" t="s">
        <v>6961</v>
      </c>
      <c r="B1964" t="s">
        <v>2005</v>
      </c>
      <c r="C1964" t="s">
        <v>5419</v>
      </c>
      <c r="D1964" t="s">
        <v>945</v>
      </c>
      <c r="E1964" t="s">
        <v>7089</v>
      </c>
      <c r="F1964" t="s">
        <v>180</v>
      </c>
      <c r="G1964" t="str">
        <f>HYPERLINK("https://www.ozon.ru/context/detail/id/168022785/#59876337")</f>
        <v>https://www.ozon.ru/context/detail/id/168022785/#59876337</v>
      </c>
      <c r="H1964" t="s">
        <v>181</v>
      </c>
      <c r="I1964" t="s">
        <v>7090</v>
      </c>
      <c r="J1964" t="str">
        <f>HYPERLINK("https://www.ozon.ru/context/client_opinion/ClientGuid/4256a5a9-c9f3-4d8d-acdf-746de20b94aa/")</f>
        <v>https://www.ozon.ru/context/client_opinion/ClientGuid/4256a5a9-c9f3-4d8d-acdf-746de20b94aa/</v>
      </c>
      <c r="L1964" t="s">
        <v>121</v>
      </c>
      <c r="N1964" t="s">
        <v>183</v>
      </c>
      <c r="O1964" t="s">
        <v>945</v>
      </c>
      <c r="P1964" t="str">
        <f>HYPERLINK("https://www.ozon.ru/context/detail/id/168022785/")</f>
        <v>https://www.ozon.ru/context/detail/id/168022785/</v>
      </c>
      <c r="R1964" t="s">
        <v>184</v>
      </c>
      <c r="S1964" t="s">
        <v>125</v>
      </c>
      <c r="W1964">
        <v>0</v>
      </c>
      <c r="X1964">
        <v>0</v>
      </c>
      <c r="AH1964">
        <v>5</v>
      </c>
      <c r="AM1964" t="s">
        <v>129</v>
      </c>
      <c r="AN1964" t="s">
        <v>130</v>
      </c>
      <c r="AP1964" t="s">
        <v>41</v>
      </c>
      <c r="AY1964" t="s">
        <v>50</v>
      </c>
      <c r="AZ1964" t="s">
        <v>51</v>
      </c>
      <c r="BA1964" t="s">
        <v>52</v>
      </c>
      <c r="BO1964" t="s">
        <v>66</v>
      </c>
    </row>
    <row r="1965" spans="1:77" x14ac:dyDescent="0.2">
      <c r="A1965" t="s">
        <v>6961</v>
      </c>
      <c r="B1965" t="s">
        <v>958</v>
      </c>
      <c r="C1965" t="s">
        <v>7091</v>
      </c>
      <c r="D1965" t="s">
        <v>7092</v>
      </c>
      <c r="E1965" t="s">
        <v>7093</v>
      </c>
      <c r="F1965" t="s">
        <v>118</v>
      </c>
      <c r="G1965" t="str">
        <f>HYPERLINK("https://vk.com/wall-65522574_127148?reply=127217&amp;thread=127155")</f>
        <v>https://vk.com/wall-65522574_127148?reply=127217&amp;thread=127155</v>
      </c>
      <c r="H1965" t="s">
        <v>181</v>
      </c>
      <c r="I1965" t="s">
        <v>7094</v>
      </c>
      <c r="J1965" t="str">
        <f>HYPERLINK("http://vk.com/id520516636")</f>
        <v>http://vk.com/id520516636</v>
      </c>
      <c r="K1965">
        <v>21</v>
      </c>
      <c r="L1965" t="s">
        <v>121</v>
      </c>
      <c r="M1965">
        <v>54</v>
      </c>
      <c r="N1965" t="s">
        <v>122</v>
      </c>
      <c r="O1965" t="s">
        <v>7095</v>
      </c>
      <c r="P1965" t="str">
        <f>HYPERLINK("http://vk.com/club65522574")</f>
        <v>http://vk.com/club65522574</v>
      </c>
      <c r="Q1965">
        <v>9099</v>
      </c>
      <c r="R1965" t="s">
        <v>124</v>
      </c>
      <c r="S1965" t="s">
        <v>125</v>
      </c>
      <c r="T1965" t="s">
        <v>137</v>
      </c>
      <c r="U1965" t="s">
        <v>137</v>
      </c>
      <c r="AM1965" t="s">
        <v>129</v>
      </c>
      <c r="AN1965" t="s">
        <v>130</v>
      </c>
      <c r="AP1965" t="s">
        <v>41</v>
      </c>
      <c r="AW1965" t="s">
        <v>48</v>
      </c>
      <c r="AZ1965" t="s">
        <v>51</v>
      </c>
      <c r="BB1965" t="s">
        <v>53</v>
      </c>
    </row>
    <row r="1966" spans="1:77" x14ac:dyDescent="0.2">
      <c r="A1966" t="s">
        <v>6961</v>
      </c>
      <c r="B1966" t="s">
        <v>436</v>
      </c>
      <c r="C1966" t="s">
        <v>7096</v>
      </c>
      <c r="D1966" t="s">
        <v>7097</v>
      </c>
      <c r="E1966" t="s">
        <v>7098</v>
      </c>
      <c r="F1966" t="s">
        <v>118</v>
      </c>
      <c r="G1966" t="str">
        <f>HYPERLINK("https://vk.com/wall-90340389_38668?reply=38695&amp;thread=38685")</f>
        <v>https://vk.com/wall-90340389_38668?reply=38695&amp;thread=38685</v>
      </c>
      <c r="H1966" t="s">
        <v>119</v>
      </c>
      <c r="I1966" t="s">
        <v>7099</v>
      </c>
      <c r="J1966" t="str">
        <f>HYPERLINK("http://vk.com/id260065619")</f>
        <v>http://vk.com/id260065619</v>
      </c>
      <c r="K1966">
        <v>6</v>
      </c>
      <c r="L1966" t="s">
        <v>121</v>
      </c>
      <c r="N1966" t="s">
        <v>122</v>
      </c>
      <c r="O1966" t="s">
        <v>7100</v>
      </c>
      <c r="P1966" t="str">
        <f>HYPERLINK("http://vk.com/club90340389")</f>
        <v>http://vk.com/club90340389</v>
      </c>
      <c r="Q1966">
        <v>3471</v>
      </c>
      <c r="R1966" t="s">
        <v>124</v>
      </c>
      <c r="S1966" t="s">
        <v>125</v>
      </c>
      <c r="T1966" t="s">
        <v>169</v>
      </c>
      <c r="U1966" t="s">
        <v>169</v>
      </c>
      <c r="AM1966" t="s">
        <v>129</v>
      </c>
      <c r="AN1966" t="s">
        <v>130</v>
      </c>
      <c r="AP1966" t="s">
        <v>41</v>
      </c>
      <c r="AZ1966" t="s">
        <v>51</v>
      </c>
      <c r="BA1966" t="s">
        <v>52</v>
      </c>
      <c r="BL1966" t="s">
        <v>63</v>
      </c>
    </row>
    <row r="1967" spans="1:77" x14ac:dyDescent="0.2">
      <c r="A1967" t="s">
        <v>6961</v>
      </c>
      <c r="B1967" t="s">
        <v>7101</v>
      </c>
      <c r="C1967" t="s">
        <v>6644</v>
      </c>
      <c r="D1967" t="s">
        <v>7102</v>
      </c>
      <c r="E1967" t="s">
        <v>7103</v>
      </c>
      <c r="F1967" t="s">
        <v>180</v>
      </c>
      <c r="G1967" t="str">
        <f>HYPERLINK("https://www.sports.ru/tribuna/blogs/italia_mia/2944393.html")</f>
        <v>https://www.sports.ru/tribuna/blogs/italia_mia/2944393.html</v>
      </c>
      <c r="H1967" t="s">
        <v>119</v>
      </c>
      <c r="N1967" t="s">
        <v>7104</v>
      </c>
      <c r="R1967" t="s">
        <v>785</v>
      </c>
      <c r="S1967" t="s">
        <v>125</v>
      </c>
      <c r="AJ1967" t="s">
        <v>7105</v>
      </c>
      <c r="AK1967" t="s">
        <v>7106</v>
      </c>
      <c r="AL1967" t="str">
        <f>HYPERLINK("https://cdn.tribuna.com/fetch/?url=https%3A%2F%2Favatars.mds.yandex.net%2Fget-zen_doc%2F5221453%2Fpub_60f162011ce29d359d84fb2f_60f168d6cf9db26dda218e9e%2Fscale_1200")</f>
        <v>https://cdn.tribuna.com/fetch/?url=https%3A%2F%2Favatars.mds.yandex.net%2Fget-zen_doc%2F5221453%2Fpub_60f162011ce29d359d84fb2f_60f168d6cf9db26dda218e9e%2Fscale_1200</v>
      </c>
      <c r="AM1967" t="s">
        <v>129</v>
      </c>
      <c r="AN1967" t="s">
        <v>130</v>
      </c>
      <c r="AV1967" t="s">
        <v>47</v>
      </c>
    </row>
    <row r="1968" spans="1:77" x14ac:dyDescent="0.2">
      <c r="A1968" t="s">
        <v>6961</v>
      </c>
      <c r="B1968" t="s">
        <v>1552</v>
      </c>
      <c r="C1968" t="s">
        <v>7107</v>
      </c>
      <c r="D1968" t="s">
        <v>6801</v>
      </c>
      <c r="E1968" t="s">
        <v>7108</v>
      </c>
      <c r="F1968" t="s">
        <v>118</v>
      </c>
      <c r="G1968" t="str">
        <f>HYPERLINK("https://vk.com/wall-27863223_291831?reply=291843")</f>
        <v>https://vk.com/wall-27863223_291831?reply=291843</v>
      </c>
      <c r="H1968" t="s">
        <v>119</v>
      </c>
      <c r="I1968" t="s">
        <v>3232</v>
      </c>
      <c r="J1968" t="str">
        <f>HYPERLINK("http://vk.com/id525424243")</f>
        <v>http://vk.com/id525424243</v>
      </c>
      <c r="K1968">
        <v>105</v>
      </c>
      <c r="L1968" t="s">
        <v>121</v>
      </c>
      <c r="M1968">
        <v>38</v>
      </c>
      <c r="N1968" t="s">
        <v>122</v>
      </c>
      <c r="O1968" t="s">
        <v>175</v>
      </c>
      <c r="P1968" t="str">
        <f>HYPERLINK("http://vk.com/club27863223")</f>
        <v>http://vk.com/club27863223</v>
      </c>
      <c r="Q1968">
        <v>134698</v>
      </c>
      <c r="R1968" t="s">
        <v>124</v>
      </c>
      <c r="S1968" t="s">
        <v>125</v>
      </c>
      <c r="T1968" t="s">
        <v>1819</v>
      </c>
      <c r="U1968" t="s">
        <v>2175</v>
      </c>
      <c r="AM1968" t="s">
        <v>129</v>
      </c>
      <c r="AN1968" t="s">
        <v>130</v>
      </c>
      <c r="AP1968" t="s">
        <v>41</v>
      </c>
      <c r="AU1968" t="s">
        <v>46</v>
      </c>
      <c r="BA1968" t="s">
        <v>52</v>
      </c>
      <c r="BE1968" t="s">
        <v>56</v>
      </c>
    </row>
    <row r="1969" spans="1:69" x14ac:dyDescent="0.2">
      <c r="A1969" t="s">
        <v>6961</v>
      </c>
      <c r="B1969" t="s">
        <v>1555</v>
      </c>
      <c r="C1969" t="s">
        <v>7109</v>
      </c>
      <c r="D1969" t="s">
        <v>7110</v>
      </c>
      <c r="E1969" t="s">
        <v>7111</v>
      </c>
      <c r="F1969" t="s">
        <v>180</v>
      </c>
      <c r="G1969" t="str">
        <f>HYPERLINK("https://www.wildberries.ru/catalog/14758636/detail.aspx?targetUrl=ES#Comments")</f>
        <v>https://www.wildberries.ru/catalog/14758636/detail.aspx?targetUrl=ES#Comments</v>
      </c>
      <c r="H1969" t="s">
        <v>181</v>
      </c>
      <c r="I1969" t="s">
        <v>6276</v>
      </c>
      <c r="J1969" t="str">
        <f>HYPERLINK("https://www.wildberries.ru/profile/w7TDssOkw7PCu8K1wrDCucK3wrbCs8KywrA=")</f>
        <v>https://www.wildberries.ru/profile/w7TDssOkw7PCu8K1wrDCucK3wrbCs8KywrA=</v>
      </c>
      <c r="L1969" t="s">
        <v>121</v>
      </c>
      <c r="N1969" t="s">
        <v>534</v>
      </c>
      <c r="O1969" t="s">
        <v>7110</v>
      </c>
      <c r="P1969" t="str">
        <f>HYPERLINK("https://www.wildberries.ru/catalog/11040397/detail.aspx")</f>
        <v>https://www.wildberries.ru/catalog/11040397/detail.aspx</v>
      </c>
      <c r="R1969" t="s">
        <v>184</v>
      </c>
      <c r="S1969" t="s">
        <v>125</v>
      </c>
      <c r="W1969">
        <v>0</v>
      </c>
      <c r="X1969">
        <v>0</v>
      </c>
      <c r="AH1969">
        <v>5</v>
      </c>
      <c r="AM1969" t="s">
        <v>129</v>
      </c>
      <c r="AN1969" t="s">
        <v>130</v>
      </c>
      <c r="AP1969" t="s">
        <v>41</v>
      </c>
      <c r="AT1969" t="s">
        <v>45</v>
      </c>
      <c r="AZ1969" t="s">
        <v>51</v>
      </c>
      <c r="BA1969" t="s">
        <v>52</v>
      </c>
      <c r="BM1969" t="s">
        <v>64</v>
      </c>
    </row>
    <row r="1970" spans="1:69" x14ac:dyDescent="0.2">
      <c r="A1970" t="s">
        <v>6961</v>
      </c>
      <c r="B1970" t="s">
        <v>1562</v>
      </c>
      <c r="C1970" t="s">
        <v>7112</v>
      </c>
      <c r="D1970" t="s">
        <v>6945</v>
      </c>
      <c r="E1970" t="s">
        <v>7113</v>
      </c>
      <c r="F1970" t="s">
        <v>118</v>
      </c>
      <c r="G1970" t="str">
        <f>HYPERLINK("https://vk.com/wall-64198898_115636?reply=115647&amp;thread=115644")</f>
        <v>https://vk.com/wall-64198898_115636?reply=115647&amp;thread=115644</v>
      </c>
      <c r="H1970" t="s">
        <v>119</v>
      </c>
      <c r="I1970" t="s">
        <v>7114</v>
      </c>
      <c r="J1970" t="str">
        <f>HYPERLINK("http://vk.com/id1008072")</f>
        <v>http://vk.com/id1008072</v>
      </c>
      <c r="K1970">
        <v>249</v>
      </c>
      <c r="L1970" t="s">
        <v>121</v>
      </c>
      <c r="M1970">
        <v>33</v>
      </c>
      <c r="N1970" t="s">
        <v>122</v>
      </c>
      <c r="O1970" t="s">
        <v>2411</v>
      </c>
      <c r="P1970" t="str">
        <f>HYPERLINK("http://vk.com/club64198898")</f>
        <v>http://vk.com/club64198898</v>
      </c>
      <c r="Q1970">
        <v>21232</v>
      </c>
      <c r="R1970" t="s">
        <v>124</v>
      </c>
      <c r="S1970" t="s">
        <v>125</v>
      </c>
      <c r="T1970" t="s">
        <v>314</v>
      </c>
      <c r="U1970" t="s">
        <v>315</v>
      </c>
      <c r="AM1970" t="s">
        <v>129</v>
      </c>
      <c r="AN1970" t="s">
        <v>130</v>
      </c>
      <c r="AP1970" t="s">
        <v>41</v>
      </c>
      <c r="AU1970" t="s">
        <v>46</v>
      </c>
      <c r="AZ1970" t="s">
        <v>51</v>
      </c>
      <c r="BA1970" t="s">
        <v>52</v>
      </c>
    </row>
    <row r="1971" spans="1:69" x14ac:dyDescent="0.2">
      <c r="A1971" t="s">
        <v>6961</v>
      </c>
      <c r="B1971" t="s">
        <v>1572</v>
      </c>
      <c r="C1971" t="s">
        <v>7115</v>
      </c>
      <c r="D1971" t="s">
        <v>7116</v>
      </c>
      <c r="E1971" t="s">
        <v>7117</v>
      </c>
      <c r="F1971" t="s">
        <v>180</v>
      </c>
      <c r="G1971" t="str">
        <f>HYPERLINK("https://www.otzyvru.com/tricolorpayru/review-989699")</f>
        <v>https://www.otzyvru.com/tricolorpayru/review-989699</v>
      </c>
      <c r="H1971" t="s">
        <v>228</v>
      </c>
      <c r="I1971" t="s">
        <v>2944</v>
      </c>
      <c r="J1971" t="str">
        <f>HYPERLINK("https://www.otzyvru.com/tricolorpayru/review-989699")</f>
        <v>https://www.otzyvru.com/tricolorpayru/review-989699</v>
      </c>
      <c r="N1971" t="s">
        <v>2945</v>
      </c>
      <c r="O1971" t="s">
        <v>1663</v>
      </c>
      <c r="P1971" t="str">
        <f>HYPERLINK("https://www.otzyvru.com/tricolorpayru")</f>
        <v>https://www.otzyvru.com/tricolorpayru</v>
      </c>
      <c r="R1971" t="s">
        <v>184</v>
      </c>
      <c r="S1971" t="s">
        <v>125</v>
      </c>
      <c r="AG1971">
        <v>0</v>
      </c>
      <c r="AH1971">
        <v>1</v>
      </c>
      <c r="AM1971" t="s">
        <v>129</v>
      </c>
      <c r="AN1971" t="s">
        <v>130</v>
      </c>
      <c r="AP1971" t="s">
        <v>41</v>
      </c>
      <c r="AX1971" t="s">
        <v>49</v>
      </c>
      <c r="AY1971" t="s">
        <v>50</v>
      </c>
      <c r="AZ1971" t="s">
        <v>51</v>
      </c>
      <c r="BA1971" t="s">
        <v>52</v>
      </c>
    </row>
    <row r="1972" spans="1:69" x14ac:dyDescent="0.2">
      <c r="A1972" t="s">
        <v>6961</v>
      </c>
      <c r="B1972" t="s">
        <v>5207</v>
      </c>
      <c r="C1972" t="s">
        <v>7118</v>
      </c>
      <c r="D1972" t="s">
        <v>6945</v>
      </c>
      <c r="E1972" t="s">
        <v>7119</v>
      </c>
      <c r="F1972" t="s">
        <v>118</v>
      </c>
      <c r="G1972" t="str">
        <f>HYPERLINK("https://vk.com/wall-64198898_115636?reply=115644")</f>
        <v>https://vk.com/wall-64198898_115636?reply=115644</v>
      </c>
      <c r="H1972" t="s">
        <v>119</v>
      </c>
      <c r="I1972" t="s">
        <v>7120</v>
      </c>
      <c r="J1972" t="str">
        <f>HYPERLINK("http://vk.com/id2028655")</f>
        <v>http://vk.com/id2028655</v>
      </c>
      <c r="K1972">
        <v>230</v>
      </c>
      <c r="L1972" t="s">
        <v>121</v>
      </c>
      <c r="M1972">
        <v>34</v>
      </c>
      <c r="N1972" t="s">
        <v>122</v>
      </c>
      <c r="O1972" t="s">
        <v>2411</v>
      </c>
      <c r="P1972" t="str">
        <f>HYPERLINK("http://vk.com/club64198898")</f>
        <v>http://vk.com/club64198898</v>
      </c>
      <c r="Q1972">
        <v>21232</v>
      </c>
      <c r="R1972" t="s">
        <v>124</v>
      </c>
      <c r="S1972" t="s">
        <v>125</v>
      </c>
      <c r="T1972" t="s">
        <v>169</v>
      </c>
      <c r="U1972" t="s">
        <v>169</v>
      </c>
      <c r="AM1972" t="s">
        <v>129</v>
      </c>
      <c r="AN1972" t="s">
        <v>130</v>
      </c>
      <c r="AP1972" t="s">
        <v>41</v>
      </c>
      <c r="AU1972" t="s">
        <v>46</v>
      </c>
      <c r="AZ1972" t="s">
        <v>51</v>
      </c>
      <c r="BA1972" t="s">
        <v>52</v>
      </c>
    </row>
    <row r="1973" spans="1:69" x14ac:dyDescent="0.2">
      <c r="A1973" t="s">
        <v>6961</v>
      </c>
      <c r="B1973" t="s">
        <v>7121</v>
      </c>
      <c r="C1973" t="s">
        <v>7122</v>
      </c>
      <c r="D1973" t="s">
        <v>6945</v>
      </c>
      <c r="E1973" t="s">
        <v>7123</v>
      </c>
      <c r="F1973" t="s">
        <v>118</v>
      </c>
      <c r="G1973" t="str">
        <f>HYPERLINK("https://vk.com/wall-64198898_115636?reply=115638&amp;thread=115637")</f>
        <v>https://vk.com/wall-64198898_115636?reply=115638&amp;thread=115637</v>
      </c>
      <c r="H1973" t="s">
        <v>119</v>
      </c>
      <c r="I1973" t="s">
        <v>7124</v>
      </c>
      <c r="J1973" t="str">
        <f>HYPERLINK("http://vk.com/club204267800")</f>
        <v>http://vk.com/club204267800</v>
      </c>
      <c r="K1973">
        <v>1473</v>
      </c>
      <c r="L1973" t="s">
        <v>340</v>
      </c>
      <c r="N1973" t="s">
        <v>122</v>
      </c>
      <c r="O1973" t="s">
        <v>2411</v>
      </c>
      <c r="P1973" t="str">
        <f>HYPERLINK("http://vk.com/club64198898")</f>
        <v>http://vk.com/club64198898</v>
      </c>
      <c r="Q1973">
        <v>21232</v>
      </c>
      <c r="R1973" t="s">
        <v>124</v>
      </c>
      <c r="S1973" t="s">
        <v>125</v>
      </c>
      <c r="T1973" t="s">
        <v>169</v>
      </c>
      <c r="U1973" t="s">
        <v>169</v>
      </c>
      <c r="AM1973" t="s">
        <v>129</v>
      </c>
      <c r="AN1973" t="s">
        <v>130</v>
      </c>
      <c r="AP1973" t="s">
        <v>41</v>
      </c>
      <c r="AU1973" t="s">
        <v>46</v>
      </c>
      <c r="AZ1973" t="s">
        <v>51</v>
      </c>
      <c r="BA1973" t="s">
        <v>52</v>
      </c>
    </row>
    <row r="1974" spans="1:69" x14ac:dyDescent="0.2">
      <c r="A1974" t="s">
        <v>6961</v>
      </c>
      <c r="B1974" t="s">
        <v>6115</v>
      </c>
      <c r="C1974" t="s">
        <v>7122</v>
      </c>
      <c r="D1974" t="s">
        <v>7125</v>
      </c>
      <c r="E1974" t="s">
        <v>7126</v>
      </c>
      <c r="F1974" t="s">
        <v>118</v>
      </c>
      <c r="G1974" t="str">
        <f>HYPERLINK("https://vk.com/wall-39480832_1328665?reply=1329770&amp;thread=1329411")</f>
        <v>https://vk.com/wall-39480832_1328665?reply=1329770&amp;thread=1329411</v>
      </c>
      <c r="H1974" t="s">
        <v>119</v>
      </c>
      <c r="I1974" t="s">
        <v>7127</v>
      </c>
      <c r="J1974" t="str">
        <f>HYPERLINK("http://vk.com/id21376862")</f>
        <v>http://vk.com/id21376862</v>
      </c>
      <c r="K1974">
        <v>645</v>
      </c>
      <c r="L1974" t="s">
        <v>121</v>
      </c>
      <c r="M1974">
        <v>31</v>
      </c>
      <c r="N1974" t="s">
        <v>122</v>
      </c>
      <c r="O1974" t="s">
        <v>7128</v>
      </c>
      <c r="P1974" t="str">
        <f>HYPERLINK("http://vk.com/club39480832")</f>
        <v>http://vk.com/club39480832</v>
      </c>
      <c r="Q1974">
        <v>101974</v>
      </c>
      <c r="R1974" t="s">
        <v>124</v>
      </c>
      <c r="S1974" t="s">
        <v>125</v>
      </c>
      <c r="T1974" t="s">
        <v>1832</v>
      </c>
      <c r="U1974" t="s">
        <v>7129</v>
      </c>
      <c r="AM1974" t="s">
        <v>129</v>
      </c>
      <c r="AN1974" t="s">
        <v>130</v>
      </c>
      <c r="AP1974" t="s">
        <v>41</v>
      </c>
      <c r="AT1974" t="s">
        <v>45</v>
      </c>
      <c r="AW1974" t="s">
        <v>48</v>
      </c>
      <c r="AZ1974" t="s">
        <v>51</v>
      </c>
      <c r="BA1974" t="s">
        <v>52</v>
      </c>
    </row>
    <row r="1975" spans="1:69" x14ac:dyDescent="0.2">
      <c r="A1975" t="s">
        <v>6961</v>
      </c>
      <c r="B1975" t="s">
        <v>6115</v>
      </c>
      <c r="C1975" t="s">
        <v>7130</v>
      </c>
      <c r="D1975" t="s">
        <v>6885</v>
      </c>
      <c r="E1975" t="s">
        <v>7131</v>
      </c>
      <c r="F1975" t="s">
        <v>118</v>
      </c>
      <c r="G1975" t="str">
        <f>HYPERLINK("https://vk.com/wall-22935147_368400?reply=368410")</f>
        <v>https://vk.com/wall-22935147_368400?reply=368410</v>
      </c>
      <c r="H1975" t="s">
        <v>119</v>
      </c>
      <c r="I1975" t="s">
        <v>7132</v>
      </c>
      <c r="J1975" t="str">
        <f>HYPERLINK("http://vk.com/id564545417")</f>
        <v>http://vk.com/id564545417</v>
      </c>
      <c r="L1975" t="s">
        <v>121</v>
      </c>
      <c r="M1975">
        <v>21</v>
      </c>
      <c r="N1975" t="s">
        <v>122</v>
      </c>
      <c r="O1975" t="s">
        <v>1093</v>
      </c>
      <c r="P1975" t="str">
        <f>HYPERLINK("http://vk.com/club22935147")</f>
        <v>http://vk.com/club22935147</v>
      </c>
      <c r="Q1975">
        <v>8943</v>
      </c>
      <c r="R1975" t="s">
        <v>124</v>
      </c>
      <c r="S1975" t="s">
        <v>125</v>
      </c>
      <c r="T1975" t="s">
        <v>612</v>
      </c>
      <c r="U1975" t="s">
        <v>5651</v>
      </c>
      <c r="W1975">
        <v>0</v>
      </c>
      <c r="X1975">
        <v>0</v>
      </c>
      <c r="AM1975" t="s">
        <v>129</v>
      </c>
      <c r="AN1975" t="s">
        <v>130</v>
      </c>
      <c r="AP1975" t="s">
        <v>41</v>
      </c>
      <c r="AU1975" t="s">
        <v>46</v>
      </c>
      <c r="AZ1975" t="s">
        <v>51</v>
      </c>
      <c r="BA1975" t="s">
        <v>52</v>
      </c>
    </row>
    <row r="1976" spans="1:69" x14ac:dyDescent="0.2">
      <c r="A1976" t="s">
        <v>6961</v>
      </c>
      <c r="B1976" t="s">
        <v>466</v>
      </c>
      <c r="C1976" t="s">
        <v>7133</v>
      </c>
      <c r="D1976" t="s">
        <v>6945</v>
      </c>
      <c r="E1976" t="s">
        <v>7134</v>
      </c>
      <c r="F1976" t="s">
        <v>118</v>
      </c>
      <c r="G1976" t="str">
        <f>HYPERLINK("https://vk.com/wall-64198898_115636?reply=115637")</f>
        <v>https://vk.com/wall-64198898_115636?reply=115637</v>
      </c>
      <c r="H1976" t="s">
        <v>119</v>
      </c>
      <c r="I1976" t="s">
        <v>7120</v>
      </c>
      <c r="J1976" t="str">
        <f>HYPERLINK("http://vk.com/id2028655")</f>
        <v>http://vk.com/id2028655</v>
      </c>
      <c r="K1976">
        <v>230</v>
      </c>
      <c r="L1976" t="s">
        <v>121</v>
      </c>
      <c r="M1976">
        <v>34</v>
      </c>
      <c r="N1976" t="s">
        <v>122</v>
      </c>
      <c r="O1976" t="s">
        <v>2411</v>
      </c>
      <c r="P1976" t="str">
        <f>HYPERLINK("http://vk.com/club64198898")</f>
        <v>http://vk.com/club64198898</v>
      </c>
      <c r="Q1976">
        <v>21232</v>
      </c>
      <c r="R1976" t="s">
        <v>124</v>
      </c>
      <c r="S1976" t="s">
        <v>125</v>
      </c>
      <c r="T1976" t="s">
        <v>169</v>
      </c>
      <c r="U1976" t="s">
        <v>169</v>
      </c>
      <c r="AM1976" t="s">
        <v>129</v>
      </c>
      <c r="AN1976" t="s">
        <v>130</v>
      </c>
      <c r="AP1976" t="s">
        <v>41</v>
      </c>
      <c r="AU1976" t="s">
        <v>46</v>
      </c>
      <c r="BA1976" t="s">
        <v>52</v>
      </c>
      <c r="BE1976" t="s">
        <v>56</v>
      </c>
    </row>
    <row r="1977" spans="1:69" x14ac:dyDescent="0.2">
      <c r="A1977" t="s">
        <v>6961</v>
      </c>
      <c r="B1977" t="s">
        <v>1017</v>
      </c>
      <c r="C1977" t="s">
        <v>7135</v>
      </c>
      <c r="D1977" t="s">
        <v>7136</v>
      </c>
      <c r="E1977" t="s">
        <v>7137</v>
      </c>
      <c r="F1977" t="s">
        <v>180</v>
      </c>
      <c r="G1977" t="str">
        <f>HYPERLINK("https://www.tadviser.ru/a/245171")</f>
        <v>https://www.tadviser.ru/a/245171</v>
      </c>
      <c r="H1977" t="s">
        <v>119</v>
      </c>
      <c r="N1977" t="s">
        <v>7138</v>
      </c>
      <c r="R1977" t="s">
        <v>785</v>
      </c>
      <c r="S1977" t="s">
        <v>125</v>
      </c>
      <c r="AJ1977" t="s">
        <v>7139</v>
      </c>
      <c r="AK1977" t="s">
        <v>7140</v>
      </c>
      <c r="AL1977" t="str">
        <f>HYPERLINK("https://tadviser.ru/images/7/75/Thumbnail_1626433420.jpg")</f>
        <v>https://tadviser.ru/images/7/75/Thumbnail_1626433420.jpg</v>
      </c>
      <c r="AM1977" t="s">
        <v>129</v>
      </c>
      <c r="AN1977" t="s">
        <v>130</v>
      </c>
      <c r="AV1977" t="s">
        <v>47</v>
      </c>
    </row>
    <row r="1978" spans="1:69" x14ac:dyDescent="0.2">
      <c r="A1978" t="s">
        <v>6961</v>
      </c>
      <c r="B1978" t="s">
        <v>1620</v>
      </c>
      <c r="C1978" t="s">
        <v>7141</v>
      </c>
      <c r="D1978" t="s">
        <v>3941</v>
      </c>
      <c r="E1978" t="s">
        <v>7142</v>
      </c>
      <c r="F1978" t="s">
        <v>118</v>
      </c>
      <c r="G1978" t="str">
        <f>HYPERLINK("https://vk.com/wall-27863223_291839?reply=291841")</f>
        <v>https://vk.com/wall-27863223_291839?reply=291841</v>
      </c>
      <c r="H1978" t="s">
        <v>119</v>
      </c>
      <c r="I1978" t="s">
        <v>254</v>
      </c>
      <c r="J1978" t="str">
        <f>HYPERLINK("http://vk.com/id286061518")</f>
        <v>http://vk.com/id286061518</v>
      </c>
      <c r="K1978">
        <v>5170</v>
      </c>
      <c r="L1978" t="s">
        <v>121</v>
      </c>
      <c r="M1978">
        <v>34</v>
      </c>
      <c r="N1978" t="s">
        <v>122</v>
      </c>
      <c r="O1978" t="s">
        <v>175</v>
      </c>
      <c r="P1978" t="str">
        <f>HYPERLINK("http://vk.com/club27863223")</f>
        <v>http://vk.com/club27863223</v>
      </c>
      <c r="Q1978">
        <v>134698</v>
      </c>
      <c r="R1978" t="s">
        <v>124</v>
      </c>
      <c r="S1978" t="s">
        <v>125</v>
      </c>
      <c r="T1978" t="s">
        <v>256</v>
      </c>
      <c r="U1978" t="s">
        <v>257</v>
      </c>
      <c r="AM1978" t="s">
        <v>129</v>
      </c>
      <c r="AN1978" t="s">
        <v>130</v>
      </c>
      <c r="AP1978" t="s">
        <v>41</v>
      </c>
      <c r="AU1978" t="s">
        <v>46</v>
      </c>
      <c r="AZ1978" t="s">
        <v>51</v>
      </c>
      <c r="BA1978" t="s">
        <v>52</v>
      </c>
    </row>
    <row r="1979" spans="1:69" x14ac:dyDescent="0.2">
      <c r="A1979" t="s">
        <v>6961</v>
      </c>
      <c r="B1979" t="s">
        <v>1620</v>
      </c>
      <c r="C1979" t="s">
        <v>7143</v>
      </c>
      <c r="D1979" t="s">
        <v>3941</v>
      </c>
      <c r="E1979" t="s">
        <v>7144</v>
      </c>
      <c r="F1979" t="s">
        <v>118</v>
      </c>
      <c r="G1979" t="str">
        <f>HYPERLINK("https://vk.com/wall-27863223_291839?reply=291840")</f>
        <v>https://vk.com/wall-27863223_291839?reply=291840</v>
      </c>
      <c r="H1979" t="s">
        <v>119</v>
      </c>
      <c r="I1979" t="s">
        <v>254</v>
      </c>
      <c r="J1979" t="str">
        <f>HYPERLINK("http://vk.com/id286061518")</f>
        <v>http://vk.com/id286061518</v>
      </c>
      <c r="K1979">
        <v>5170</v>
      </c>
      <c r="L1979" t="s">
        <v>121</v>
      </c>
      <c r="M1979">
        <v>34</v>
      </c>
      <c r="N1979" t="s">
        <v>122</v>
      </c>
      <c r="O1979" t="s">
        <v>175</v>
      </c>
      <c r="P1979" t="str">
        <f>HYPERLINK("http://vk.com/club27863223")</f>
        <v>http://vk.com/club27863223</v>
      </c>
      <c r="Q1979">
        <v>134698</v>
      </c>
      <c r="R1979" t="s">
        <v>124</v>
      </c>
      <c r="S1979" t="s">
        <v>125</v>
      </c>
      <c r="T1979" t="s">
        <v>256</v>
      </c>
      <c r="U1979" t="s">
        <v>257</v>
      </c>
      <c r="AM1979" t="s">
        <v>129</v>
      </c>
      <c r="AN1979" t="s">
        <v>130</v>
      </c>
      <c r="AP1979" t="s">
        <v>41</v>
      </c>
      <c r="AU1979" t="s">
        <v>46</v>
      </c>
      <c r="AZ1979" t="s">
        <v>51</v>
      </c>
      <c r="BA1979" t="s">
        <v>52</v>
      </c>
    </row>
    <row r="1980" spans="1:69" x14ac:dyDescent="0.2">
      <c r="A1980" t="s">
        <v>6961</v>
      </c>
      <c r="B1980" t="s">
        <v>2084</v>
      </c>
      <c r="C1980" t="s">
        <v>7145</v>
      </c>
      <c r="D1980" t="s">
        <v>7146</v>
      </c>
      <c r="E1980" t="s">
        <v>7147</v>
      </c>
      <c r="F1980" t="s">
        <v>180</v>
      </c>
      <c r="G1980" t="str">
        <f>HYPERLINK("https://market.yandex.ru/product/660571400/reviews?id=134673617")</f>
        <v>https://market.yandex.ru/product/660571400/reviews?id=134673617</v>
      </c>
      <c r="H1980" t="s">
        <v>181</v>
      </c>
      <c r="I1980" t="s">
        <v>7148</v>
      </c>
      <c r="J1980" t="str">
        <f>HYPERLINK("https://market.yandex.ru/user/fz9fccfkm5ha09hcmm7tfh5zg4/reviews")</f>
        <v>https://market.yandex.ru/user/fz9fccfkm5ha09hcmm7tfh5zg4/reviews</v>
      </c>
      <c r="L1980" t="s">
        <v>121</v>
      </c>
      <c r="N1980" t="s">
        <v>611</v>
      </c>
      <c r="O1980" t="s">
        <v>7146</v>
      </c>
      <c r="P1980" t="str">
        <f>HYPERLINK("https://market.yandex.ru/product/660571400")</f>
        <v>https://market.yandex.ru/product/660571400</v>
      </c>
      <c r="R1980" t="s">
        <v>184</v>
      </c>
      <c r="S1980" t="s">
        <v>125</v>
      </c>
      <c r="T1980" t="s">
        <v>612</v>
      </c>
      <c r="U1980" t="s">
        <v>7149</v>
      </c>
      <c r="W1980">
        <v>0</v>
      </c>
      <c r="X1980">
        <v>0</v>
      </c>
      <c r="AH1980">
        <v>5</v>
      </c>
      <c r="AM1980" t="s">
        <v>129</v>
      </c>
      <c r="AN1980" t="s">
        <v>130</v>
      </c>
      <c r="AP1980" t="s">
        <v>41</v>
      </c>
      <c r="AT1980" t="s">
        <v>45</v>
      </c>
      <c r="AW1980" t="s">
        <v>48</v>
      </c>
      <c r="AZ1980" t="s">
        <v>51</v>
      </c>
      <c r="BB1980" t="s">
        <v>53</v>
      </c>
      <c r="BM1980" t="s">
        <v>64</v>
      </c>
      <c r="BQ1980" t="s">
        <v>68</v>
      </c>
    </row>
    <row r="1981" spans="1:69" x14ac:dyDescent="0.2">
      <c r="A1981" t="s">
        <v>6961</v>
      </c>
      <c r="B1981" t="s">
        <v>2622</v>
      </c>
      <c r="C1981" t="s">
        <v>7150</v>
      </c>
      <c r="D1981" t="s">
        <v>129</v>
      </c>
      <c r="E1981" t="s">
        <v>4191</v>
      </c>
      <c r="F1981" t="s">
        <v>180</v>
      </c>
      <c r="G1981" t="str">
        <f>HYPERLINK("https://www.facebook.com/tricolortv/posts/4089679494419623")</f>
        <v>https://www.facebook.com/tricolortv/posts/4089679494419623</v>
      </c>
      <c r="H1981" t="s">
        <v>119</v>
      </c>
      <c r="I1981" t="s">
        <v>175</v>
      </c>
      <c r="J1981" t="str">
        <f>HYPERLINK("https://www.facebook.com/206198386101106")</f>
        <v>https://www.facebook.com/206198386101106</v>
      </c>
      <c r="K1981">
        <v>16432</v>
      </c>
      <c r="L1981" t="s">
        <v>340</v>
      </c>
      <c r="N1981" t="s">
        <v>305</v>
      </c>
      <c r="O1981" t="s">
        <v>175</v>
      </c>
      <c r="P1981" t="str">
        <f>HYPERLINK("https://www.facebook.com/206198386101106")</f>
        <v>https://www.facebook.com/206198386101106</v>
      </c>
      <c r="Q1981">
        <v>16432</v>
      </c>
      <c r="R1981" t="s">
        <v>124</v>
      </c>
      <c r="W1981">
        <v>2</v>
      </c>
      <c r="X1981">
        <v>2</v>
      </c>
      <c r="Y1981">
        <v>0</v>
      </c>
      <c r="Z1981">
        <v>0</v>
      </c>
      <c r="AA1981">
        <v>0</v>
      </c>
      <c r="AB1981">
        <v>0</v>
      </c>
      <c r="AC1981">
        <v>0</v>
      </c>
      <c r="AE1981">
        <v>0</v>
      </c>
      <c r="AF1981">
        <v>0</v>
      </c>
      <c r="AJ1981" t="s">
        <v>7151</v>
      </c>
      <c r="AK1981" t="s">
        <v>7152</v>
      </c>
      <c r="AL1981" t="s">
        <v>7153</v>
      </c>
      <c r="AM1981" t="s">
        <v>129</v>
      </c>
      <c r="AN1981" t="s">
        <v>130</v>
      </c>
      <c r="BI1981" t="s">
        <v>60</v>
      </c>
    </row>
    <row r="1982" spans="1:69" x14ac:dyDescent="0.2">
      <c r="A1982" t="s">
        <v>6961</v>
      </c>
      <c r="B1982" t="s">
        <v>4796</v>
      </c>
      <c r="C1982" t="s">
        <v>7154</v>
      </c>
      <c r="D1982" t="s">
        <v>3941</v>
      </c>
      <c r="E1982" t="s">
        <v>4191</v>
      </c>
      <c r="F1982" t="s">
        <v>180</v>
      </c>
      <c r="G1982" t="str">
        <f>HYPERLINK("https://ok.ru/group/51085510115462/topic/153453321299334")</f>
        <v>https://ok.ru/group/51085510115462/topic/153453321299334</v>
      </c>
      <c r="H1982" t="s">
        <v>119</v>
      </c>
      <c r="I1982" t="s">
        <v>175</v>
      </c>
      <c r="J1982" t="str">
        <f>HYPERLINK("https://ok.ru/group/51085510115462")</f>
        <v>https://ok.ru/group/51085510115462</v>
      </c>
      <c r="K1982">
        <v>94768</v>
      </c>
      <c r="L1982" t="s">
        <v>340</v>
      </c>
      <c r="N1982" t="s">
        <v>347</v>
      </c>
      <c r="O1982" t="s">
        <v>175</v>
      </c>
      <c r="P1982" t="str">
        <f>HYPERLINK("https://ok.ru/group/51085510115462")</f>
        <v>https://ok.ru/group/51085510115462</v>
      </c>
      <c r="Q1982">
        <v>94768</v>
      </c>
      <c r="R1982" t="s">
        <v>124</v>
      </c>
      <c r="W1982">
        <v>23</v>
      </c>
      <c r="X1982">
        <v>23</v>
      </c>
      <c r="Y1982">
        <v>0</v>
      </c>
      <c r="Z1982">
        <v>0</v>
      </c>
      <c r="AA1982">
        <v>0</v>
      </c>
      <c r="AB1982">
        <v>0</v>
      </c>
      <c r="AE1982">
        <v>0</v>
      </c>
      <c r="AF1982">
        <v>0</v>
      </c>
      <c r="AJ1982" t="s">
        <v>7155</v>
      </c>
      <c r="AK1982" t="s">
        <v>7156</v>
      </c>
      <c r="AL1982" t="str">
        <f>HYPERLINK("https://i.mycdn.me/image?id=918605506950&amp;t=20&amp;plc=API&amp;aid=1131601408&amp;tkn=*Bn5M2A18VM9KoBPfzL1FvTkIKtU")</f>
        <v>https://i.mycdn.me/image?id=918605506950&amp;t=20&amp;plc=API&amp;aid=1131601408&amp;tkn=*Bn5M2A18VM9KoBPfzL1FvTkIKtU</v>
      </c>
      <c r="AM1982" t="s">
        <v>129</v>
      </c>
      <c r="AN1982" t="s">
        <v>130</v>
      </c>
      <c r="BI1982" t="s">
        <v>60</v>
      </c>
    </row>
    <row r="1983" spans="1:69" x14ac:dyDescent="0.2">
      <c r="A1983" t="s">
        <v>6961</v>
      </c>
      <c r="B1983" t="s">
        <v>3163</v>
      </c>
      <c r="C1983" t="s">
        <v>7157</v>
      </c>
      <c r="D1983" t="s">
        <v>6416</v>
      </c>
      <c r="E1983" t="s">
        <v>7158</v>
      </c>
      <c r="F1983" t="s">
        <v>118</v>
      </c>
      <c r="G1983" t="str">
        <f>HYPERLINK("https://vk.com/wall-61101621_254670?reply=254673")</f>
        <v>https://vk.com/wall-61101621_254670?reply=254673</v>
      </c>
      <c r="H1983" t="s">
        <v>119</v>
      </c>
      <c r="I1983" t="s">
        <v>7159</v>
      </c>
      <c r="J1983" t="str">
        <f>HYPERLINK("http://vk.com/id16513771")</f>
        <v>http://vk.com/id16513771</v>
      </c>
      <c r="K1983">
        <v>471</v>
      </c>
      <c r="L1983" t="s">
        <v>121</v>
      </c>
      <c r="M1983">
        <v>35</v>
      </c>
      <c r="N1983" t="s">
        <v>122</v>
      </c>
      <c r="O1983" t="s">
        <v>160</v>
      </c>
      <c r="P1983" t="str">
        <f>HYPERLINK("http://vk.com/club61101621")</f>
        <v>http://vk.com/club61101621</v>
      </c>
      <c r="Q1983">
        <v>21119</v>
      </c>
      <c r="R1983" t="s">
        <v>124</v>
      </c>
      <c r="S1983" t="s">
        <v>125</v>
      </c>
      <c r="T1983" t="s">
        <v>2388</v>
      </c>
      <c r="U1983" t="s">
        <v>7160</v>
      </c>
      <c r="W1983">
        <v>0</v>
      </c>
      <c r="X1983">
        <v>0</v>
      </c>
      <c r="AM1983" t="s">
        <v>129</v>
      </c>
      <c r="AN1983" t="s">
        <v>130</v>
      </c>
      <c r="AP1983" t="s">
        <v>41</v>
      </c>
      <c r="AY1983" t="s">
        <v>50</v>
      </c>
      <c r="AZ1983" t="s">
        <v>51</v>
      </c>
      <c r="BA1983" t="s">
        <v>52</v>
      </c>
    </row>
    <row r="1984" spans="1:69" x14ac:dyDescent="0.2">
      <c r="A1984" t="s">
        <v>6961</v>
      </c>
      <c r="B1984" t="s">
        <v>496</v>
      </c>
      <c r="C1984" t="s">
        <v>7161</v>
      </c>
      <c r="D1984" t="s">
        <v>7162</v>
      </c>
      <c r="E1984" t="s">
        <v>7163</v>
      </c>
      <c r="F1984" t="s">
        <v>118</v>
      </c>
      <c r="G1984" t="str">
        <f>HYPERLINK("https://pikabu.ru/story/po_tu_storonu_izgorodi_8346444?cid=206300235")</f>
        <v>https://pikabu.ru/story/po_tu_storonu_izgorodi_8346444?cid=206300235</v>
      </c>
      <c r="H1984" t="s">
        <v>228</v>
      </c>
      <c r="I1984" t="s">
        <v>7164</v>
      </c>
      <c r="J1984" t="str">
        <f>HYPERLINK("http://pikabu.ru/profile/inok25")</f>
        <v>http://pikabu.ru/profile/inok25</v>
      </c>
      <c r="N1984" t="s">
        <v>402</v>
      </c>
      <c r="O1984" t="s">
        <v>7164</v>
      </c>
      <c r="P1984" t="str">
        <f>HYPERLINK("http://pikabu.ru/profile/inok25")</f>
        <v>http://pikabu.ru/profile/inok25</v>
      </c>
      <c r="R1984" t="s">
        <v>404</v>
      </c>
      <c r="AM1984" t="s">
        <v>129</v>
      </c>
      <c r="AN1984" t="s">
        <v>130</v>
      </c>
      <c r="AP1984" t="s">
        <v>41</v>
      </c>
      <c r="AU1984" t="s">
        <v>46</v>
      </c>
      <c r="BA1984" t="s">
        <v>52</v>
      </c>
      <c r="BF1984" t="s">
        <v>57</v>
      </c>
    </row>
    <row r="1985" spans="1:77" x14ac:dyDescent="0.2">
      <c r="A1985" t="s">
        <v>6961</v>
      </c>
      <c r="B1985" t="s">
        <v>1054</v>
      </c>
      <c r="C1985" t="s">
        <v>7161</v>
      </c>
      <c r="D1985" t="s">
        <v>7162</v>
      </c>
      <c r="E1985" t="s">
        <v>7165</v>
      </c>
      <c r="F1985" t="s">
        <v>118</v>
      </c>
      <c r="G1985" t="str">
        <f>HYPERLINK("https://pikabu.ru/story/po_tu_storonu_izgorodi_8346444?cid=206299761")</f>
        <v>https://pikabu.ru/story/po_tu_storonu_izgorodi_8346444?cid=206299761</v>
      </c>
      <c r="H1985" t="s">
        <v>119</v>
      </c>
      <c r="I1985" t="s">
        <v>7166</v>
      </c>
      <c r="J1985" t="str">
        <f>HYPERLINK("http://pikabu.ru/profile/WayDownWeGo")</f>
        <v>http://pikabu.ru/profile/WayDownWeGo</v>
      </c>
      <c r="N1985" t="s">
        <v>402</v>
      </c>
      <c r="O1985" t="s">
        <v>7164</v>
      </c>
      <c r="P1985" t="str">
        <f>HYPERLINK("http://pikabu.ru/profile/inok25")</f>
        <v>http://pikabu.ru/profile/inok25</v>
      </c>
      <c r="R1985" t="s">
        <v>404</v>
      </c>
      <c r="AM1985" t="s">
        <v>129</v>
      </c>
      <c r="AN1985" t="s">
        <v>130</v>
      </c>
      <c r="AP1985" t="s">
        <v>41</v>
      </c>
      <c r="AZ1985" t="s">
        <v>51</v>
      </c>
      <c r="BA1985" t="s">
        <v>52</v>
      </c>
      <c r="BM1985" t="s">
        <v>64</v>
      </c>
    </row>
    <row r="1986" spans="1:77" x14ac:dyDescent="0.2">
      <c r="A1986" t="s">
        <v>6961</v>
      </c>
      <c r="B1986" t="s">
        <v>506</v>
      </c>
      <c r="C1986" t="s">
        <v>7167</v>
      </c>
      <c r="D1986" t="s">
        <v>7168</v>
      </c>
      <c r="E1986" t="s">
        <v>7169</v>
      </c>
      <c r="F1986" t="s">
        <v>180</v>
      </c>
      <c r="G1986" t="str">
        <f>HYPERLINK("https://market.yandex.ru/product/914703441/reviews?id=134672141")</f>
        <v>https://market.yandex.ru/product/914703441/reviews?id=134672141</v>
      </c>
      <c r="H1986" t="s">
        <v>181</v>
      </c>
      <c r="I1986" t="s">
        <v>287</v>
      </c>
      <c r="J1986" t="str">
        <f>HYPERLINK("https://market.yandex.ru/user/9ejemyn6xd5v0vrchd72pbh8tm/reviews")</f>
        <v>https://market.yandex.ru/user/9ejemyn6xd5v0vrchd72pbh8tm/reviews</v>
      </c>
      <c r="L1986" t="s">
        <v>151</v>
      </c>
      <c r="N1986" t="s">
        <v>611</v>
      </c>
      <c r="O1986" t="s">
        <v>7168</v>
      </c>
      <c r="P1986" t="str">
        <f>HYPERLINK("https://market.yandex.ru/product/914703441")</f>
        <v>https://market.yandex.ru/product/914703441</v>
      </c>
      <c r="R1986" t="s">
        <v>184</v>
      </c>
      <c r="S1986" t="s">
        <v>125</v>
      </c>
      <c r="T1986" t="s">
        <v>212</v>
      </c>
      <c r="U1986" t="s">
        <v>242</v>
      </c>
      <c r="W1986">
        <v>0</v>
      </c>
      <c r="X1986">
        <v>0</v>
      </c>
      <c r="AH1986">
        <v>5</v>
      </c>
      <c r="AM1986" t="s">
        <v>129</v>
      </c>
      <c r="AN1986" t="s">
        <v>130</v>
      </c>
      <c r="AP1986" t="s">
        <v>41</v>
      </c>
      <c r="AZ1986" t="s">
        <v>51</v>
      </c>
      <c r="BA1986" t="s">
        <v>52</v>
      </c>
      <c r="BK1986" t="s">
        <v>62</v>
      </c>
    </row>
    <row r="1987" spans="1:77" x14ac:dyDescent="0.2">
      <c r="A1987" t="s">
        <v>6961</v>
      </c>
      <c r="B1987" t="s">
        <v>518</v>
      </c>
      <c r="C1987" t="s">
        <v>7170</v>
      </c>
      <c r="D1987" t="s">
        <v>7171</v>
      </c>
      <c r="E1987" t="s">
        <v>7172</v>
      </c>
      <c r="F1987" t="s">
        <v>180</v>
      </c>
      <c r="G1987" t="str">
        <f>HYPERLINK("https://4pda.to/forum/index.php?showtopic=994288&amp;st=160#entry108023584")</f>
        <v>https://4pda.to/forum/index.php?showtopic=994288&amp;st=160#entry108023584</v>
      </c>
      <c r="H1987" t="s">
        <v>119</v>
      </c>
      <c r="I1987" t="s">
        <v>7173</v>
      </c>
      <c r="J1987" t="str">
        <f>HYPERLINK("https://4pda.to/forum/index.php?showuser=954014")</f>
        <v>https://4pda.to/forum/index.php?showuser=954014</v>
      </c>
      <c r="N1987" t="s">
        <v>293</v>
      </c>
      <c r="O1987" t="s">
        <v>7174</v>
      </c>
      <c r="P1987" t="str">
        <f>HYPERLINK("https://4pda.to/forum/index.php?showforum=1076")</f>
        <v>https://4pda.to/forum/index.php?showforum=1076</v>
      </c>
      <c r="R1987" t="s">
        <v>295</v>
      </c>
      <c r="S1987" t="s">
        <v>125</v>
      </c>
      <c r="AM1987" t="s">
        <v>129</v>
      </c>
      <c r="AN1987" t="s">
        <v>130</v>
      </c>
      <c r="AP1987" t="s">
        <v>41</v>
      </c>
      <c r="AW1987" t="s">
        <v>48</v>
      </c>
      <c r="AZ1987" t="s">
        <v>51</v>
      </c>
      <c r="BA1987" t="s">
        <v>52</v>
      </c>
      <c r="BL1987" t="s">
        <v>63</v>
      </c>
    </row>
    <row r="1988" spans="1:77" x14ac:dyDescent="0.2">
      <c r="A1988" t="s">
        <v>6961</v>
      </c>
      <c r="B1988" t="s">
        <v>1068</v>
      </c>
      <c r="C1988" t="s">
        <v>7175</v>
      </c>
      <c r="D1988" t="s">
        <v>6082</v>
      </c>
      <c r="E1988" t="s">
        <v>7176</v>
      </c>
      <c r="F1988" t="s">
        <v>118</v>
      </c>
      <c r="G1988" t="str">
        <f>HYPERLINK("https://vk.com/wall-59759902_290870?reply=290998&amp;thread=290871")</f>
        <v>https://vk.com/wall-59759902_290870?reply=290998&amp;thread=290871</v>
      </c>
      <c r="H1988" t="s">
        <v>228</v>
      </c>
      <c r="I1988" t="s">
        <v>7177</v>
      </c>
      <c r="J1988" t="str">
        <f>HYPERLINK("http://vk.com/id32770319")</f>
        <v>http://vk.com/id32770319</v>
      </c>
      <c r="K1988">
        <v>848</v>
      </c>
      <c r="L1988" t="s">
        <v>151</v>
      </c>
      <c r="N1988" t="s">
        <v>122</v>
      </c>
      <c r="O1988" t="s">
        <v>6084</v>
      </c>
      <c r="P1988" t="str">
        <f>HYPERLINK("http://vk.com/club59759902")</f>
        <v>http://vk.com/club59759902</v>
      </c>
      <c r="Q1988">
        <v>18596</v>
      </c>
      <c r="R1988" t="s">
        <v>124</v>
      </c>
      <c r="S1988" t="s">
        <v>125</v>
      </c>
      <c r="T1988" t="s">
        <v>1027</v>
      </c>
      <c r="U1988" t="s">
        <v>3442</v>
      </c>
      <c r="AM1988" t="s">
        <v>129</v>
      </c>
      <c r="AN1988" t="s">
        <v>130</v>
      </c>
      <c r="AP1988" t="s">
        <v>41</v>
      </c>
      <c r="AU1988" t="s">
        <v>46</v>
      </c>
      <c r="AX1988" t="s">
        <v>49</v>
      </c>
      <c r="AY1988" t="s">
        <v>50</v>
      </c>
      <c r="BA1988" t="s">
        <v>52</v>
      </c>
      <c r="BF1988" t="s">
        <v>57</v>
      </c>
    </row>
    <row r="1989" spans="1:77" x14ac:dyDescent="0.2">
      <c r="A1989" t="s">
        <v>6961</v>
      </c>
      <c r="B1989" t="s">
        <v>1085</v>
      </c>
      <c r="C1989" t="s">
        <v>7178</v>
      </c>
      <c r="D1989" t="s">
        <v>7179</v>
      </c>
      <c r="E1989" t="s">
        <v>7180</v>
      </c>
      <c r="F1989" t="s">
        <v>118</v>
      </c>
      <c r="G1989" t="str">
        <f>HYPERLINK("https://otzovik.com/review_12164109.html#89943734")</f>
        <v>https://otzovik.com/review_12164109.html#89943734</v>
      </c>
      <c r="H1989" t="s">
        <v>119</v>
      </c>
      <c r="I1989" t="s">
        <v>1565</v>
      </c>
      <c r="J1989" t="str">
        <f>HYPERLINK("http://otzovik.com/profile/Tricolor+support")</f>
        <v>http://otzovik.com/profile/Tricolor+support</v>
      </c>
      <c r="N1989" t="s">
        <v>390</v>
      </c>
      <c r="O1989" t="s">
        <v>7181</v>
      </c>
      <c r="P1989" t="str">
        <f>HYPERLINK("https://otzovik.com/reviews/sputnikoviy_resiver_general_satellite_u510_trikolor_tv/")</f>
        <v>https://otzovik.com/reviews/sputnikoviy_resiver_general_satellite_u510_trikolor_tv/</v>
      </c>
      <c r="R1989" t="s">
        <v>184</v>
      </c>
      <c r="S1989" t="s">
        <v>125</v>
      </c>
      <c r="AM1989" t="s">
        <v>129</v>
      </c>
      <c r="AN1989" t="s">
        <v>130</v>
      </c>
      <c r="BI1989" t="s">
        <v>60</v>
      </c>
    </row>
    <row r="1990" spans="1:77" x14ac:dyDescent="0.2">
      <c r="A1990" t="s">
        <v>6961</v>
      </c>
      <c r="B1990" t="s">
        <v>535</v>
      </c>
      <c r="C1990" t="s">
        <v>7182</v>
      </c>
      <c r="D1990" t="s">
        <v>6416</v>
      </c>
      <c r="E1990" t="s">
        <v>7183</v>
      </c>
      <c r="F1990" t="s">
        <v>118</v>
      </c>
      <c r="G1990" t="str">
        <f>HYPERLINK("https://vk.com/wall-61101621_254670?reply=254672")</f>
        <v>https://vk.com/wall-61101621_254670?reply=254672</v>
      </c>
      <c r="H1990" t="s">
        <v>119</v>
      </c>
      <c r="I1990" t="s">
        <v>6303</v>
      </c>
      <c r="J1990" t="str">
        <f>HYPERLINK("http://vk.com/id545861987")</f>
        <v>http://vk.com/id545861987</v>
      </c>
      <c r="K1990">
        <v>22</v>
      </c>
      <c r="L1990" t="s">
        <v>121</v>
      </c>
      <c r="M1990">
        <v>50</v>
      </c>
      <c r="N1990" t="s">
        <v>122</v>
      </c>
      <c r="O1990" t="s">
        <v>160</v>
      </c>
      <c r="P1990" t="str">
        <f>HYPERLINK("http://vk.com/club61101621")</f>
        <v>http://vk.com/club61101621</v>
      </c>
      <c r="Q1990">
        <v>21119</v>
      </c>
      <c r="R1990" t="s">
        <v>124</v>
      </c>
      <c r="S1990" t="s">
        <v>125</v>
      </c>
      <c r="T1990" t="s">
        <v>989</v>
      </c>
      <c r="U1990" t="s">
        <v>990</v>
      </c>
      <c r="W1990">
        <v>0</v>
      </c>
      <c r="X1990">
        <v>0</v>
      </c>
      <c r="AM1990" t="s">
        <v>129</v>
      </c>
      <c r="AN1990" t="s">
        <v>130</v>
      </c>
      <c r="AP1990" t="s">
        <v>41</v>
      </c>
      <c r="AY1990" t="s">
        <v>50</v>
      </c>
      <c r="AZ1990" t="s">
        <v>51</v>
      </c>
      <c r="BA1990" t="s">
        <v>52</v>
      </c>
    </row>
    <row r="1991" spans="1:77" x14ac:dyDescent="0.2">
      <c r="A1991" t="s">
        <v>6961</v>
      </c>
      <c r="B1991" t="s">
        <v>1678</v>
      </c>
      <c r="C1991" t="s">
        <v>7184</v>
      </c>
      <c r="D1991" t="s">
        <v>6801</v>
      </c>
      <c r="E1991" t="s">
        <v>7185</v>
      </c>
      <c r="F1991" t="s">
        <v>118</v>
      </c>
      <c r="G1991" t="str">
        <f>HYPERLINK("https://vk.com/wall-27863223_291831?w=wall-27863223_291831_r291837")</f>
        <v>https://vk.com/wall-27863223_291831?w=wall-27863223_291831_r291837</v>
      </c>
      <c r="H1991" t="s">
        <v>119</v>
      </c>
      <c r="I1991" t="s">
        <v>254</v>
      </c>
      <c r="J1991" t="str">
        <f>HYPERLINK("http://vk.com/id286061518")</f>
        <v>http://vk.com/id286061518</v>
      </c>
      <c r="K1991">
        <v>5170</v>
      </c>
      <c r="L1991" t="s">
        <v>121</v>
      </c>
      <c r="M1991">
        <v>34</v>
      </c>
      <c r="N1991" t="s">
        <v>122</v>
      </c>
      <c r="O1991" t="s">
        <v>175</v>
      </c>
      <c r="P1991" t="str">
        <f>HYPERLINK("http://vk.com/club27863223")</f>
        <v>http://vk.com/club27863223</v>
      </c>
      <c r="Q1991">
        <v>134698</v>
      </c>
      <c r="R1991" t="s">
        <v>124</v>
      </c>
      <c r="S1991" t="s">
        <v>125</v>
      </c>
      <c r="T1991" t="s">
        <v>256</v>
      </c>
      <c r="U1991" t="s">
        <v>257</v>
      </c>
      <c r="W1991">
        <v>0</v>
      </c>
      <c r="X1991">
        <v>0</v>
      </c>
      <c r="AM1991" t="s">
        <v>129</v>
      </c>
      <c r="AN1991" t="s">
        <v>130</v>
      </c>
      <c r="AP1991" t="s">
        <v>41</v>
      </c>
      <c r="AU1991" t="s">
        <v>46</v>
      </c>
      <c r="AZ1991" t="s">
        <v>51</v>
      </c>
      <c r="BA1991" t="s">
        <v>52</v>
      </c>
    </row>
    <row r="1992" spans="1:77" x14ac:dyDescent="0.2">
      <c r="A1992" t="s">
        <v>6961</v>
      </c>
      <c r="B1992" t="s">
        <v>565</v>
      </c>
      <c r="C1992" t="s">
        <v>7184</v>
      </c>
      <c r="D1992" t="s">
        <v>6053</v>
      </c>
      <c r="E1992" t="s">
        <v>7186</v>
      </c>
      <c r="F1992" t="s">
        <v>118</v>
      </c>
      <c r="G1992" t="str">
        <f>HYPERLINK("https://vk.com/wall-22935147_368378?reply=368407")</f>
        <v>https://vk.com/wall-22935147_368378?reply=368407</v>
      </c>
      <c r="H1992" t="s">
        <v>119</v>
      </c>
      <c r="I1992" t="s">
        <v>7187</v>
      </c>
      <c r="J1992" t="str">
        <f>HYPERLINK("http://vk.com/id231895984")</f>
        <v>http://vk.com/id231895984</v>
      </c>
      <c r="K1992">
        <v>25</v>
      </c>
      <c r="L1992" t="s">
        <v>121</v>
      </c>
      <c r="M1992">
        <v>67</v>
      </c>
      <c r="N1992" t="s">
        <v>122</v>
      </c>
      <c r="O1992" t="s">
        <v>1093</v>
      </c>
      <c r="P1992" t="str">
        <f>HYPERLINK("http://vk.com/club22935147")</f>
        <v>http://vk.com/club22935147</v>
      </c>
      <c r="Q1992">
        <v>8943</v>
      </c>
      <c r="R1992" t="s">
        <v>124</v>
      </c>
      <c r="S1992" t="s">
        <v>1884</v>
      </c>
      <c r="W1992">
        <v>0</v>
      </c>
      <c r="X1992">
        <v>0</v>
      </c>
      <c r="AM1992" t="s">
        <v>129</v>
      </c>
      <c r="AN1992" t="s">
        <v>130</v>
      </c>
      <c r="AP1992" t="s">
        <v>41</v>
      </c>
      <c r="AW1992" t="s">
        <v>48</v>
      </c>
      <c r="AZ1992" t="s">
        <v>51</v>
      </c>
      <c r="BA1992" t="s">
        <v>52</v>
      </c>
      <c r="BL1992" t="s">
        <v>63</v>
      </c>
    </row>
    <row r="1993" spans="1:77" x14ac:dyDescent="0.2">
      <c r="A1993" t="s">
        <v>6961</v>
      </c>
      <c r="B1993" t="s">
        <v>5821</v>
      </c>
      <c r="C1993" t="s">
        <v>7184</v>
      </c>
      <c r="D1993" t="s">
        <v>6801</v>
      </c>
      <c r="E1993" t="s">
        <v>7188</v>
      </c>
      <c r="F1993" t="s">
        <v>118</v>
      </c>
      <c r="G1993" t="str">
        <f>HYPERLINK("https://vk.com/wall-27863223_291831?reply=291835")</f>
        <v>https://vk.com/wall-27863223_291831?reply=291835</v>
      </c>
      <c r="H1993" t="s">
        <v>119</v>
      </c>
      <c r="I1993" t="s">
        <v>254</v>
      </c>
      <c r="J1993" t="str">
        <f>HYPERLINK("http://vk.com/id286061518")</f>
        <v>http://vk.com/id286061518</v>
      </c>
      <c r="K1993">
        <v>5170</v>
      </c>
      <c r="L1993" t="s">
        <v>121</v>
      </c>
      <c r="M1993">
        <v>34</v>
      </c>
      <c r="N1993" t="s">
        <v>122</v>
      </c>
      <c r="O1993" t="s">
        <v>175</v>
      </c>
      <c r="P1993" t="str">
        <f>HYPERLINK("http://vk.com/club27863223")</f>
        <v>http://vk.com/club27863223</v>
      </c>
      <c r="Q1993">
        <v>134698</v>
      </c>
      <c r="R1993" t="s">
        <v>124</v>
      </c>
      <c r="S1993" t="s">
        <v>125</v>
      </c>
      <c r="T1993" t="s">
        <v>256</v>
      </c>
      <c r="U1993" t="s">
        <v>257</v>
      </c>
      <c r="W1993">
        <v>0</v>
      </c>
      <c r="X1993">
        <v>0</v>
      </c>
      <c r="AM1993" t="s">
        <v>129</v>
      </c>
      <c r="AN1993" t="s">
        <v>130</v>
      </c>
      <c r="AP1993" t="s">
        <v>41</v>
      </c>
      <c r="BA1993" t="s">
        <v>52</v>
      </c>
      <c r="BE1993" t="s">
        <v>56</v>
      </c>
      <c r="BY1993" t="s">
        <v>76</v>
      </c>
    </row>
    <row r="1994" spans="1:77" x14ac:dyDescent="0.2">
      <c r="A1994" t="s">
        <v>6961</v>
      </c>
      <c r="B1994" t="s">
        <v>2713</v>
      </c>
      <c r="C1994" t="s">
        <v>7189</v>
      </c>
      <c r="D1994" t="s">
        <v>6416</v>
      </c>
      <c r="E1994" t="s">
        <v>7190</v>
      </c>
      <c r="F1994" t="s">
        <v>118</v>
      </c>
      <c r="G1994" t="str">
        <f>HYPERLINK("https://vk.com/wall-61101621_254670?reply=254671")</f>
        <v>https://vk.com/wall-61101621_254670?reply=254671</v>
      </c>
      <c r="H1994" t="s">
        <v>119</v>
      </c>
      <c r="I1994" t="s">
        <v>7191</v>
      </c>
      <c r="J1994" t="str">
        <f>HYPERLINK("http://vk.com/id186069646")</f>
        <v>http://vk.com/id186069646</v>
      </c>
      <c r="K1994">
        <v>702</v>
      </c>
      <c r="L1994" t="s">
        <v>121</v>
      </c>
      <c r="M1994">
        <v>24</v>
      </c>
      <c r="N1994" t="s">
        <v>122</v>
      </c>
      <c r="O1994" t="s">
        <v>160</v>
      </c>
      <c r="P1994" t="str">
        <f>HYPERLINK("http://vk.com/club61101621")</f>
        <v>http://vk.com/club61101621</v>
      </c>
      <c r="Q1994">
        <v>21119</v>
      </c>
      <c r="R1994" t="s">
        <v>124</v>
      </c>
      <c r="S1994" t="s">
        <v>125</v>
      </c>
      <c r="W1994">
        <v>0</v>
      </c>
      <c r="X1994">
        <v>0</v>
      </c>
      <c r="AM1994" t="s">
        <v>129</v>
      </c>
      <c r="AN1994" t="s">
        <v>130</v>
      </c>
      <c r="AP1994" t="s">
        <v>41</v>
      </c>
      <c r="AY1994" t="s">
        <v>50</v>
      </c>
      <c r="AZ1994" t="s">
        <v>51</v>
      </c>
      <c r="BA1994" t="s">
        <v>52</v>
      </c>
    </row>
    <row r="1995" spans="1:77" x14ac:dyDescent="0.2">
      <c r="A1995" t="s">
        <v>6961</v>
      </c>
      <c r="B1995" t="s">
        <v>6495</v>
      </c>
      <c r="C1995" t="s">
        <v>7189</v>
      </c>
      <c r="D1995" t="s">
        <v>129</v>
      </c>
      <c r="E1995" t="s">
        <v>7192</v>
      </c>
      <c r="F1995" t="s">
        <v>180</v>
      </c>
      <c r="G1995" t="str">
        <f>HYPERLINK("https://vk.com/wall-61101621_254670")</f>
        <v>https://vk.com/wall-61101621_254670</v>
      </c>
      <c r="H1995" t="s">
        <v>119</v>
      </c>
      <c r="I1995" t="s">
        <v>7193</v>
      </c>
      <c r="J1995" t="str">
        <f>HYPERLINK("http://vk.com/id437063164")</f>
        <v>http://vk.com/id437063164</v>
      </c>
      <c r="K1995">
        <v>9</v>
      </c>
      <c r="L1995" t="s">
        <v>151</v>
      </c>
      <c r="N1995" t="s">
        <v>122</v>
      </c>
      <c r="O1995" t="s">
        <v>160</v>
      </c>
      <c r="P1995" t="str">
        <f>HYPERLINK("http://vk.com/club61101621")</f>
        <v>http://vk.com/club61101621</v>
      </c>
      <c r="Q1995">
        <v>21119</v>
      </c>
      <c r="R1995" t="s">
        <v>124</v>
      </c>
      <c r="S1995" t="s">
        <v>125</v>
      </c>
      <c r="W1995">
        <v>2</v>
      </c>
      <c r="X1995">
        <v>2</v>
      </c>
      <c r="AE1995">
        <v>6</v>
      </c>
      <c r="AF1995">
        <v>0</v>
      </c>
      <c r="AG1995">
        <v>1840</v>
      </c>
      <c r="AM1995" t="s">
        <v>129</v>
      </c>
      <c r="AN1995" t="s">
        <v>130</v>
      </c>
      <c r="AP1995" t="s">
        <v>41</v>
      </c>
      <c r="AY1995" t="s">
        <v>50</v>
      </c>
      <c r="AZ1995" t="s">
        <v>51</v>
      </c>
      <c r="BA1995" t="s">
        <v>52</v>
      </c>
    </row>
    <row r="1996" spans="1:77" x14ac:dyDescent="0.2">
      <c r="A1996" t="s">
        <v>6961</v>
      </c>
      <c r="B1996" t="s">
        <v>2154</v>
      </c>
      <c r="C1996" t="s">
        <v>7194</v>
      </c>
      <c r="D1996" t="s">
        <v>7195</v>
      </c>
      <c r="E1996" t="s">
        <v>7196</v>
      </c>
      <c r="F1996" t="s">
        <v>180</v>
      </c>
      <c r="G1996" t="str">
        <f>HYPERLINK("https://obob.tv/obzory-rynkov/v-evrope-zasomnevalis-v-yekonomichesk/")</f>
        <v>https://obob.tv/obzory-rynkov/v-evrope-zasomnevalis-v-yekonomichesk/</v>
      </c>
      <c r="H1996" t="s">
        <v>119</v>
      </c>
      <c r="N1996" t="s">
        <v>7197</v>
      </c>
      <c r="R1996" t="s">
        <v>785</v>
      </c>
      <c r="S1996" t="s">
        <v>125</v>
      </c>
      <c r="AJ1996" t="s">
        <v>7198</v>
      </c>
      <c r="AK1996" t="s">
        <v>129</v>
      </c>
      <c r="AL1996" t="str">
        <f>HYPERLINK("https://obob.tv/wp-content/uploads/2021/07/8ktv-plus-51196339.jpg")</f>
        <v>https://obob.tv/wp-content/uploads/2021/07/8ktv-plus-51196339.jpg</v>
      </c>
      <c r="AM1996" t="s">
        <v>129</v>
      </c>
      <c r="AN1996" t="s">
        <v>130</v>
      </c>
      <c r="AV1996" t="s">
        <v>47</v>
      </c>
    </row>
    <row r="1997" spans="1:77" x14ac:dyDescent="0.2">
      <c r="A1997" t="s">
        <v>6961</v>
      </c>
      <c r="B1997" t="s">
        <v>7199</v>
      </c>
      <c r="C1997" t="s">
        <v>7200</v>
      </c>
      <c r="D1997" t="s">
        <v>1336</v>
      </c>
      <c r="E1997" t="s">
        <v>7201</v>
      </c>
      <c r="F1997" t="s">
        <v>118</v>
      </c>
      <c r="G1997" t="str">
        <f>HYPERLINK("https://www.youtube.com/watch?v=XSvUHFcHCNU&amp;lc=UgzJCCzaOM7n6r8I20h4AaABAg")</f>
        <v>https://www.youtube.com/watch?v=XSvUHFcHCNU&amp;lc=UgzJCCzaOM7n6r8I20h4AaABAg</v>
      </c>
      <c r="H1997" t="s">
        <v>181</v>
      </c>
      <c r="I1997" t="s">
        <v>7202</v>
      </c>
      <c r="J1997" t="str">
        <f>HYPERLINK("https://www.youtube.com/channel/UCOOGhSRsjZwcu_IqSFuC5Vw")</f>
        <v>https://www.youtube.com/channel/UCOOGhSRsjZwcu_IqSFuC5Vw</v>
      </c>
      <c r="K1997">
        <v>0</v>
      </c>
      <c r="N1997" t="s">
        <v>248</v>
      </c>
      <c r="O1997" t="s">
        <v>1338</v>
      </c>
      <c r="P1997" t="str">
        <f>HYPERLINK("https://www.youtube.com/channel/UCbGvxMcJgZWpeT0ymfG7-RQ")</f>
        <v>https://www.youtube.com/channel/UCbGvxMcJgZWpeT0ymfG7-RQ</v>
      </c>
      <c r="Q1997">
        <v>818</v>
      </c>
      <c r="R1997" t="s">
        <v>124</v>
      </c>
      <c r="W1997">
        <v>0</v>
      </c>
      <c r="X1997">
        <v>0</v>
      </c>
      <c r="AE1997">
        <v>1</v>
      </c>
      <c r="AM1997" t="s">
        <v>129</v>
      </c>
      <c r="AN1997" t="s">
        <v>130</v>
      </c>
      <c r="AP1997" t="s">
        <v>41</v>
      </c>
      <c r="AZ1997" t="s">
        <v>51</v>
      </c>
      <c r="BA1997" t="s">
        <v>52</v>
      </c>
      <c r="BL1997" t="s">
        <v>63</v>
      </c>
    </row>
    <row r="1998" spans="1:77" x14ac:dyDescent="0.2">
      <c r="A1998" t="s">
        <v>6961</v>
      </c>
      <c r="B1998" t="s">
        <v>617</v>
      </c>
      <c r="C1998" t="s">
        <v>7203</v>
      </c>
      <c r="D1998" t="s">
        <v>7204</v>
      </c>
      <c r="E1998" t="s">
        <v>7205</v>
      </c>
      <c r="F1998" t="s">
        <v>118</v>
      </c>
      <c r="G1998" t="str">
        <f>HYPERLINK("https://vk.com/wall-69750169_327037?reply=327077&amp;thread=327039")</f>
        <v>https://vk.com/wall-69750169_327037?reply=327077&amp;thread=327039</v>
      </c>
      <c r="H1998" t="s">
        <v>119</v>
      </c>
      <c r="I1998" t="s">
        <v>7206</v>
      </c>
      <c r="J1998" t="str">
        <f>HYPERLINK("http://vk.com/id27553020")</f>
        <v>http://vk.com/id27553020</v>
      </c>
      <c r="K1998">
        <v>989</v>
      </c>
      <c r="L1998" t="s">
        <v>121</v>
      </c>
      <c r="N1998" t="s">
        <v>122</v>
      </c>
      <c r="O1998" t="s">
        <v>7207</v>
      </c>
      <c r="P1998" t="str">
        <f>HYPERLINK("http://vk.com/club69750169")</f>
        <v>http://vk.com/club69750169</v>
      </c>
      <c r="Q1998">
        <v>297477</v>
      </c>
      <c r="R1998" t="s">
        <v>124</v>
      </c>
      <c r="S1998" t="s">
        <v>125</v>
      </c>
      <c r="AM1998" t="s">
        <v>129</v>
      </c>
      <c r="AN1998" t="s">
        <v>130</v>
      </c>
      <c r="AP1998" t="s">
        <v>41</v>
      </c>
      <c r="AT1998" t="s">
        <v>45</v>
      </c>
      <c r="AZ1998" t="s">
        <v>51</v>
      </c>
      <c r="BA1998" t="s">
        <v>52</v>
      </c>
      <c r="BM1998" t="s">
        <v>64</v>
      </c>
    </row>
    <row r="1999" spans="1:77" x14ac:dyDescent="0.2">
      <c r="A1999" t="s">
        <v>6961</v>
      </c>
      <c r="B1999" t="s">
        <v>639</v>
      </c>
      <c r="C1999" t="s">
        <v>5598</v>
      </c>
      <c r="D1999" t="s">
        <v>3482</v>
      </c>
      <c r="E1999" t="s">
        <v>7208</v>
      </c>
      <c r="F1999" t="s">
        <v>180</v>
      </c>
      <c r="G1999" t="str">
        <f>HYPERLINK("https://www.ozon.ru/context/detail/id/177837462/#59789842")</f>
        <v>https://www.ozon.ru/context/detail/id/177837462/#59789842</v>
      </c>
      <c r="H1999" t="s">
        <v>181</v>
      </c>
      <c r="I1999" t="s">
        <v>1213</v>
      </c>
      <c r="J1999" t="str">
        <f>HYPERLINK("https://www.ozon.ru/context/client_opinion/ClientGuid/fad5d948-0270-410d-a919-84e712f4952c/")</f>
        <v>https://www.ozon.ru/context/client_opinion/ClientGuid/fad5d948-0270-410d-a919-84e712f4952c/</v>
      </c>
      <c r="L1999" t="s">
        <v>151</v>
      </c>
      <c r="N1999" t="s">
        <v>183</v>
      </c>
      <c r="O1999" t="s">
        <v>3482</v>
      </c>
      <c r="P1999" t="str">
        <f>HYPERLINK("https://www.ozon.ru/context/detail/id/177837462/")</f>
        <v>https://www.ozon.ru/context/detail/id/177837462/</v>
      </c>
      <c r="R1999" t="s">
        <v>184</v>
      </c>
      <c r="S1999" t="s">
        <v>125</v>
      </c>
      <c r="W1999">
        <v>0</v>
      </c>
      <c r="X1999">
        <v>0</v>
      </c>
      <c r="AH1999">
        <v>5</v>
      </c>
      <c r="AM1999" t="s">
        <v>129</v>
      </c>
      <c r="AN1999" t="s">
        <v>130</v>
      </c>
      <c r="AP1999" t="s">
        <v>41</v>
      </c>
      <c r="AZ1999" t="s">
        <v>51</v>
      </c>
      <c r="BA1999" t="s">
        <v>52</v>
      </c>
      <c r="BK1999" t="s">
        <v>62</v>
      </c>
      <c r="BL1999" t="s">
        <v>63</v>
      </c>
    </row>
    <row r="2000" spans="1:77" x14ac:dyDescent="0.2">
      <c r="A2000" t="s">
        <v>6961</v>
      </c>
      <c r="B2000" t="s">
        <v>647</v>
      </c>
      <c r="C2000" t="s">
        <v>7209</v>
      </c>
      <c r="D2000" t="s">
        <v>7210</v>
      </c>
      <c r="E2000" t="s">
        <v>7211</v>
      </c>
      <c r="F2000" t="s">
        <v>180</v>
      </c>
      <c r="G2000" t="str">
        <f>HYPERLINK("https://4pda.to/forum/index.php?showtopic=903473&amp;st=17620#entry108020304")</f>
        <v>https://4pda.to/forum/index.php?showtopic=903473&amp;st=17620#entry108020304</v>
      </c>
      <c r="H2000" t="s">
        <v>119</v>
      </c>
      <c r="I2000" t="s">
        <v>7212</v>
      </c>
      <c r="J2000" t="str">
        <f>HYPERLINK("https://4pda.to/forum/index.php?showuser=927781")</f>
        <v>https://4pda.to/forum/index.php?showuser=927781</v>
      </c>
      <c r="N2000" t="s">
        <v>293</v>
      </c>
      <c r="O2000" t="s">
        <v>1189</v>
      </c>
      <c r="P2000" t="str">
        <f>HYPERLINK("https://4pda.to/forum/index.php?showforum=319")</f>
        <v>https://4pda.to/forum/index.php?showforum=319</v>
      </c>
      <c r="R2000" t="s">
        <v>295</v>
      </c>
      <c r="S2000" t="s">
        <v>125</v>
      </c>
      <c r="AM2000" t="s">
        <v>129</v>
      </c>
      <c r="AN2000" t="s">
        <v>130</v>
      </c>
      <c r="AP2000" t="s">
        <v>41</v>
      </c>
      <c r="AZ2000" t="s">
        <v>51</v>
      </c>
      <c r="BA2000" t="s">
        <v>52</v>
      </c>
      <c r="BQ2000" t="s">
        <v>68</v>
      </c>
    </row>
    <row r="2001" spans="1:69" x14ac:dyDescent="0.2">
      <c r="A2001" t="s">
        <v>6961</v>
      </c>
      <c r="B2001" t="s">
        <v>4449</v>
      </c>
      <c r="C2001" t="s">
        <v>7213</v>
      </c>
      <c r="D2001" t="s">
        <v>7214</v>
      </c>
      <c r="E2001" t="s">
        <v>7215</v>
      </c>
      <c r="F2001" t="s">
        <v>118</v>
      </c>
      <c r="G2001" t="str">
        <f>HYPERLINK("http://forum.ixbt.com/topic.cgi?id=73:5554-63#post22")</f>
        <v>http://forum.ixbt.com/topic.cgi?id=73:5554-63#post22</v>
      </c>
      <c r="H2001" t="s">
        <v>119</v>
      </c>
      <c r="I2001" t="s">
        <v>7216</v>
      </c>
      <c r="J2001" t="str">
        <f>HYPERLINK("http://forum.ixbt.com/topic.cgi?id=73:5554-63#post22")</f>
        <v>http://forum.ixbt.com/topic.cgi?id=73:5554-63#post22</v>
      </c>
      <c r="N2001" t="s">
        <v>1763</v>
      </c>
      <c r="O2001" t="s">
        <v>7217</v>
      </c>
      <c r="P2001" t="str">
        <f>HYPERLINK("https://forum.ixbt.com/?id=73")</f>
        <v>https://forum.ixbt.com/?id=73</v>
      </c>
      <c r="R2001" t="s">
        <v>295</v>
      </c>
      <c r="S2001" t="s">
        <v>125</v>
      </c>
      <c r="AM2001" t="s">
        <v>129</v>
      </c>
      <c r="AN2001" t="s">
        <v>130</v>
      </c>
      <c r="AP2001" t="s">
        <v>41</v>
      </c>
      <c r="AU2001" t="s">
        <v>46</v>
      </c>
      <c r="AY2001" t="s">
        <v>50</v>
      </c>
      <c r="AZ2001" t="s">
        <v>51</v>
      </c>
      <c r="BA2001" t="s">
        <v>52</v>
      </c>
    </row>
    <row r="2002" spans="1:69" x14ac:dyDescent="0.2">
      <c r="A2002" t="s">
        <v>6961</v>
      </c>
      <c r="B2002" t="s">
        <v>2765</v>
      </c>
      <c r="C2002" t="s">
        <v>7218</v>
      </c>
      <c r="D2002" t="s">
        <v>7219</v>
      </c>
      <c r="E2002" t="s">
        <v>7220</v>
      </c>
      <c r="F2002" t="s">
        <v>180</v>
      </c>
      <c r="G2002" t="str">
        <f>HYPERLINK("https://4pda.to/forum/index.php?showtopic=875453&amp;st=13280#entry108019563")</f>
        <v>https://4pda.to/forum/index.php?showtopic=875453&amp;st=13280#entry108019563</v>
      </c>
      <c r="H2002" t="s">
        <v>119</v>
      </c>
      <c r="I2002" t="s">
        <v>7221</v>
      </c>
      <c r="J2002" t="str">
        <f>HYPERLINK("https://4pda.to/forum/index.php?showuser=2509709")</f>
        <v>https://4pda.to/forum/index.php?showuser=2509709</v>
      </c>
      <c r="N2002" t="s">
        <v>293</v>
      </c>
      <c r="O2002" t="s">
        <v>901</v>
      </c>
      <c r="P2002" t="str">
        <f>HYPERLINK("https://4pda.to/forum/index.php?showforum=876")</f>
        <v>https://4pda.to/forum/index.php?showforum=876</v>
      </c>
      <c r="R2002" t="s">
        <v>295</v>
      </c>
      <c r="S2002" t="s">
        <v>125</v>
      </c>
      <c r="AM2002" t="s">
        <v>129</v>
      </c>
      <c r="AN2002" t="s">
        <v>130</v>
      </c>
      <c r="AP2002" t="s">
        <v>41</v>
      </c>
      <c r="AT2002" t="s">
        <v>45</v>
      </c>
      <c r="AZ2002" t="s">
        <v>51</v>
      </c>
      <c r="BA2002" t="s">
        <v>52</v>
      </c>
      <c r="BL2002" t="s">
        <v>63</v>
      </c>
    </row>
    <row r="2003" spans="1:69" x14ac:dyDescent="0.2">
      <c r="A2003" t="s">
        <v>6961</v>
      </c>
      <c r="B2003" t="s">
        <v>7222</v>
      </c>
      <c r="C2003" t="s">
        <v>7223</v>
      </c>
      <c r="D2003" t="s">
        <v>6885</v>
      </c>
      <c r="E2003" t="s">
        <v>7224</v>
      </c>
      <c r="F2003" t="s">
        <v>118</v>
      </c>
      <c r="G2003" t="str">
        <f>HYPERLINK("https://vk.com/wall-22935147_368400?reply=368406")</f>
        <v>https://vk.com/wall-22935147_368400?reply=368406</v>
      </c>
      <c r="H2003" t="s">
        <v>119</v>
      </c>
      <c r="I2003" t="s">
        <v>5325</v>
      </c>
      <c r="J2003" t="str">
        <f>HYPERLINK("http://vk.com/id657910898")</f>
        <v>http://vk.com/id657910898</v>
      </c>
      <c r="L2003" t="s">
        <v>121</v>
      </c>
      <c r="M2003">
        <v>46</v>
      </c>
      <c r="N2003" t="s">
        <v>122</v>
      </c>
      <c r="O2003" t="s">
        <v>1093</v>
      </c>
      <c r="P2003" t="str">
        <f>HYPERLINK("http://vk.com/club22935147")</f>
        <v>http://vk.com/club22935147</v>
      </c>
      <c r="Q2003">
        <v>8943</v>
      </c>
      <c r="R2003" t="s">
        <v>124</v>
      </c>
      <c r="S2003" t="s">
        <v>125</v>
      </c>
      <c r="T2003" t="s">
        <v>169</v>
      </c>
      <c r="U2003" t="s">
        <v>169</v>
      </c>
      <c r="W2003">
        <v>0</v>
      </c>
      <c r="X2003">
        <v>0</v>
      </c>
      <c r="AM2003" t="s">
        <v>129</v>
      </c>
      <c r="AN2003" t="s">
        <v>130</v>
      </c>
      <c r="AP2003" t="s">
        <v>41</v>
      </c>
      <c r="AU2003" t="s">
        <v>46</v>
      </c>
      <c r="AZ2003" t="s">
        <v>51</v>
      </c>
      <c r="BA2003" t="s">
        <v>52</v>
      </c>
    </row>
    <row r="2004" spans="1:69" x14ac:dyDescent="0.2">
      <c r="A2004" t="s">
        <v>6961</v>
      </c>
      <c r="B2004" t="s">
        <v>2800</v>
      </c>
      <c r="C2004" t="s">
        <v>7225</v>
      </c>
      <c r="D2004" t="s">
        <v>7070</v>
      </c>
      <c r="E2004" t="s">
        <v>7226</v>
      </c>
      <c r="F2004" t="s">
        <v>180</v>
      </c>
      <c r="G2004" t="str">
        <f>HYPERLINK("https://telesputnik.ru/forum/viewtopic.php?f=36&amp;t=49124&amp;start=1140#p2480859")</f>
        <v>https://telesputnik.ru/forum/viewtopic.php?f=36&amp;t=49124&amp;start=1140#p2480859</v>
      </c>
      <c r="H2004" t="s">
        <v>119</v>
      </c>
      <c r="I2004" t="s">
        <v>7227</v>
      </c>
      <c r="J2004" t="str">
        <f>HYPERLINK("https://telesputnik.ru/forum/memberlist.php?mode=viewprofile&amp;u=53104")</f>
        <v>https://telesputnik.ru/forum/memberlist.php?mode=viewprofile&amp;u=53104</v>
      </c>
      <c r="N2004" t="s">
        <v>335</v>
      </c>
      <c r="O2004" t="s">
        <v>909</v>
      </c>
      <c r="P2004" t="str">
        <f>HYPERLINK("https://telesputnik.ru/forum/viewforum.php?f=36")</f>
        <v>https://telesputnik.ru/forum/viewforum.php?f=36</v>
      </c>
      <c r="R2004" t="s">
        <v>295</v>
      </c>
      <c r="S2004" t="s">
        <v>125</v>
      </c>
      <c r="T2004" t="s">
        <v>169</v>
      </c>
      <c r="U2004" t="s">
        <v>169</v>
      </c>
      <c r="AM2004" t="s">
        <v>129</v>
      </c>
      <c r="AN2004" t="s">
        <v>130</v>
      </c>
      <c r="AP2004" t="s">
        <v>41</v>
      </c>
      <c r="AU2004" t="s">
        <v>46</v>
      </c>
      <c r="AZ2004" t="s">
        <v>51</v>
      </c>
      <c r="BA2004" t="s">
        <v>52</v>
      </c>
    </row>
    <row r="2005" spans="1:69" x14ac:dyDescent="0.2">
      <c r="A2005" t="s">
        <v>6961</v>
      </c>
      <c r="B2005" t="s">
        <v>6531</v>
      </c>
      <c r="C2005" t="s">
        <v>7228</v>
      </c>
      <c r="D2005" t="s">
        <v>7229</v>
      </c>
      <c r="E2005" t="s">
        <v>7230</v>
      </c>
      <c r="F2005" t="s">
        <v>118</v>
      </c>
      <c r="G2005" t="str">
        <f>HYPERLINK("https://www.facebook.com/groups/907056382663427/permalink/4187462624622770/?comment_id=4188305601205139&amp;reply_comment_id=4188695157832850")</f>
        <v>https://www.facebook.com/groups/907056382663427/permalink/4187462624622770/?comment_id=4188305601205139&amp;reply_comment_id=4188695157832850</v>
      </c>
      <c r="H2005" t="s">
        <v>228</v>
      </c>
      <c r="I2005" t="s">
        <v>7231</v>
      </c>
      <c r="J2005" t="str">
        <f>HYPERLINK("https://www.facebook.com/100004664641819")</f>
        <v>https://www.facebook.com/100004664641819</v>
      </c>
      <c r="K2005">
        <v>682</v>
      </c>
      <c r="L2005" t="s">
        <v>151</v>
      </c>
      <c r="N2005" t="s">
        <v>305</v>
      </c>
      <c r="O2005" t="s">
        <v>7232</v>
      </c>
      <c r="P2005" t="str">
        <f>HYPERLINK("https://www.facebook.com/907056382663427")</f>
        <v>https://www.facebook.com/907056382663427</v>
      </c>
      <c r="Q2005">
        <v>3088</v>
      </c>
      <c r="R2005" t="s">
        <v>124</v>
      </c>
      <c r="S2005" t="s">
        <v>125</v>
      </c>
      <c r="T2005" t="s">
        <v>169</v>
      </c>
      <c r="U2005" t="s">
        <v>169</v>
      </c>
      <c r="W2005">
        <v>0</v>
      </c>
      <c r="X2005">
        <v>0</v>
      </c>
      <c r="AE2005">
        <v>0</v>
      </c>
      <c r="AM2005" t="s">
        <v>129</v>
      </c>
      <c r="AN2005" t="s">
        <v>130</v>
      </c>
      <c r="AP2005" t="s">
        <v>41</v>
      </c>
      <c r="AW2005" t="s">
        <v>48</v>
      </c>
      <c r="BA2005" t="s">
        <v>52</v>
      </c>
      <c r="BF2005" t="s">
        <v>57</v>
      </c>
    </row>
    <row r="2006" spans="1:69" x14ac:dyDescent="0.2">
      <c r="A2006" t="s">
        <v>6961</v>
      </c>
      <c r="B2006" t="s">
        <v>6533</v>
      </c>
      <c r="C2006" t="s">
        <v>7233</v>
      </c>
      <c r="D2006" t="s">
        <v>7234</v>
      </c>
      <c r="E2006" t="s">
        <v>7235</v>
      </c>
      <c r="F2006" t="s">
        <v>118</v>
      </c>
      <c r="G2006" t="str">
        <f>HYPERLINK("https://vk.com/wall-17219610_10665?reply=10693&amp;thread=10683")</f>
        <v>https://vk.com/wall-17219610_10665?reply=10693&amp;thread=10683</v>
      </c>
      <c r="H2006" t="s">
        <v>119</v>
      </c>
      <c r="I2006" t="s">
        <v>3544</v>
      </c>
      <c r="J2006" t="str">
        <f>HYPERLINK("http://vk.com/id651980680")</f>
        <v>http://vk.com/id651980680</v>
      </c>
      <c r="K2006">
        <v>0</v>
      </c>
      <c r="L2006" t="s">
        <v>121</v>
      </c>
      <c r="M2006">
        <v>58</v>
      </c>
      <c r="N2006" t="s">
        <v>122</v>
      </c>
      <c r="O2006" t="s">
        <v>7236</v>
      </c>
      <c r="P2006" t="str">
        <f>HYPERLINK("http://vk.com/club17219610")</f>
        <v>http://vk.com/club17219610</v>
      </c>
      <c r="Q2006">
        <v>739</v>
      </c>
      <c r="R2006" t="s">
        <v>124</v>
      </c>
      <c r="S2006" t="s">
        <v>125</v>
      </c>
      <c r="T2006" t="s">
        <v>487</v>
      </c>
      <c r="U2006" t="s">
        <v>488</v>
      </c>
      <c r="AM2006" t="s">
        <v>129</v>
      </c>
      <c r="AN2006" t="s">
        <v>130</v>
      </c>
      <c r="AP2006" t="s">
        <v>41</v>
      </c>
      <c r="AU2006" t="s">
        <v>46</v>
      </c>
      <c r="AZ2006" t="s">
        <v>51</v>
      </c>
      <c r="BA2006" t="s">
        <v>52</v>
      </c>
    </row>
    <row r="2007" spans="1:69" x14ac:dyDescent="0.2">
      <c r="A2007" t="s">
        <v>6961</v>
      </c>
      <c r="B2007" t="s">
        <v>6215</v>
      </c>
      <c r="C2007" t="s">
        <v>7203</v>
      </c>
      <c r="D2007" t="s">
        <v>6927</v>
      </c>
      <c r="E2007" t="s">
        <v>7237</v>
      </c>
      <c r="F2007" t="s">
        <v>118</v>
      </c>
      <c r="G2007" t="str">
        <f>HYPERLINK("https://www.youtube.com/watch?v=5-5XmQsZfgY&amp;lc=UgxhC2n-mRI5wdy_fE14AaABAg")</f>
        <v>https://www.youtube.com/watch?v=5-5XmQsZfgY&amp;lc=UgxhC2n-mRI5wdy_fE14AaABAg</v>
      </c>
      <c r="H2007" t="s">
        <v>119</v>
      </c>
      <c r="I2007" t="s">
        <v>7238</v>
      </c>
      <c r="J2007" t="str">
        <f>HYPERLINK("https://www.youtube.com/channel/UCsywxszVQJhEgPGf8oaf65g")</f>
        <v>https://www.youtube.com/channel/UCsywxszVQJhEgPGf8oaf65g</v>
      </c>
      <c r="K2007">
        <v>1</v>
      </c>
      <c r="N2007" t="s">
        <v>248</v>
      </c>
      <c r="O2007" t="s">
        <v>6930</v>
      </c>
      <c r="P2007" t="str">
        <f>HYPERLINK("https://www.youtube.com/channel/UCW47jKqLC9l-tWspoARe8tg")</f>
        <v>https://www.youtube.com/channel/UCW47jKqLC9l-tWspoARe8tg</v>
      </c>
      <c r="Q2007">
        <v>2440</v>
      </c>
      <c r="R2007" t="s">
        <v>124</v>
      </c>
      <c r="S2007" t="s">
        <v>125</v>
      </c>
      <c r="W2007">
        <v>0</v>
      </c>
      <c r="X2007">
        <v>0</v>
      </c>
      <c r="AE2007">
        <v>0</v>
      </c>
      <c r="AM2007" t="s">
        <v>129</v>
      </c>
      <c r="AN2007" t="s">
        <v>130</v>
      </c>
      <c r="AP2007" t="s">
        <v>41</v>
      </c>
      <c r="AZ2007" t="s">
        <v>51</v>
      </c>
      <c r="BD2007" t="s">
        <v>55</v>
      </c>
    </row>
    <row r="2008" spans="1:69" x14ac:dyDescent="0.2">
      <c r="A2008" t="s">
        <v>6961</v>
      </c>
      <c r="B2008" t="s">
        <v>6912</v>
      </c>
      <c r="C2008" t="s">
        <v>7239</v>
      </c>
      <c r="D2008" t="s">
        <v>7240</v>
      </c>
      <c r="E2008" t="s">
        <v>7241</v>
      </c>
      <c r="F2008" t="s">
        <v>118</v>
      </c>
      <c r="G2008" t="str">
        <f>HYPERLINK("https://vk.com/wall-25564835_222884?reply=223134&amp;thread=222936")</f>
        <v>https://vk.com/wall-25564835_222884?reply=223134&amp;thread=222936</v>
      </c>
      <c r="H2008" t="s">
        <v>119</v>
      </c>
      <c r="I2008" t="s">
        <v>7242</v>
      </c>
      <c r="J2008" t="str">
        <f>HYPERLINK("http://vk.com/id567818185")</f>
        <v>http://vk.com/id567818185</v>
      </c>
      <c r="K2008">
        <v>0</v>
      </c>
      <c r="L2008" t="s">
        <v>151</v>
      </c>
      <c r="N2008" t="s">
        <v>122</v>
      </c>
      <c r="O2008" t="s">
        <v>7243</v>
      </c>
      <c r="P2008" t="str">
        <f>HYPERLINK("http://vk.com/club25564835")</f>
        <v>http://vk.com/club25564835</v>
      </c>
      <c r="Q2008">
        <v>5788</v>
      </c>
      <c r="R2008" t="s">
        <v>124</v>
      </c>
      <c r="AM2008" t="s">
        <v>129</v>
      </c>
      <c r="AN2008" t="s">
        <v>130</v>
      </c>
      <c r="AP2008" t="s">
        <v>41</v>
      </c>
      <c r="AW2008" t="s">
        <v>48</v>
      </c>
      <c r="AZ2008" t="s">
        <v>51</v>
      </c>
      <c r="BA2008" t="s">
        <v>52</v>
      </c>
      <c r="BL2008" t="s">
        <v>63</v>
      </c>
    </row>
    <row r="2009" spans="1:69" x14ac:dyDescent="0.2">
      <c r="A2009" t="s">
        <v>6961</v>
      </c>
      <c r="B2009" t="s">
        <v>7244</v>
      </c>
      <c r="C2009" t="s">
        <v>7245</v>
      </c>
      <c r="D2009" t="s">
        <v>6082</v>
      </c>
      <c r="E2009" t="s">
        <v>7246</v>
      </c>
      <c r="F2009" t="s">
        <v>118</v>
      </c>
      <c r="G2009" t="str">
        <f>HYPERLINK("https://vk.com/wall-59759902_290870?reply=290987&amp;thread=290871")</f>
        <v>https://vk.com/wall-59759902_290870?reply=290987&amp;thread=290871</v>
      </c>
      <c r="H2009" t="s">
        <v>228</v>
      </c>
      <c r="I2009" t="s">
        <v>7177</v>
      </c>
      <c r="J2009" t="str">
        <f>HYPERLINK("http://vk.com/id32770319")</f>
        <v>http://vk.com/id32770319</v>
      </c>
      <c r="K2009">
        <v>848</v>
      </c>
      <c r="L2009" t="s">
        <v>151</v>
      </c>
      <c r="N2009" t="s">
        <v>122</v>
      </c>
      <c r="O2009" t="s">
        <v>6084</v>
      </c>
      <c r="P2009" t="str">
        <f>HYPERLINK("http://vk.com/club59759902")</f>
        <v>http://vk.com/club59759902</v>
      </c>
      <c r="Q2009">
        <v>18596</v>
      </c>
      <c r="R2009" t="s">
        <v>124</v>
      </c>
      <c r="S2009" t="s">
        <v>125</v>
      </c>
      <c r="T2009" t="s">
        <v>1027</v>
      </c>
      <c r="U2009" t="s">
        <v>3442</v>
      </c>
      <c r="AM2009" t="s">
        <v>129</v>
      </c>
      <c r="AN2009" t="s">
        <v>130</v>
      </c>
      <c r="AP2009" t="s">
        <v>41</v>
      </c>
      <c r="AW2009" t="s">
        <v>48</v>
      </c>
      <c r="BA2009" t="s">
        <v>52</v>
      </c>
      <c r="BF2009" t="s">
        <v>57</v>
      </c>
      <c r="BM2009" t="s">
        <v>64</v>
      </c>
    </row>
    <row r="2010" spans="1:69" x14ac:dyDescent="0.2">
      <c r="A2010" t="s">
        <v>6961</v>
      </c>
      <c r="B2010" t="s">
        <v>7247</v>
      </c>
      <c r="C2010" t="s">
        <v>7248</v>
      </c>
      <c r="D2010" t="s">
        <v>7249</v>
      </c>
      <c r="E2010" t="s">
        <v>7250</v>
      </c>
      <c r="F2010" t="s">
        <v>180</v>
      </c>
      <c r="G2010" t="str">
        <f>HYPERLINK("https://otvet.mail.ru/answer/1993947765")</f>
        <v>https://otvet.mail.ru/answer/1993947765</v>
      </c>
      <c r="H2010" t="s">
        <v>119</v>
      </c>
      <c r="I2010" t="s">
        <v>7251</v>
      </c>
      <c r="J2010" t="str">
        <f>HYPERLINK("http://otvet.mail.ru/profile/id10860523")</f>
        <v>http://otvet.mail.ru/profile/id10860523</v>
      </c>
      <c r="L2010" t="s">
        <v>121</v>
      </c>
      <c r="N2010" t="s">
        <v>690</v>
      </c>
      <c r="O2010" t="s">
        <v>7252</v>
      </c>
      <c r="P2010" t="str">
        <f>HYPERLINK("https://otvet.mail.ru/technics/")</f>
        <v>https://otvet.mail.ru/technics/</v>
      </c>
      <c r="R2010" t="s">
        <v>295</v>
      </c>
      <c r="S2010" t="s">
        <v>125</v>
      </c>
      <c r="AM2010" t="s">
        <v>129</v>
      </c>
      <c r="AN2010" t="s">
        <v>130</v>
      </c>
      <c r="AP2010" t="s">
        <v>41</v>
      </c>
      <c r="AY2010" t="s">
        <v>50</v>
      </c>
      <c r="AZ2010" t="s">
        <v>51</v>
      </c>
      <c r="BB2010" t="s">
        <v>53</v>
      </c>
    </row>
    <row r="2011" spans="1:69" x14ac:dyDescent="0.2">
      <c r="A2011" t="s">
        <v>6961</v>
      </c>
      <c r="B2011" t="s">
        <v>7253</v>
      </c>
      <c r="C2011" t="s">
        <v>7254</v>
      </c>
      <c r="D2011" t="s">
        <v>204</v>
      </c>
      <c r="E2011" t="s">
        <v>7255</v>
      </c>
      <c r="F2011" t="s">
        <v>180</v>
      </c>
      <c r="G2011" t="str">
        <f>HYPERLINK("https://play.google.com/store/apps/details?id=ru.iflex.android.a3colortv&amp;reviewId=gp:AOqpTOH-9k36MnrK8cRprKd5Vv1HjYZl0hWw3UtxTwvKf6yjyAAzybAc2ceMKN0FFTkLw-0iTkH__liW7S8P6g")</f>
        <v>https://play.google.com/store/apps/details?id=ru.iflex.android.a3colortv&amp;reviewId=gp:AOqpTOH-9k36MnrK8cRprKd5Vv1HjYZl0hWw3UtxTwvKf6yjyAAzybAc2ceMKN0FFTkLw-0iTkH__liW7S8P6g</v>
      </c>
      <c r="H2011" t="s">
        <v>119</v>
      </c>
      <c r="I2011" t="s">
        <v>7256</v>
      </c>
      <c r="J2011" t="str">
        <f>HYPERLINK("https://plus.google.com/113668096317432541842")</f>
        <v>https://plus.google.com/113668096317432541842</v>
      </c>
      <c r="L2011" t="s">
        <v>121</v>
      </c>
      <c r="N2011" t="s">
        <v>207</v>
      </c>
      <c r="O2011" t="s">
        <v>204</v>
      </c>
      <c r="P2011" t="str">
        <f>HYPERLINK("https://play.google.com/store/apps/details?id=ru.iflex.android.a3colortv&amp;hl=ru")</f>
        <v>https://play.google.com/store/apps/details?id=ru.iflex.android.a3colortv&amp;hl=ru</v>
      </c>
      <c r="R2011" t="s">
        <v>184</v>
      </c>
      <c r="S2011" t="s">
        <v>125</v>
      </c>
      <c r="W2011">
        <v>0</v>
      </c>
      <c r="X2011">
        <v>0</v>
      </c>
      <c r="AH2011">
        <v>4</v>
      </c>
      <c r="AM2011" t="s">
        <v>129</v>
      </c>
      <c r="AN2011" t="s">
        <v>130</v>
      </c>
      <c r="AP2011" t="s">
        <v>41</v>
      </c>
      <c r="AZ2011" t="s">
        <v>51</v>
      </c>
      <c r="BA2011" t="s">
        <v>52</v>
      </c>
      <c r="BQ2011" t="s">
        <v>68</v>
      </c>
    </row>
    <row r="2012" spans="1:69" x14ac:dyDescent="0.2">
      <c r="A2012" t="s">
        <v>6961</v>
      </c>
      <c r="B2012" t="s">
        <v>7257</v>
      </c>
      <c r="C2012" t="s">
        <v>7258</v>
      </c>
      <c r="D2012" t="s">
        <v>907</v>
      </c>
      <c r="E2012" t="s">
        <v>7259</v>
      </c>
      <c r="F2012" t="s">
        <v>180</v>
      </c>
      <c r="G2012" t="str">
        <f>HYPERLINK("https://telesputnik.ru/forum/viewtopic.php?f=36&amp;t=42382&amp;start=37820#p2481211")</f>
        <v>https://telesputnik.ru/forum/viewtopic.php?f=36&amp;t=42382&amp;start=37820#p2481211</v>
      </c>
      <c r="H2012" t="s">
        <v>119</v>
      </c>
      <c r="I2012" t="s">
        <v>7004</v>
      </c>
      <c r="J2012" t="str">
        <f>HYPERLINK("https://telesputnik.ru/forum/memberlist.php?mode=viewprofile&amp;u=48123")</f>
        <v>https://telesputnik.ru/forum/memberlist.php?mode=viewprofile&amp;u=48123</v>
      </c>
      <c r="N2012" t="s">
        <v>335</v>
      </c>
      <c r="O2012" t="s">
        <v>909</v>
      </c>
      <c r="P2012" t="str">
        <f>HYPERLINK("https://telesputnik.ru/forum/viewforum.php?f=36")</f>
        <v>https://telesputnik.ru/forum/viewforum.php?f=36</v>
      </c>
      <c r="R2012" t="s">
        <v>295</v>
      </c>
      <c r="S2012" t="s">
        <v>125</v>
      </c>
      <c r="AJ2012" t="s">
        <v>1183</v>
      </c>
      <c r="AK2012" t="s">
        <v>129</v>
      </c>
      <c r="AL2012" t="str">
        <f>HYPERLINK("https://b.radikal.ru/b39/2107/48/85ae1b72c787t.jpg")</f>
        <v>https://b.radikal.ru/b39/2107/48/85ae1b72c787t.jpg</v>
      </c>
      <c r="AM2012" t="s">
        <v>129</v>
      </c>
      <c r="AN2012" t="s">
        <v>130</v>
      </c>
      <c r="AP2012" t="s">
        <v>41</v>
      </c>
      <c r="AU2012" t="s">
        <v>46</v>
      </c>
      <c r="AZ2012" t="s">
        <v>51</v>
      </c>
      <c r="BA2012" t="s">
        <v>52</v>
      </c>
    </row>
    <row r="2013" spans="1:69" x14ac:dyDescent="0.2">
      <c r="A2013" t="s">
        <v>6961</v>
      </c>
      <c r="B2013" t="s">
        <v>7260</v>
      </c>
      <c r="C2013" t="s">
        <v>7261</v>
      </c>
      <c r="D2013" t="s">
        <v>6927</v>
      </c>
      <c r="E2013" t="s">
        <v>7262</v>
      </c>
      <c r="F2013" t="s">
        <v>118</v>
      </c>
      <c r="G2013" t="str">
        <f>HYPERLINK("https://www.youtube.com/watch?v=5-5XmQsZfgY&amp;lc=Ugz3Wfn0u9wtGOLXFAV4AaABAg")</f>
        <v>https://www.youtube.com/watch?v=5-5XmQsZfgY&amp;lc=Ugz3Wfn0u9wtGOLXFAV4AaABAg</v>
      </c>
      <c r="H2013" t="s">
        <v>181</v>
      </c>
      <c r="I2013" t="s">
        <v>7263</v>
      </c>
      <c r="J2013" t="str">
        <f>HYPERLINK("https://www.youtube.com/channel/UCLrxS29oTr4MFzwhXaXFzDw")</f>
        <v>https://www.youtube.com/channel/UCLrxS29oTr4MFzwhXaXFzDw</v>
      </c>
      <c r="K2013">
        <v>285</v>
      </c>
      <c r="N2013" t="s">
        <v>248</v>
      </c>
      <c r="O2013" t="s">
        <v>6930</v>
      </c>
      <c r="P2013" t="str">
        <f>HYPERLINK("https://www.youtube.com/channel/UCW47jKqLC9l-tWspoARe8tg")</f>
        <v>https://www.youtube.com/channel/UCW47jKqLC9l-tWspoARe8tg</v>
      </c>
      <c r="Q2013">
        <v>2440</v>
      </c>
      <c r="R2013" t="s">
        <v>124</v>
      </c>
      <c r="S2013" t="s">
        <v>125</v>
      </c>
      <c r="W2013">
        <v>0</v>
      </c>
      <c r="X2013">
        <v>0</v>
      </c>
      <c r="AE2013">
        <v>0</v>
      </c>
      <c r="AM2013" t="s">
        <v>129</v>
      </c>
      <c r="AN2013" t="s">
        <v>130</v>
      </c>
      <c r="AP2013" t="s">
        <v>41</v>
      </c>
      <c r="AZ2013" t="s">
        <v>51</v>
      </c>
      <c r="BD2013" t="s">
        <v>55</v>
      </c>
    </row>
    <row r="2014" spans="1:69" x14ac:dyDescent="0.2">
      <c r="A2014" t="s">
        <v>6961</v>
      </c>
      <c r="B2014" t="s">
        <v>7264</v>
      </c>
      <c r="C2014" t="s">
        <v>7265</v>
      </c>
      <c r="D2014" t="s">
        <v>129</v>
      </c>
      <c r="E2014" t="s">
        <v>7266</v>
      </c>
      <c r="F2014" t="s">
        <v>180</v>
      </c>
      <c r="G2014" t="str">
        <f>HYPERLINK("https://telegram.me/grushville_local/29020")</f>
        <v>https://telegram.me/grushville_local/29020</v>
      </c>
      <c r="H2014" t="s">
        <v>181</v>
      </c>
      <c r="I2014" t="s">
        <v>7267</v>
      </c>
      <c r="J2014" t="str">
        <f>HYPERLINK("https://telegram.me/psycholog331")</f>
        <v>https://telegram.me/psycholog331</v>
      </c>
      <c r="L2014" t="s">
        <v>151</v>
      </c>
      <c r="N2014" t="s">
        <v>143</v>
      </c>
      <c r="O2014" t="s">
        <v>7268</v>
      </c>
      <c r="P2014" t="str">
        <f>HYPERLINK("https://telegram.me/grushville_local")</f>
        <v>https://telegram.me/grushville_local</v>
      </c>
      <c r="Q2014">
        <v>965</v>
      </c>
      <c r="R2014" t="s">
        <v>145</v>
      </c>
      <c r="AM2014" t="s">
        <v>129</v>
      </c>
      <c r="AN2014" t="s">
        <v>130</v>
      </c>
      <c r="AP2014" t="s">
        <v>41</v>
      </c>
      <c r="AT2014" t="s">
        <v>45</v>
      </c>
      <c r="AW2014" t="s">
        <v>48</v>
      </c>
      <c r="AZ2014" t="s">
        <v>51</v>
      </c>
      <c r="BA2014" t="s">
        <v>52</v>
      </c>
    </row>
    <row r="2015" spans="1:69" x14ac:dyDescent="0.2">
      <c r="A2015" t="s">
        <v>6961</v>
      </c>
      <c r="B2015" t="s">
        <v>1231</v>
      </c>
      <c r="C2015" t="s">
        <v>7269</v>
      </c>
      <c r="D2015" t="s">
        <v>6546</v>
      </c>
      <c r="E2015" t="s">
        <v>7270</v>
      </c>
      <c r="F2015" t="s">
        <v>180</v>
      </c>
      <c r="G2015" t="str">
        <f>HYPERLINK("https://news.myseldon.com/ru/news/index/254480325")</f>
        <v>https://news.myseldon.com/ru/news/index/254480325</v>
      </c>
      <c r="H2015" t="s">
        <v>119</v>
      </c>
      <c r="I2015" t="s">
        <v>7271</v>
      </c>
      <c r="J2015" t="str">
        <f>HYPERLINK("http://news.myseldon.com")</f>
        <v>http://news.myseldon.com</v>
      </c>
      <c r="N2015" t="s">
        <v>7271</v>
      </c>
      <c r="R2015" t="s">
        <v>785</v>
      </c>
      <c r="S2015" t="s">
        <v>125</v>
      </c>
      <c r="AM2015" t="s">
        <v>129</v>
      </c>
      <c r="AN2015" t="s">
        <v>130</v>
      </c>
      <c r="AV2015" t="s">
        <v>47</v>
      </c>
    </row>
    <row r="2016" spans="1:69" x14ac:dyDescent="0.2">
      <c r="A2016" t="s">
        <v>6961</v>
      </c>
      <c r="B2016" t="s">
        <v>1231</v>
      </c>
      <c r="C2016" t="s">
        <v>7272</v>
      </c>
      <c r="D2016" t="s">
        <v>6563</v>
      </c>
      <c r="E2016" t="s">
        <v>7273</v>
      </c>
      <c r="F2016" t="s">
        <v>180</v>
      </c>
      <c r="G2016" t="str">
        <f>HYPERLINK("https://news.myseldon.com/ru/news/index/254479937")</f>
        <v>https://news.myseldon.com/ru/news/index/254479937</v>
      </c>
      <c r="H2016" t="s">
        <v>119</v>
      </c>
      <c r="I2016" t="s">
        <v>7271</v>
      </c>
      <c r="J2016" t="str">
        <f>HYPERLINK("http://news.myseldon.com")</f>
        <v>http://news.myseldon.com</v>
      </c>
      <c r="N2016" t="s">
        <v>7271</v>
      </c>
      <c r="R2016" t="s">
        <v>785</v>
      </c>
      <c r="S2016" t="s">
        <v>125</v>
      </c>
      <c r="AM2016" t="s">
        <v>129</v>
      </c>
      <c r="AN2016" t="s">
        <v>130</v>
      </c>
      <c r="AV2016" t="s">
        <v>47</v>
      </c>
    </row>
    <row r="2017" spans="1:65" x14ac:dyDescent="0.2">
      <c r="A2017" t="s">
        <v>6961</v>
      </c>
      <c r="B2017" t="s">
        <v>1231</v>
      </c>
      <c r="C2017" t="s">
        <v>7274</v>
      </c>
      <c r="D2017" t="s">
        <v>6572</v>
      </c>
      <c r="E2017" t="s">
        <v>7275</v>
      </c>
      <c r="F2017" t="s">
        <v>180</v>
      </c>
      <c r="G2017" t="str">
        <f>HYPERLINK("https://news.myseldon.com/ru/news/index/254478700")</f>
        <v>https://news.myseldon.com/ru/news/index/254478700</v>
      </c>
      <c r="H2017" t="s">
        <v>119</v>
      </c>
      <c r="I2017" t="s">
        <v>7271</v>
      </c>
      <c r="J2017" t="str">
        <f>HYPERLINK("http://news.myseldon.com")</f>
        <v>http://news.myseldon.com</v>
      </c>
      <c r="N2017" t="s">
        <v>7271</v>
      </c>
      <c r="R2017" t="s">
        <v>785</v>
      </c>
      <c r="S2017" t="s">
        <v>125</v>
      </c>
      <c r="AM2017" t="s">
        <v>129</v>
      </c>
      <c r="AN2017" t="s">
        <v>130</v>
      </c>
      <c r="AV2017" t="s">
        <v>47</v>
      </c>
    </row>
    <row r="2018" spans="1:65" x14ac:dyDescent="0.2">
      <c r="A2018" t="s">
        <v>7276</v>
      </c>
      <c r="B2018" t="s">
        <v>749</v>
      </c>
      <c r="C2018" t="s">
        <v>7277</v>
      </c>
      <c r="D2018" t="s">
        <v>7278</v>
      </c>
      <c r="E2018" t="s">
        <v>7279</v>
      </c>
      <c r="F2018" t="s">
        <v>118</v>
      </c>
      <c r="G2018" t="str">
        <f>HYPERLINK("https://vk.com/wall-62774645_846227?reply=846310")</f>
        <v>https://vk.com/wall-62774645_846227?reply=846310</v>
      </c>
      <c r="H2018" t="s">
        <v>119</v>
      </c>
      <c r="I2018" t="s">
        <v>7280</v>
      </c>
      <c r="J2018" t="str">
        <f>HYPERLINK("http://vk.com/id235153960")</f>
        <v>http://vk.com/id235153960</v>
      </c>
      <c r="K2018">
        <v>208</v>
      </c>
      <c r="L2018" t="s">
        <v>151</v>
      </c>
      <c r="M2018">
        <v>49</v>
      </c>
      <c r="N2018" t="s">
        <v>122</v>
      </c>
      <c r="O2018" t="s">
        <v>7281</v>
      </c>
      <c r="P2018" t="str">
        <f>HYPERLINK("http://vk.com/club62774645")</f>
        <v>http://vk.com/club62774645</v>
      </c>
      <c r="Q2018">
        <v>26020</v>
      </c>
      <c r="R2018" t="s">
        <v>124</v>
      </c>
      <c r="S2018" t="s">
        <v>125</v>
      </c>
      <c r="T2018" t="s">
        <v>3158</v>
      </c>
      <c r="U2018" t="s">
        <v>7282</v>
      </c>
      <c r="AM2018" t="s">
        <v>129</v>
      </c>
      <c r="AN2018" t="s">
        <v>130</v>
      </c>
      <c r="AP2018" t="s">
        <v>41</v>
      </c>
      <c r="AT2018" t="s">
        <v>45</v>
      </c>
      <c r="AW2018" t="s">
        <v>48</v>
      </c>
      <c r="BA2018" t="s">
        <v>52</v>
      </c>
      <c r="BF2018" t="s">
        <v>57</v>
      </c>
    </row>
    <row r="2019" spans="1:65" x14ac:dyDescent="0.2">
      <c r="A2019" t="s">
        <v>7276</v>
      </c>
      <c r="B2019" t="s">
        <v>7283</v>
      </c>
      <c r="C2019" t="s">
        <v>5594</v>
      </c>
      <c r="D2019" t="s">
        <v>7284</v>
      </c>
      <c r="E2019" t="s">
        <v>7285</v>
      </c>
      <c r="F2019" t="s">
        <v>180</v>
      </c>
      <c r="G2019" t="str">
        <f>HYPERLINK("https://www.ozon.ru/context/detail/id/223364699/#59732862")</f>
        <v>https://www.ozon.ru/context/detail/id/223364699/#59732862</v>
      </c>
      <c r="H2019" t="s">
        <v>181</v>
      </c>
      <c r="I2019" t="s">
        <v>7286</v>
      </c>
      <c r="J2019" t="str">
        <f>HYPERLINK("https://www.ozon.ru/context/client_opinion/ClientGuid/0a9ac0ab-cc6a-4e76-99af-d970b26e99d0/")</f>
        <v>https://www.ozon.ru/context/client_opinion/ClientGuid/0a9ac0ab-cc6a-4e76-99af-d970b26e99d0/</v>
      </c>
      <c r="L2019" t="s">
        <v>121</v>
      </c>
      <c r="N2019" t="s">
        <v>183</v>
      </c>
      <c r="O2019" t="s">
        <v>7287</v>
      </c>
      <c r="P2019" t="str">
        <f>HYPERLINK("https://www.ozon.ru/context/detail/id/223364699/")</f>
        <v>https://www.ozon.ru/context/detail/id/223364699/</v>
      </c>
      <c r="R2019" t="s">
        <v>184</v>
      </c>
      <c r="S2019" t="s">
        <v>125</v>
      </c>
      <c r="W2019">
        <v>0</v>
      </c>
      <c r="X2019">
        <v>0</v>
      </c>
      <c r="AH2019">
        <v>5</v>
      </c>
      <c r="AM2019" t="s">
        <v>129</v>
      </c>
      <c r="AN2019" t="s">
        <v>130</v>
      </c>
      <c r="AP2019" t="s">
        <v>41</v>
      </c>
      <c r="AT2019" t="s">
        <v>45</v>
      </c>
      <c r="AZ2019" t="s">
        <v>51</v>
      </c>
      <c r="BA2019" t="s">
        <v>52</v>
      </c>
    </row>
    <row r="2020" spans="1:65" x14ac:dyDescent="0.2">
      <c r="A2020" t="s">
        <v>7276</v>
      </c>
      <c r="B2020" t="s">
        <v>1247</v>
      </c>
      <c r="C2020" t="s">
        <v>7288</v>
      </c>
      <c r="D2020" t="s">
        <v>922</v>
      </c>
      <c r="E2020" t="s">
        <v>7289</v>
      </c>
      <c r="F2020" t="s">
        <v>180</v>
      </c>
      <c r="G2020" t="str">
        <f>HYPERLINK("https://www.wildberries.ru/catalog/21220605/detail.aspx?targetUrl=ES#Comments")</f>
        <v>https://www.wildberries.ru/catalog/21220605/detail.aspx?targetUrl=ES#Comments</v>
      </c>
      <c r="H2020" t="s">
        <v>181</v>
      </c>
      <c r="I2020" t="s">
        <v>1781</v>
      </c>
      <c r="J2020" t="str">
        <f>HYPERLINK("https://www.wildberries.ru/profile/w7TDssOkw7PCu8KwwrLCtMK1wrLCtMKywrY=")</f>
        <v>https://www.wildberries.ru/profile/w7TDssOkw7PCu8KwwrLCtMK1wrLCtMKywrY=</v>
      </c>
      <c r="L2020" t="s">
        <v>151</v>
      </c>
      <c r="N2020" t="s">
        <v>534</v>
      </c>
      <c r="O2020" t="s">
        <v>922</v>
      </c>
      <c r="P2020" t="str">
        <f>HYPERLINK("https://www.wildberries.ru/catalog/15142010/detail.aspx")</f>
        <v>https://www.wildberries.ru/catalog/15142010/detail.aspx</v>
      </c>
      <c r="R2020" t="s">
        <v>184</v>
      </c>
      <c r="S2020" t="s">
        <v>125</v>
      </c>
      <c r="W2020">
        <v>0</v>
      </c>
      <c r="X2020">
        <v>0</v>
      </c>
      <c r="AH2020">
        <v>5</v>
      </c>
      <c r="AM2020" t="s">
        <v>129</v>
      </c>
      <c r="AN2020" t="s">
        <v>130</v>
      </c>
      <c r="AP2020" t="s">
        <v>41</v>
      </c>
      <c r="AZ2020" t="s">
        <v>51</v>
      </c>
      <c r="BA2020" t="s">
        <v>52</v>
      </c>
      <c r="BK2020" t="s">
        <v>62</v>
      </c>
    </row>
    <row r="2021" spans="1:65" x14ac:dyDescent="0.2">
      <c r="A2021" t="s">
        <v>7276</v>
      </c>
      <c r="B2021" t="s">
        <v>4548</v>
      </c>
      <c r="C2021" t="s">
        <v>7290</v>
      </c>
      <c r="D2021" t="s">
        <v>7291</v>
      </c>
      <c r="E2021" t="s">
        <v>7292</v>
      </c>
      <c r="F2021" t="s">
        <v>118</v>
      </c>
      <c r="G2021" t="str">
        <f>HYPERLINK("https://vk.com/wall-9632296_52911?reply=52925&amp;thread=52913")</f>
        <v>https://vk.com/wall-9632296_52911?reply=52925&amp;thread=52913</v>
      </c>
      <c r="H2021" t="s">
        <v>119</v>
      </c>
      <c r="I2021" t="s">
        <v>7293</v>
      </c>
      <c r="J2021" t="str">
        <f>HYPERLINK("http://vk.com/id201552377")</f>
        <v>http://vk.com/id201552377</v>
      </c>
      <c r="L2021" t="s">
        <v>121</v>
      </c>
      <c r="N2021" t="s">
        <v>122</v>
      </c>
      <c r="O2021" t="s">
        <v>7294</v>
      </c>
      <c r="P2021" t="str">
        <f>HYPERLINK("http://vk.com/club9632296")</f>
        <v>http://vk.com/club9632296</v>
      </c>
      <c r="Q2021">
        <v>15949</v>
      </c>
      <c r="R2021" t="s">
        <v>124</v>
      </c>
      <c r="S2021" t="s">
        <v>125</v>
      </c>
      <c r="AM2021" t="s">
        <v>129</v>
      </c>
      <c r="AN2021" t="s">
        <v>130</v>
      </c>
      <c r="AP2021" t="s">
        <v>41</v>
      </c>
      <c r="AU2021" t="s">
        <v>46</v>
      </c>
      <c r="AZ2021" t="s">
        <v>51</v>
      </c>
      <c r="BA2021" t="s">
        <v>52</v>
      </c>
    </row>
    <row r="2022" spans="1:65" x14ac:dyDescent="0.2">
      <c r="A2022" t="s">
        <v>7276</v>
      </c>
      <c r="B2022" t="s">
        <v>769</v>
      </c>
      <c r="C2022" t="s">
        <v>7295</v>
      </c>
      <c r="D2022" t="s">
        <v>2949</v>
      </c>
      <c r="E2022" t="s">
        <v>7296</v>
      </c>
      <c r="F2022" t="s">
        <v>180</v>
      </c>
      <c r="G2022" t="str">
        <f>HYPERLINK("https://www.ozon.ru/context/detail/id/242437615/#59726992")</f>
        <v>https://www.ozon.ru/context/detail/id/242437615/#59726992</v>
      </c>
      <c r="H2022" t="s">
        <v>119</v>
      </c>
      <c r="I2022" t="s">
        <v>7297</v>
      </c>
      <c r="J2022" t="str">
        <f>HYPERLINK("https://www.ozon.ru/context/client_opinion/ClientGuid/edbb716d-7865-4e64-9da6-8edb16287069/")</f>
        <v>https://www.ozon.ru/context/client_opinion/ClientGuid/edbb716d-7865-4e64-9da6-8edb16287069/</v>
      </c>
      <c r="L2022" t="s">
        <v>121</v>
      </c>
      <c r="N2022" t="s">
        <v>183</v>
      </c>
      <c r="O2022" t="s">
        <v>2949</v>
      </c>
      <c r="P2022" t="str">
        <f>HYPERLINK("https://www.ozon.ru/context/detail/id/242437615/")</f>
        <v>https://www.ozon.ru/context/detail/id/242437615/</v>
      </c>
      <c r="R2022" t="s">
        <v>184</v>
      </c>
      <c r="S2022" t="s">
        <v>125</v>
      </c>
      <c r="W2022">
        <v>0</v>
      </c>
      <c r="X2022">
        <v>0</v>
      </c>
      <c r="AH2022">
        <v>1</v>
      </c>
      <c r="AM2022" t="s">
        <v>129</v>
      </c>
      <c r="AN2022" t="s">
        <v>130</v>
      </c>
      <c r="AP2022" t="s">
        <v>41</v>
      </c>
      <c r="AZ2022" t="s">
        <v>51</v>
      </c>
      <c r="BA2022" t="s">
        <v>52</v>
      </c>
      <c r="BL2022" t="s">
        <v>63</v>
      </c>
    </row>
    <row r="2023" spans="1:65" x14ac:dyDescent="0.2">
      <c r="A2023" t="s">
        <v>7276</v>
      </c>
      <c r="B2023" t="s">
        <v>4576</v>
      </c>
      <c r="C2023" t="s">
        <v>5594</v>
      </c>
      <c r="D2023" t="s">
        <v>5595</v>
      </c>
      <c r="E2023" t="s">
        <v>7298</v>
      </c>
      <c r="F2023" t="s">
        <v>180</v>
      </c>
      <c r="G2023" t="str">
        <f>HYPERLINK("https://www.ozon.ru/context/detail/id/203375821/#59721472")</f>
        <v>https://www.ozon.ru/context/detail/id/203375821/#59721472</v>
      </c>
      <c r="H2023" t="s">
        <v>119</v>
      </c>
      <c r="I2023" t="s">
        <v>7299</v>
      </c>
      <c r="J2023" t="str">
        <f>HYPERLINK("https://www.ozon.ru/context/client_opinion/ClientGuid/80e94cb4-2b96-48bb-963c-5b9eeacdc861/")</f>
        <v>https://www.ozon.ru/context/client_opinion/ClientGuid/80e94cb4-2b96-48bb-963c-5b9eeacdc861/</v>
      </c>
      <c r="L2023" t="s">
        <v>121</v>
      </c>
      <c r="N2023" t="s">
        <v>183</v>
      </c>
      <c r="O2023" t="s">
        <v>5595</v>
      </c>
      <c r="P2023" t="str">
        <f>HYPERLINK("https://www.ozon.ru/context/detail/id/203375821/")</f>
        <v>https://www.ozon.ru/context/detail/id/203375821/</v>
      </c>
      <c r="R2023" t="s">
        <v>184</v>
      </c>
      <c r="S2023" t="s">
        <v>125</v>
      </c>
      <c r="W2023">
        <v>1</v>
      </c>
      <c r="X2023">
        <v>1</v>
      </c>
      <c r="AH2023">
        <v>4</v>
      </c>
      <c r="AM2023" t="s">
        <v>129</v>
      </c>
      <c r="AN2023" t="s">
        <v>130</v>
      </c>
      <c r="AP2023" t="s">
        <v>41</v>
      </c>
      <c r="AZ2023" t="s">
        <v>51</v>
      </c>
      <c r="BA2023" t="s">
        <v>52</v>
      </c>
      <c r="BL2023" t="s">
        <v>63</v>
      </c>
    </row>
    <row r="2024" spans="1:65" x14ac:dyDescent="0.2">
      <c r="A2024" t="s">
        <v>7276</v>
      </c>
      <c r="B2024" t="s">
        <v>7300</v>
      </c>
      <c r="C2024" t="s">
        <v>7301</v>
      </c>
      <c r="D2024" t="s">
        <v>6885</v>
      </c>
      <c r="E2024" t="s">
        <v>7302</v>
      </c>
      <c r="F2024" t="s">
        <v>118</v>
      </c>
      <c r="G2024" t="str">
        <f>HYPERLINK("https://vk.com/wall-22935147_368400?reply=368405")</f>
        <v>https://vk.com/wall-22935147_368400?reply=368405</v>
      </c>
      <c r="H2024" t="s">
        <v>119</v>
      </c>
      <c r="I2024" t="s">
        <v>7303</v>
      </c>
      <c r="J2024" t="str">
        <f>HYPERLINK("http://vk.com/id1580384")</f>
        <v>http://vk.com/id1580384</v>
      </c>
      <c r="K2024">
        <v>137</v>
      </c>
      <c r="L2024" t="s">
        <v>121</v>
      </c>
      <c r="M2024">
        <v>44</v>
      </c>
      <c r="N2024" t="s">
        <v>122</v>
      </c>
      <c r="O2024" t="s">
        <v>1093</v>
      </c>
      <c r="P2024" t="str">
        <f>HYPERLINK("http://vk.com/club22935147")</f>
        <v>http://vk.com/club22935147</v>
      </c>
      <c r="Q2024">
        <v>8943</v>
      </c>
      <c r="R2024" t="s">
        <v>124</v>
      </c>
      <c r="S2024" t="s">
        <v>125</v>
      </c>
      <c r="T2024" t="s">
        <v>137</v>
      </c>
      <c r="U2024" t="s">
        <v>137</v>
      </c>
      <c r="W2024">
        <v>0</v>
      </c>
      <c r="X2024">
        <v>0</v>
      </c>
      <c r="AM2024" t="s">
        <v>129</v>
      </c>
      <c r="AN2024" t="s">
        <v>130</v>
      </c>
      <c r="AP2024" t="s">
        <v>41</v>
      </c>
      <c r="AU2024" t="s">
        <v>46</v>
      </c>
      <c r="AZ2024" t="s">
        <v>51</v>
      </c>
      <c r="BA2024" t="s">
        <v>52</v>
      </c>
    </row>
    <row r="2025" spans="1:65" x14ac:dyDescent="0.2">
      <c r="A2025" t="s">
        <v>7276</v>
      </c>
      <c r="B2025" t="s">
        <v>1297</v>
      </c>
      <c r="C2025" t="s">
        <v>7301</v>
      </c>
      <c r="D2025" t="s">
        <v>6885</v>
      </c>
      <c r="E2025" t="s">
        <v>7304</v>
      </c>
      <c r="F2025" t="s">
        <v>118</v>
      </c>
      <c r="G2025" t="str">
        <f>HYPERLINK("https://vk.com/wall-22935147_368400?reply=368404")</f>
        <v>https://vk.com/wall-22935147_368400?reply=368404</v>
      </c>
      <c r="H2025" t="s">
        <v>119</v>
      </c>
      <c r="I2025" t="s">
        <v>6887</v>
      </c>
      <c r="J2025" t="str">
        <f>HYPERLINK("http://vk.com/id358374226")</f>
        <v>http://vk.com/id358374226</v>
      </c>
      <c r="K2025">
        <v>3</v>
      </c>
      <c r="L2025" t="s">
        <v>121</v>
      </c>
      <c r="M2025">
        <v>119</v>
      </c>
      <c r="N2025" t="s">
        <v>122</v>
      </c>
      <c r="O2025" t="s">
        <v>1093</v>
      </c>
      <c r="P2025" t="str">
        <f>HYPERLINK("http://vk.com/club22935147")</f>
        <v>http://vk.com/club22935147</v>
      </c>
      <c r="Q2025">
        <v>8943</v>
      </c>
      <c r="R2025" t="s">
        <v>124</v>
      </c>
      <c r="S2025" t="s">
        <v>125</v>
      </c>
      <c r="T2025" t="s">
        <v>169</v>
      </c>
      <c r="U2025" t="s">
        <v>169</v>
      </c>
      <c r="W2025">
        <v>0</v>
      </c>
      <c r="X2025">
        <v>0</v>
      </c>
      <c r="AM2025" t="s">
        <v>129</v>
      </c>
      <c r="AN2025" t="s">
        <v>130</v>
      </c>
      <c r="AP2025" t="s">
        <v>41</v>
      </c>
      <c r="AU2025" t="s">
        <v>46</v>
      </c>
      <c r="AZ2025" t="s">
        <v>51</v>
      </c>
      <c r="BA2025" t="s">
        <v>52</v>
      </c>
    </row>
    <row r="2026" spans="1:65" x14ac:dyDescent="0.2">
      <c r="A2026" t="s">
        <v>7276</v>
      </c>
      <c r="B2026" t="s">
        <v>1886</v>
      </c>
      <c r="C2026" t="s">
        <v>7305</v>
      </c>
      <c r="D2026" t="s">
        <v>6885</v>
      </c>
      <c r="E2026" t="s">
        <v>7306</v>
      </c>
      <c r="F2026" t="s">
        <v>118</v>
      </c>
      <c r="G2026" t="str">
        <f>HYPERLINK("https://vk.com/wall-22935147_368400?w=wall-22935147_368400_r368403")</f>
        <v>https://vk.com/wall-22935147_368400?w=wall-22935147_368400_r368403</v>
      </c>
      <c r="H2026" t="s">
        <v>119</v>
      </c>
      <c r="I2026" t="s">
        <v>5007</v>
      </c>
      <c r="J2026" t="str">
        <f>HYPERLINK("http://vk.com/id655114577")</f>
        <v>http://vk.com/id655114577</v>
      </c>
      <c r="K2026">
        <v>0</v>
      </c>
      <c r="L2026" t="s">
        <v>121</v>
      </c>
      <c r="M2026">
        <v>44</v>
      </c>
      <c r="N2026" t="s">
        <v>122</v>
      </c>
      <c r="O2026" t="s">
        <v>1093</v>
      </c>
      <c r="P2026" t="str">
        <f>HYPERLINK("http://vk.com/club22935147")</f>
        <v>http://vk.com/club22935147</v>
      </c>
      <c r="Q2026">
        <v>8943</v>
      </c>
      <c r="R2026" t="s">
        <v>124</v>
      </c>
      <c r="S2026" t="s">
        <v>125</v>
      </c>
      <c r="T2026" t="s">
        <v>169</v>
      </c>
      <c r="U2026" t="s">
        <v>169</v>
      </c>
      <c r="W2026">
        <v>0</v>
      </c>
      <c r="X2026">
        <v>0</v>
      </c>
      <c r="AM2026" t="s">
        <v>129</v>
      </c>
      <c r="AN2026" t="s">
        <v>130</v>
      </c>
      <c r="AP2026" t="s">
        <v>41</v>
      </c>
      <c r="AU2026" t="s">
        <v>46</v>
      </c>
      <c r="AZ2026" t="s">
        <v>51</v>
      </c>
      <c r="BA2026" t="s">
        <v>52</v>
      </c>
    </row>
    <row r="2027" spans="1:65" x14ac:dyDescent="0.2">
      <c r="A2027" t="s">
        <v>7276</v>
      </c>
      <c r="B2027" t="s">
        <v>196</v>
      </c>
      <c r="C2027" t="s">
        <v>7307</v>
      </c>
      <c r="D2027" t="s">
        <v>6885</v>
      </c>
      <c r="E2027" t="s">
        <v>7308</v>
      </c>
      <c r="F2027" t="s">
        <v>118</v>
      </c>
      <c r="G2027" t="str">
        <f>HYPERLINK("https://vk.com/wall-22935147_368400?w=wall-22935147_368400_r368402")</f>
        <v>https://vk.com/wall-22935147_368400?w=wall-22935147_368400_r368402</v>
      </c>
      <c r="H2027" t="s">
        <v>119</v>
      </c>
      <c r="I2027" t="s">
        <v>7309</v>
      </c>
      <c r="J2027" t="str">
        <f>HYPERLINK("http://vk.com/id198394870")</f>
        <v>http://vk.com/id198394870</v>
      </c>
      <c r="K2027">
        <v>941</v>
      </c>
      <c r="L2027" t="s">
        <v>121</v>
      </c>
      <c r="M2027">
        <v>33</v>
      </c>
      <c r="N2027" t="s">
        <v>122</v>
      </c>
      <c r="O2027" t="s">
        <v>1093</v>
      </c>
      <c r="P2027" t="str">
        <f>HYPERLINK("http://vk.com/club22935147")</f>
        <v>http://vk.com/club22935147</v>
      </c>
      <c r="Q2027">
        <v>8943</v>
      </c>
      <c r="R2027" t="s">
        <v>124</v>
      </c>
      <c r="S2027" t="s">
        <v>125</v>
      </c>
      <c r="T2027" t="s">
        <v>230</v>
      </c>
      <c r="U2027" t="s">
        <v>7310</v>
      </c>
      <c r="W2027">
        <v>0</v>
      </c>
      <c r="X2027">
        <v>0</v>
      </c>
      <c r="AM2027" t="s">
        <v>129</v>
      </c>
      <c r="AN2027" t="s">
        <v>130</v>
      </c>
      <c r="AP2027" t="s">
        <v>41</v>
      </c>
      <c r="AU2027" t="s">
        <v>46</v>
      </c>
      <c r="AZ2027" t="s">
        <v>51</v>
      </c>
      <c r="BA2027" t="s">
        <v>52</v>
      </c>
    </row>
    <row r="2028" spans="1:65" x14ac:dyDescent="0.2">
      <c r="A2028" t="s">
        <v>7276</v>
      </c>
      <c r="B2028" t="s">
        <v>2350</v>
      </c>
      <c r="C2028" t="s">
        <v>7307</v>
      </c>
      <c r="D2028" t="s">
        <v>6885</v>
      </c>
      <c r="E2028" t="s">
        <v>7311</v>
      </c>
      <c r="F2028" t="s">
        <v>118</v>
      </c>
      <c r="G2028" t="str">
        <f>HYPERLINK("https://vk.com/wall-22935147_368400?reply=368401")</f>
        <v>https://vk.com/wall-22935147_368400?reply=368401</v>
      </c>
      <c r="H2028" t="s">
        <v>119</v>
      </c>
      <c r="I2028" t="s">
        <v>7312</v>
      </c>
      <c r="J2028" t="str">
        <f>HYPERLINK("http://vk.com/id405320478")</f>
        <v>http://vk.com/id405320478</v>
      </c>
      <c r="K2028">
        <v>11</v>
      </c>
      <c r="L2028" t="s">
        <v>121</v>
      </c>
      <c r="M2028">
        <v>46</v>
      </c>
      <c r="N2028" t="s">
        <v>122</v>
      </c>
      <c r="O2028" t="s">
        <v>1093</v>
      </c>
      <c r="P2028" t="str">
        <f>HYPERLINK("http://vk.com/club22935147")</f>
        <v>http://vk.com/club22935147</v>
      </c>
      <c r="Q2028">
        <v>8943</v>
      </c>
      <c r="R2028" t="s">
        <v>124</v>
      </c>
      <c r="S2028" t="s">
        <v>125</v>
      </c>
      <c r="T2028" t="s">
        <v>169</v>
      </c>
      <c r="U2028" t="s">
        <v>169</v>
      </c>
      <c r="W2028">
        <v>0</v>
      </c>
      <c r="X2028">
        <v>0</v>
      </c>
      <c r="AM2028" t="s">
        <v>129</v>
      </c>
      <c r="AN2028" t="s">
        <v>130</v>
      </c>
      <c r="AP2028" t="s">
        <v>41</v>
      </c>
      <c r="AU2028" t="s">
        <v>46</v>
      </c>
      <c r="AZ2028" t="s">
        <v>51</v>
      </c>
      <c r="BA2028" t="s">
        <v>52</v>
      </c>
    </row>
    <row r="2029" spans="1:65" x14ac:dyDescent="0.2">
      <c r="A2029" t="s">
        <v>7276</v>
      </c>
      <c r="B2029" t="s">
        <v>4105</v>
      </c>
      <c r="C2029" t="s">
        <v>7261</v>
      </c>
      <c r="D2029" t="s">
        <v>6927</v>
      </c>
      <c r="E2029" t="s">
        <v>7313</v>
      </c>
      <c r="F2029" t="s">
        <v>118</v>
      </c>
      <c r="G2029" t="str">
        <f>HYPERLINK("https://www.youtube.com/watch?v=5-5XmQsZfgY&amp;lc=Ugz40Tg5xyPHgCn8nCB4AaABAg.9PpPLADTR-H9PpQjJ06wt3")</f>
        <v>https://www.youtube.com/watch?v=5-5XmQsZfgY&amp;lc=Ugz40Tg5xyPHgCn8nCB4AaABAg.9PpPLADTR-H9PpQjJ06wt3</v>
      </c>
      <c r="H2029" t="s">
        <v>181</v>
      </c>
      <c r="I2029" t="s">
        <v>7314</v>
      </c>
      <c r="J2029" t="str">
        <f>HYPERLINK("https://www.youtube.com/channel/UCcnARDJOhCJ63in0rEfuyHw")</f>
        <v>https://www.youtube.com/channel/UCcnARDJOhCJ63in0rEfuyHw</v>
      </c>
      <c r="K2029">
        <v>0</v>
      </c>
      <c r="N2029" t="s">
        <v>248</v>
      </c>
      <c r="O2029" t="s">
        <v>6930</v>
      </c>
      <c r="P2029" t="str">
        <f>HYPERLINK("https://www.youtube.com/channel/UCW47jKqLC9l-tWspoARe8tg")</f>
        <v>https://www.youtube.com/channel/UCW47jKqLC9l-tWspoARe8tg</v>
      </c>
      <c r="Q2029">
        <v>2440</v>
      </c>
      <c r="R2029" t="s">
        <v>124</v>
      </c>
      <c r="S2029" t="s">
        <v>125</v>
      </c>
      <c r="W2029">
        <v>1</v>
      </c>
      <c r="X2029">
        <v>1</v>
      </c>
      <c r="AM2029" t="s">
        <v>129</v>
      </c>
      <c r="AN2029" t="s">
        <v>130</v>
      </c>
      <c r="AP2029" t="s">
        <v>41</v>
      </c>
      <c r="AZ2029" t="s">
        <v>51</v>
      </c>
      <c r="BA2029" t="s">
        <v>52</v>
      </c>
      <c r="BM2029" t="s">
        <v>64</v>
      </c>
    </row>
    <row r="2030" spans="1:65" x14ac:dyDescent="0.2">
      <c r="A2030" t="s">
        <v>7276</v>
      </c>
      <c r="B2030" t="s">
        <v>4105</v>
      </c>
      <c r="C2030" t="s">
        <v>7261</v>
      </c>
      <c r="D2030" t="s">
        <v>6927</v>
      </c>
      <c r="E2030" t="s">
        <v>7315</v>
      </c>
      <c r="F2030" t="s">
        <v>118</v>
      </c>
      <c r="G2030" t="str">
        <f>HYPERLINK("https://www.youtube.com/watch?v=5-5XmQsZfgY&amp;lc=UgxpGxi2FFWZrChu1cV4AaABAg")</f>
        <v>https://www.youtube.com/watch?v=5-5XmQsZfgY&amp;lc=UgxpGxi2FFWZrChu1cV4AaABAg</v>
      </c>
      <c r="H2030" t="s">
        <v>119</v>
      </c>
      <c r="I2030" t="s">
        <v>7316</v>
      </c>
      <c r="J2030" t="str">
        <f>HYPERLINK("https://www.youtube.com/channel/UC-2rbi4_JkEfSiNKTxZdx9w")</f>
        <v>https://www.youtube.com/channel/UC-2rbi4_JkEfSiNKTxZdx9w</v>
      </c>
      <c r="K2030">
        <v>52</v>
      </c>
      <c r="L2030" t="s">
        <v>121</v>
      </c>
      <c r="N2030" t="s">
        <v>248</v>
      </c>
      <c r="O2030" t="s">
        <v>6930</v>
      </c>
      <c r="P2030" t="str">
        <f>HYPERLINK("https://www.youtube.com/channel/UCW47jKqLC9l-tWspoARe8tg")</f>
        <v>https://www.youtube.com/channel/UCW47jKqLC9l-tWspoARe8tg</v>
      </c>
      <c r="Q2030">
        <v>2440</v>
      </c>
      <c r="R2030" t="s">
        <v>124</v>
      </c>
      <c r="S2030" t="s">
        <v>125</v>
      </c>
      <c r="W2030">
        <v>3</v>
      </c>
      <c r="X2030">
        <v>3</v>
      </c>
      <c r="AE2030">
        <v>0</v>
      </c>
      <c r="AM2030" t="s">
        <v>129</v>
      </c>
      <c r="AN2030" t="s">
        <v>130</v>
      </c>
      <c r="AP2030" t="s">
        <v>41</v>
      </c>
      <c r="AZ2030" t="s">
        <v>51</v>
      </c>
      <c r="BA2030" t="s">
        <v>52</v>
      </c>
    </row>
    <row r="2031" spans="1:65" x14ac:dyDescent="0.2">
      <c r="A2031" t="s">
        <v>7276</v>
      </c>
      <c r="B2031" t="s">
        <v>4110</v>
      </c>
      <c r="C2031" t="s">
        <v>7317</v>
      </c>
      <c r="D2031" t="s">
        <v>129</v>
      </c>
      <c r="E2031" t="s">
        <v>7318</v>
      </c>
      <c r="F2031" t="s">
        <v>180</v>
      </c>
      <c r="G2031" t="str">
        <f>HYPERLINK("https://vk.com/wall-668996_1156647")</f>
        <v>https://vk.com/wall-668996_1156647</v>
      </c>
      <c r="H2031" t="s">
        <v>119</v>
      </c>
      <c r="I2031" t="s">
        <v>7319</v>
      </c>
      <c r="J2031" t="str">
        <f>HYPERLINK("http://vk.com/id89072111")</f>
        <v>http://vk.com/id89072111</v>
      </c>
      <c r="K2031">
        <v>2524</v>
      </c>
      <c r="L2031" t="s">
        <v>151</v>
      </c>
      <c r="M2031">
        <v>40</v>
      </c>
      <c r="N2031" t="s">
        <v>122</v>
      </c>
      <c r="O2031" t="s">
        <v>7320</v>
      </c>
      <c r="P2031" t="str">
        <f>HYPERLINK("http://vk.com/club668996")</f>
        <v>http://vk.com/club668996</v>
      </c>
      <c r="Q2031">
        <v>28090</v>
      </c>
      <c r="R2031" t="s">
        <v>124</v>
      </c>
      <c r="S2031" t="s">
        <v>125</v>
      </c>
      <c r="T2031" t="s">
        <v>7321</v>
      </c>
      <c r="U2031" t="s">
        <v>7322</v>
      </c>
      <c r="W2031">
        <v>0</v>
      </c>
      <c r="X2031">
        <v>0</v>
      </c>
      <c r="AE2031">
        <v>1</v>
      </c>
      <c r="AF2031">
        <v>1</v>
      </c>
      <c r="AM2031" t="s">
        <v>129</v>
      </c>
      <c r="AN2031" t="s">
        <v>130</v>
      </c>
      <c r="AP2031" t="s">
        <v>41</v>
      </c>
      <c r="BA2031" t="s">
        <v>52</v>
      </c>
      <c r="BE2031" t="s">
        <v>56</v>
      </c>
    </row>
    <row r="2032" spans="1:65" x14ac:dyDescent="0.2">
      <c r="A2032" t="s">
        <v>7276</v>
      </c>
      <c r="B2032" t="s">
        <v>202</v>
      </c>
      <c r="C2032" t="s">
        <v>7307</v>
      </c>
      <c r="D2032" t="s">
        <v>129</v>
      </c>
      <c r="E2032" t="s">
        <v>7323</v>
      </c>
      <c r="F2032" t="s">
        <v>180</v>
      </c>
      <c r="G2032" t="str">
        <f>HYPERLINK("https://vk.com/wall-22935147_368400")</f>
        <v>https://vk.com/wall-22935147_368400</v>
      </c>
      <c r="H2032" t="s">
        <v>119</v>
      </c>
      <c r="I2032" t="s">
        <v>4310</v>
      </c>
      <c r="J2032" t="str">
        <f>HYPERLINK("http://vk.com/id175290755")</f>
        <v>http://vk.com/id175290755</v>
      </c>
      <c r="K2032">
        <v>180</v>
      </c>
      <c r="L2032" t="s">
        <v>121</v>
      </c>
      <c r="M2032">
        <v>22</v>
      </c>
      <c r="N2032" t="s">
        <v>122</v>
      </c>
      <c r="O2032" t="s">
        <v>1093</v>
      </c>
      <c r="P2032" t="str">
        <f>HYPERLINK("http://vk.com/club22935147")</f>
        <v>http://vk.com/club22935147</v>
      </c>
      <c r="Q2032">
        <v>8943</v>
      </c>
      <c r="R2032" t="s">
        <v>124</v>
      </c>
      <c r="S2032" t="s">
        <v>125</v>
      </c>
      <c r="T2032" t="s">
        <v>1365</v>
      </c>
      <c r="U2032" t="s">
        <v>1366</v>
      </c>
      <c r="W2032">
        <v>7</v>
      </c>
      <c r="X2032">
        <v>7</v>
      </c>
      <c r="AE2032">
        <v>16</v>
      </c>
      <c r="AF2032">
        <v>0</v>
      </c>
      <c r="AG2032">
        <v>1987</v>
      </c>
      <c r="AM2032" t="s">
        <v>129</v>
      </c>
      <c r="AN2032" t="s">
        <v>130</v>
      </c>
      <c r="AP2032" t="s">
        <v>41</v>
      </c>
      <c r="AU2032" t="s">
        <v>46</v>
      </c>
      <c r="AZ2032" t="s">
        <v>51</v>
      </c>
      <c r="BA2032" t="s">
        <v>52</v>
      </c>
    </row>
    <row r="2033" spans="1:77" x14ac:dyDescent="0.2">
      <c r="A2033" t="s">
        <v>7276</v>
      </c>
      <c r="B2033" t="s">
        <v>812</v>
      </c>
      <c r="C2033" t="s">
        <v>7324</v>
      </c>
      <c r="D2033" t="s">
        <v>6927</v>
      </c>
      <c r="E2033" t="s">
        <v>7325</v>
      </c>
      <c r="F2033" t="s">
        <v>118</v>
      </c>
      <c r="G2033" t="str">
        <f>HYPERLINK("https://www.youtube.com/watch?v=5-5XmQsZfgY&amp;lc=Ugz40Tg5xyPHgCn8nCB4AaABAg.9PpPLADTR-H9PpPuxQd_O0")</f>
        <v>https://www.youtube.com/watch?v=5-5XmQsZfgY&amp;lc=Ugz40Tg5xyPHgCn8nCB4AaABAg.9PpPLADTR-H9PpPuxQd_O0</v>
      </c>
      <c r="H2033" t="s">
        <v>119</v>
      </c>
      <c r="I2033" t="s">
        <v>6930</v>
      </c>
      <c r="J2033" t="str">
        <f>HYPERLINK("https://www.youtube.com/channel/UCW47jKqLC9l-tWspoARe8tg")</f>
        <v>https://www.youtube.com/channel/UCW47jKqLC9l-tWspoARe8tg</v>
      </c>
      <c r="K2033">
        <v>2440</v>
      </c>
      <c r="N2033" t="s">
        <v>248</v>
      </c>
      <c r="O2033" t="s">
        <v>6930</v>
      </c>
      <c r="P2033" t="str">
        <f>HYPERLINK("https://www.youtube.com/channel/UCW47jKqLC9l-tWspoARe8tg")</f>
        <v>https://www.youtube.com/channel/UCW47jKqLC9l-tWspoARe8tg</v>
      </c>
      <c r="Q2033">
        <v>2440</v>
      </c>
      <c r="R2033" t="s">
        <v>124</v>
      </c>
      <c r="S2033" t="s">
        <v>125</v>
      </c>
      <c r="W2033">
        <v>0</v>
      </c>
      <c r="X2033">
        <v>0</v>
      </c>
      <c r="AM2033" t="s">
        <v>129</v>
      </c>
      <c r="AN2033" t="s">
        <v>130</v>
      </c>
      <c r="AP2033" t="s">
        <v>41</v>
      </c>
      <c r="AU2033" t="s">
        <v>46</v>
      </c>
      <c r="AZ2033" t="s">
        <v>51</v>
      </c>
      <c r="BA2033" t="s">
        <v>52</v>
      </c>
    </row>
    <row r="2034" spans="1:77" x14ac:dyDescent="0.2">
      <c r="A2034" t="s">
        <v>7276</v>
      </c>
      <c r="B2034" t="s">
        <v>208</v>
      </c>
      <c r="C2034" t="s">
        <v>7326</v>
      </c>
      <c r="D2034" t="s">
        <v>7327</v>
      </c>
      <c r="E2034" t="s">
        <v>7328</v>
      </c>
      <c r="F2034" t="s">
        <v>118</v>
      </c>
      <c r="G2034" t="str">
        <f>HYPERLINK("https://vk.com/wall-61101621_254663?reply=254668")</f>
        <v>https://vk.com/wall-61101621_254663?reply=254668</v>
      </c>
      <c r="H2034" t="s">
        <v>119</v>
      </c>
      <c r="I2034" t="s">
        <v>4011</v>
      </c>
      <c r="J2034" t="str">
        <f>HYPERLINK("http://vk.com/id481293267")</f>
        <v>http://vk.com/id481293267</v>
      </c>
      <c r="K2034">
        <v>23</v>
      </c>
      <c r="L2034" t="s">
        <v>121</v>
      </c>
      <c r="M2034">
        <v>45</v>
      </c>
      <c r="N2034" t="s">
        <v>122</v>
      </c>
      <c r="O2034" t="s">
        <v>160</v>
      </c>
      <c r="P2034" t="str">
        <f>HYPERLINK("http://vk.com/club61101621")</f>
        <v>http://vk.com/club61101621</v>
      </c>
      <c r="Q2034">
        <v>21119</v>
      </c>
      <c r="R2034" t="s">
        <v>124</v>
      </c>
      <c r="S2034" t="s">
        <v>1856</v>
      </c>
      <c r="T2034" t="s">
        <v>4012</v>
      </c>
      <c r="U2034" t="s">
        <v>4013</v>
      </c>
      <c r="W2034">
        <v>0</v>
      </c>
      <c r="X2034">
        <v>0</v>
      </c>
      <c r="AM2034" t="s">
        <v>129</v>
      </c>
      <c r="AN2034" t="s">
        <v>130</v>
      </c>
      <c r="AP2034" t="s">
        <v>41</v>
      </c>
      <c r="AY2034" t="s">
        <v>50</v>
      </c>
      <c r="AZ2034" t="s">
        <v>51</v>
      </c>
      <c r="BA2034" t="s">
        <v>52</v>
      </c>
    </row>
    <row r="2035" spans="1:77" x14ac:dyDescent="0.2">
      <c r="A2035" t="s">
        <v>7276</v>
      </c>
      <c r="B2035" t="s">
        <v>2928</v>
      </c>
      <c r="C2035" t="s">
        <v>7329</v>
      </c>
      <c r="D2035" t="s">
        <v>129</v>
      </c>
      <c r="E2035" t="s">
        <v>7330</v>
      </c>
      <c r="F2035" t="s">
        <v>180</v>
      </c>
      <c r="G2035" t="str">
        <f>HYPERLINK("https://www.facebook.com/permalink.php?story_fbid=4800746669949222&amp;id=100000418091633")</f>
        <v>https://www.facebook.com/permalink.php?story_fbid=4800746669949222&amp;id=100000418091633</v>
      </c>
      <c r="H2035" t="s">
        <v>119</v>
      </c>
      <c r="I2035" t="s">
        <v>7331</v>
      </c>
      <c r="J2035" t="str">
        <f>HYPERLINK("https://www.facebook.com/100000418091633")</f>
        <v>https://www.facebook.com/100000418091633</v>
      </c>
      <c r="K2035">
        <v>917</v>
      </c>
      <c r="L2035" t="s">
        <v>151</v>
      </c>
      <c r="N2035" t="s">
        <v>305</v>
      </c>
      <c r="O2035" t="s">
        <v>7331</v>
      </c>
      <c r="P2035" t="str">
        <f>HYPERLINK("https://www.facebook.com/100000418091633")</f>
        <v>https://www.facebook.com/100000418091633</v>
      </c>
      <c r="Q2035">
        <v>917</v>
      </c>
      <c r="R2035" t="s">
        <v>124</v>
      </c>
      <c r="S2035" t="s">
        <v>125</v>
      </c>
      <c r="T2035" t="s">
        <v>1365</v>
      </c>
      <c r="U2035" t="s">
        <v>1366</v>
      </c>
      <c r="W2035">
        <v>5</v>
      </c>
      <c r="X2035">
        <v>2</v>
      </c>
      <c r="Y2035">
        <v>0</v>
      </c>
      <c r="Z2035">
        <v>3</v>
      </c>
      <c r="AA2035">
        <v>0</v>
      </c>
      <c r="AB2035">
        <v>0</v>
      </c>
      <c r="AC2035">
        <v>0</v>
      </c>
      <c r="AE2035">
        <v>0</v>
      </c>
      <c r="AF2035">
        <v>0</v>
      </c>
      <c r="AJ2035" t="s">
        <v>7332</v>
      </c>
      <c r="AK2035" t="s">
        <v>453</v>
      </c>
      <c r="AL2035" t="s">
        <v>7333</v>
      </c>
      <c r="AM2035" t="s">
        <v>129</v>
      </c>
      <c r="AN2035" t="s">
        <v>130</v>
      </c>
      <c r="AP2035" t="s">
        <v>41</v>
      </c>
      <c r="AU2035" t="s">
        <v>46</v>
      </c>
      <c r="AZ2035" t="s">
        <v>51</v>
      </c>
      <c r="BA2035" t="s">
        <v>52</v>
      </c>
    </row>
    <row r="2036" spans="1:77" x14ac:dyDescent="0.2">
      <c r="A2036" t="s">
        <v>7276</v>
      </c>
      <c r="B2036" t="s">
        <v>224</v>
      </c>
      <c r="C2036" t="s">
        <v>7334</v>
      </c>
      <c r="D2036" t="s">
        <v>6050</v>
      </c>
      <c r="E2036" t="s">
        <v>7335</v>
      </c>
      <c r="F2036" t="s">
        <v>118</v>
      </c>
      <c r="G2036" t="str">
        <f>HYPERLINK("https://vk.com/wall-22935147_368393?w=wall-22935147_368393_r368399")</f>
        <v>https://vk.com/wall-22935147_368393?w=wall-22935147_368393_r368399</v>
      </c>
      <c r="H2036" t="s">
        <v>119</v>
      </c>
      <c r="I2036" t="s">
        <v>4221</v>
      </c>
      <c r="J2036" t="str">
        <f>HYPERLINK("http://vk.com/id242717820")</f>
        <v>http://vk.com/id242717820</v>
      </c>
      <c r="K2036">
        <v>38</v>
      </c>
      <c r="L2036" t="s">
        <v>121</v>
      </c>
      <c r="M2036">
        <v>46</v>
      </c>
      <c r="N2036" t="s">
        <v>122</v>
      </c>
      <c r="O2036" t="s">
        <v>1093</v>
      </c>
      <c r="P2036" t="str">
        <f>HYPERLINK("http://vk.com/club22935147")</f>
        <v>http://vk.com/club22935147</v>
      </c>
      <c r="Q2036">
        <v>8943</v>
      </c>
      <c r="R2036" t="s">
        <v>124</v>
      </c>
      <c r="S2036" t="s">
        <v>125</v>
      </c>
      <c r="T2036" t="s">
        <v>169</v>
      </c>
      <c r="U2036" t="s">
        <v>169</v>
      </c>
      <c r="W2036">
        <v>0</v>
      </c>
      <c r="X2036">
        <v>0</v>
      </c>
      <c r="AM2036" t="s">
        <v>129</v>
      </c>
      <c r="AN2036" t="s">
        <v>130</v>
      </c>
      <c r="AP2036" t="s">
        <v>41</v>
      </c>
      <c r="AU2036" t="s">
        <v>46</v>
      </c>
      <c r="AZ2036" t="s">
        <v>51</v>
      </c>
      <c r="BA2036" t="s">
        <v>52</v>
      </c>
    </row>
    <row r="2037" spans="1:77" x14ac:dyDescent="0.2">
      <c r="A2037" t="s">
        <v>7276</v>
      </c>
      <c r="B2037" t="s">
        <v>4135</v>
      </c>
      <c r="C2037" t="s">
        <v>7336</v>
      </c>
      <c r="D2037" t="s">
        <v>7337</v>
      </c>
      <c r="E2037" t="s">
        <v>7338</v>
      </c>
      <c r="F2037" t="s">
        <v>118</v>
      </c>
      <c r="G2037" t="str">
        <f>HYPERLINK("https://vk.com/wall-133839947_613745?reply=613889&amp;thread=613887")</f>
        <v>https://vk.com/wall-133839947_613745?reply=613889&amp;thread=613887</v>
      </c>
      <c r="H2037" t="s">
        <v>119</v>
      </c>
      <c r="I2037" t="s">
        <v>7339</v>
      </c>
      <c r="J2037" t="str">
        <f>HYPERLINK("http://vk.com/id221981007")</f>
        <v>http://vk.com/id221981007</v>
      </c>
      <c r="K2037">
        <v>117</v>
      </c>
      <c r="L2037" t="s">
        <v>121</v>
      </c>
      <c r="M2037">
        <v>35</v>
      </c>
      <c r="N2037" t="s">
        <v>122</v>
      </c>
      <c r="O2037" t="s">
        <v>7340</v>
      </c>
      <c r="P2037" t="str">
        <f>HYPERLINK("http://vk.com/club133839947")</f>
        <v>http://vk.com/club133839947</v>
      </c>
      <c r="Q2037">
        <v>54911</v>
      </c>
      <c r="R2037" t="s">
        <v>124</v>
      </c>
      <c r="S2037" t="s">
        <v>125</v>
      </c>
      <c r="T2037" t="s">
        <v>169</v>
      </c>
      <c r="U2037" t="s">
        <v>169</v>
      </c>
      <c r="AM2037" t="s">
        <v>129</v>
      </c>
      <c r="AN2037" t="s">
        <v>130</v>
      </c>
      <c r="AP2037" t="s">
        <v>41</v>
      </c>
      <c r="AT2037" t="s">
        <v>45</v>
      </c>
      <c r="AY2037" t="s">
        <v>50</v>
      </c>
      <c r="AZ2037" t="s">
        <v>51</v>
      </c>
      <c r="BA2037" t="s">
        <v>52</v>
      </c>
    </row>
    <row r="2038" spans="1:77" x14ac:dyDescent="0.2">
      <c r="A2038" t="s">
        <v>7276</v>
      </c>
      <c r="B2038" t="s">
        <v>4144</v>
      </c>
      <c r="C2038" t="s">
        <v>7341</v>
      </c>
      <c r="D2038" t="s">
        <v>6927</v>
      </c>
      <c r="E2038" t="s">
        <v>7342</v>
      </c>
      <c r="F2038" t="s">
        <v>118</v>
      </c>
      <c r="G2038" t="str">
        <f>HYPERLINK("https://www.youtube.com/watch?v=5-5XmQsZfgY&amp;lc=Ugw-XX0JYVDx3aXe1nd4AaABAg.9PpG3J0bmFp9PpLz_7AW1n")</f>
        <v>https://www.youtube.com/watch?v=5-5XmQsZfgY&amp;lc=Ugw-XX0JYVDx3aXe1nd4AaABAg.9PpG3J0bmFp9PpLz_7AW1n</v>
      </c>
      <c r="H2038" t="s">
        <v>119</v>
      </c>
      <c r="I2038" t="s">
        <v>7343</v>
      </c>
      <c r="J2038" t="str">
        <f>HYPERLINK("https://www.youtube.com/channel/UCITs0L7ntHx-5HBmInohz7A")</f>
        <v>https://www.youtube.com/channel/UCITs0L7ntHx-5HBmInohz7A</v>
      </c>
      <c r="K2038">
        <v>42</v>
      </c>
      <c r="L2038" t="s">
        <v>121</v>
      </c>
      <c r="N2038" t="s">
        <v>248</v>
      </c>
      <c r="O2038" t="s">
        <v>6930</v>
      </c>
      <c r="P2038" t="str">
        <f>HYPERLINK("https://www.youtube.com/channel/UCW47jKqLC9l-tWspoARe8tg")</f>
        <v>https://www.youtube.com/channel/UCW47jKqLC9l-tWspoARe8tg</v>
      </c>
      <c r="Q2038">
        <v>2440</v>
      </c>
      <c r="R2038" t="s">
        <v>124</v>
      </c>
      <c r="S2038" t="s">
        <v>125</v>
      </c>
      <c r="W2038">
        <v>0</v>
      </c>
      <c r="X2038">
        <v>0</v>
      </c>
      <c r="AM2038" t="s">
        <v>129</v>
      </c>
      <c r="AN2038" t="s">
        <v>130</v>
      </c>
      <c r="AP2038" t="s">
        <v>41</v>
      </c>
      <c r="AZ2038" t="s">
        <v>51</v>
      </c>
      <c r="BA2038" t="s">
        <v>52</v>
      </c>
      <c r="BM2038" t="s">
        <v>64</v>
      </c>
    </row>
    <row r="2039" spans="1:77" x14ac:dyDescent="0.2">
      <c r="A2039" t="s">
        <v>7276</v>
      </c>
      <c r="B2039" t="s">
        <v>1930</v>
      </c>
      <c r="C2039" t="s">
        <v>7344</v>
      </c>
      <c r="D2039" t="s">
        <v>7345</v>
      </c>
      <c r="E2039" t="s">
        <v>2260</v>
      </c>
      <c r="F2039" t="s">
        <v>118</v>
      </c>
      <c r="G2039" t="str">
        <f>HYPERLINK("https://www.facebook.com/story.php?story_fbid=4168377369917569&amp;id=100002360413124&amp;comment_id=4168485796573393&amp;reply_comment_id=4168563686565604")</f>
        <v>https://www.facebook.com/story.php?story_fbid=4168377369917569&amp;id=100002360413124&amp;comment_id=4168485796573393&amp;reply_comment_id=4168563686565604</v>
      </c>
      <c r="H2039" t="s">
        <v>119</v>
      </c>
      <c r="I2039" t="s">
        <v>695</v>
      </c>
      <c r="J2039" t="str">
        <f>HYPERLINK("https://www.facebook.com/100002360413124")</f>
        <v>https://www.facebook.com/100002360413124</v>
      </c>
      <c r="K2039">
        <v>5211</v>
      </c>
      <c r="L2039" t="s">
        <v>121</v>
      </c>
      <c r="N2039" t="s">
        <v>305</v>
      </c>
      <c r="O2039" t="s">
        <v>695</v>
      </c>
      <c r="P2039" t="str">
        <f>HYPERLINK("https://www.facebook.com/100002360413124")</f>
        <v>https://www.facebook.com/100002360413124</v>
      </c>
      <c r="Q2039">
        <v>5211</v>
      </c>
      <c r="R2039" t="s">
        <v>124</v>
      </c>
      <c r="S2039" t="s">
        <v>125</v>
      </c>
      <c r="T2039" t="s">
        <v>372</v>
      </c>
      <c r="U2039" t="s">
        <v>373</v>
      </c>
      <c r="W2039">
        <v>2</v>
      </c>
      <c r="X2039">
        <v>2</v>
      </c>
      <c r="AE2039">
        <v>0</v>
      </c>
      <c r="AM2039" t="s">
        <v>129</v>
      </c>
      <c r="AN2039" t="s">
        <v>130</v>
      </c>
      <c r="AP2039" t="s">
        <v>41</v>
      </c>
      <c r="AU2039" t="s">
        <v>46</v>
      </c>
      <c r="AZ2039" t="s">
        <v>51</v>
      </c>
      <c r="BA2039" t="s">
        <v>52</v>
      </c>
      <c r="BY2039" t="s">
        <v>76</v>
      </c>
    </row>
    <row r="2040" spans="1:77" x14ac:dyDescent="0.2">
      <c r="A2040" t="s">
        <v>7276</v>
      </c>
      <c r="B2040" t="s">
        <v>1345</v>
      </c>
      <c r="C2040" t="s">
        <v>7346</v>
      </c>
      <c r="D2040" t="s">
        <v>7327</v>
      </c>
      <c r="E2040" t="s">
        <v>7347</v>
      </c>
      <c r="F2040" t="s">
        <v>118</v>
      </c>
      <c r="G2040" t="str">
        <f>HYPERLINK("https://vk.com/wall-61101621_254663?reply=254667")</f>
        <v>https://vk.com/wall-61101621_254663?reply=254667</v>
      </c>
      <c r="H2040" t="s">
        <v>119</v>
      </c>
      <c r="I2040" t="s">
        <v>7348</v>
      </c>
      <c r="J2040" t="str">
        <f>HYPERLINK("http://vk.com/id8727778")</f>
        <v>http://vk.com/id8727778</v>
      </c>
      <c r="K2040">
        <v>51</v>
      </c>
      <c r="L2040" t="s">
        <v>121</v>
      </c>
      <c r="M2040">
        <v>35</v>
      </c>
      <c r="N2040" t="s">
        <v>122</v>
      </c>
      <c r="O2040" t="s">
        <v>160</v>
      </c>
      <c r="P2040" t="str">
        <f>HYPERLINK("http://vk.com/club61101621")</f>
        <v>http://vk.com/club61101621</v>
      </c>
      <c r="Q2040">
        <v>21119</v>
      </c>
      <c r="R2040" t="s">
        <v>124</v>
      </c>
      <c r="S2040" t="s">
        <v>1856</v>
      </c>
      <c r="W2040">
        <v>0</v>
      </c>
      <c r="X2040">
        <v>0</v>
      </c>
      <c r="AM2040" t="s">
        <v>129</v>
      </c>
      <c r="AN2040" t="s">
        <v>130</v>
      </c>
      <c r="AP2040" t="s">
        <v>41</v>
      </c>
      <c r="AU2040" t="s">
        <v>46</v>
      </c>
      <c r="AY2040" t="s">
        <v>50</v>
      </c>
      <c r="AZ2040" t="s">
        <v>51</v>
      </c>
      <c r="BB2040" t="s">
        <v>53</v>
      </c>
      <c r="BL2040" t="s">
        <v>63</v>
      </c>
    </row>
    <row r="2041" spans="1:77" x14ac:dyDescent="0.2">
      <c r="A2041" t="s">
        <v>7276</v>
      </c>
      <c r="B2041" t="s">
        <v>819</v>
      </c>
      <c r="C2041" t="s">
        <v>7341</v>
      </c>
      <c r="D2041" t="s">
        <v>6927</v>
      </c>
      <c r="E2041" t="s">
        <v>7349</v>
      </c>
      <c r="F2041" t="s">
        <v>118</v>
      </c>
      <c r="G2041" t="str">
        <f>HYPERLINK("https://www.youtube.com/watch?v=5-5XmQsZfgY&amp;lc=UgyCJFmEdE7sFaMN9gd4AaABAg")</f>
        <v>https://www.youtube.com/watch?v=5-5XmQsZfgY&amp;lc=UgyCJFmEdE7sFaMN9gd4AaABAg</v>
      </c>
      <c r="H2041" t="s">
        <v>119</v>
      </c>
      <c r="I2041" t="s">
        <v>7350</v>
      </c>
      <c r="J2041" t="str">
        <f>HYPERLINK("https://www.youtube.com/channel/UCz6djMAFjPik8BcCc2_eDkw")</f>
        <v>https://www.youtube.com/channel/UCz6djMAFjPik8BcCc2_eDkw</v>
      </c>
      <c r="K2041">
        <v>18500</v>
      </c>
      <c r="N2041" t="s">
        <v>248</v>
      </c>
      <c r="O2041" t="s">
        <v>6930</v>
      </c>
      <c r="P2041" t="str">
        <f>HYPERLINK("https://www.youtube.com/channel/UCW47jKqLC9l-tWspoARe8tg")</f>
        <v>https://www.youtube.com/channel/UCW47jKqLC9l-tWspoARe8tg</v>
      </c>
      <c r="Q2041">
        <v>2440</v>
      </c>
      <c r="R2041" t="s">
        <v>124</v>
      </c>
      <c r="S2041" t="s">
        <v>125</v>
      </c>
      <c r="W2041">
        <v>0</v>
      </c>
      <c r="X2041">
        <v>0</v>
      </c>
      <c r="AE2041">
        <v>0</v>
      </c>
      <c r="AM2041" t="s">
        <v>129</v>
      </c>
      <c r="AN2041" t="s">
        <v>130</v>
      </c>
      <c r="AP2041" t="s">
        <v>41</v>
      </c>
      <c r="AW2041" t="s">
        <v>48</v>
      </c>
      <c r="AZ2041" t="s">
        <v>51</v>
      </c>
      <c r="BA2041" t="s">
        <v>52</v>
      </c>
      <c r="BM2041" t="s">
        <v>64</v>
      </c>
    </row>
    <row r="2042" spans="1:77" x14ac:dyDescent="0.2">
      <c r="A2042" t="s">
        <v>7276</v>
      </c>
      <c r="B2042" t="s">
        <v>5548</v>
      </c>
      <c r="C2042" t="s">
        <v>7351</v>
      </c>
      <c r="D2042" t="s">
        <v>4951</v>
      </c>
      <c r="E2042" t="s">
        <v>7352</v>
      </c>
      <c r="F2042" t="s">
        <v>180</v>
      </c>
      <c r="G2042" t="str">
        <f>HYPERLINK("https://telesputnik.ru/forum/viewtopic.php?f=36&amp;t=86505&amp;start=160#p2480774")</f>
        <v>https://telesputnik.ru/forum/viewtopic.php?f=36&amp;t=86505&amp;start=160#p2480774</v>
      </c>
      <c r="H2042" t="s">
        <v>119</v>
      </c>
      <c r="I2042" t="s">
        <v>1966</v>
      </c>
      <c r="J2042" t="str">
        <f>HYPERLINK("https://telesputnik.ru/forum/memberlist.php?mode=viewprofile&amp;u=23379")</f>
        <v>https://telesputnik.ru/forum/memberlist.php?mode=viewprofile&amp;u=23379</v>
      </c>
      <c r="N2042" t="s">
        <v>335</v>
      </c>
      <c r="O2042" t="s">
        <v>909</v>
      </c>
      <c r="P2042" t="str">
        <f>HYPERLINK("https://telesputnik.ru/forum/viewforum.php?f=36")</f>
        <v>https://telesputnik.ru/forum/viewforum.php?f=36</v>
      </c>
      <c r="R2042" t="s">
        <v>295</v>
      </c>
      <c r="S2042" t="s">
        <v>125</v>
      </c>
      <c r="AM2042" t="s">
        <v>129</v>
      </c>
      <c r="AN2042" t="s">
        <v>130</v>
      </c>
      <c r="AP2042" t="s">
        <v>41</v>
      </c>
      <c r="AU2042" t="s">
        <v>46</v>
      </c>
      <c r="AZ2042" t="s">
        <v>51</v>
      </c>
      <c r="BA2042" t="s">
        <v>52</v>
      </c>
    </row>
    <row r="2043" spans="1:77" x14ac:dyDescent="0.2">
      <c r="A2043" t="s">
        <v>7276</v>
      </c>
      <c r="B2043" t="s">
        <v>4182</v>
      </c>
      <c r="C2043" t="s">
        <v>7341</v>
      </c>
      <c r="D2043" t="s">
        <v>6927</v>
      </c>
      <c r="E2043" t="s">
        <v>7353</v>
      </c>
      <c r="F2043" t="s">
        <v>118</v>
      </c>
      <c r="G2043" t="str">
        <f>HYPERLINK("https://www.youtube.com/watch?v=5-5XmQsZfgY&amp;lc=Ugw-XX0JYVDx3aXe1nd4AaABAg.9PpG3J0bmFp9PpGuu_vUTJ")</f>
        <v>https://www.youtube.com/watch?v=5-5XmQsZfgY&amp;lc=Ugw-XX0JYVDx3aXe1nd4AaABAg.9PpG3J0bmFp9PpGuu_vUTJ</v>
      </c>
      <c r="H2043" t="s">
        <v>119</v>
      </c>
      <c r="I2043" t="s">
        <v>6930</v>
      </c>
      <c r="J2043" t="str">
        <f>HYPERLINK("https://www.youtube.com/channel/UCW47jKqLC9l-tWspoARe8tg")</f>
        <v>https://www.youtube.com/channel/UCW47jKqLC9l-tWspoARe8tg</v>
      </c>
      <c r="K2043">
        <v>2440</v>
      </c>
      <c r="N2043" t="s">
        <v>248</v>
      </c>
      <c r="O2043" t="s">
        <v>6930</v>
      </c>
      <c r="P2043" t="str">
        <f>HYPERLINK("https://www.youtube.com/channel/UCW47jKqLC9l-tWspoARe8tg")</f>
        <v>https://www.youtube.com/channel/UCW47jKqLC9l-tWspoARe8tg</v>
      </c>
      <c r="Q2043">
        <v>2440</v>
      </c>
      <c r="R2043" t="s">
        <v>124</v>
      </c>
      <c r="S2043" t="s">
        <v>125</v>
      </c>
      <c r="W2043">
        <v>0</v>
      </c>
      <c r="X2043">
        <v>0</v>
      </c>
      <c r="AM2043" t="s">
        <v>129</v>
      </c>
      <c r="AN2043" t="s">
        <v>130</v>
      </c>
      <c r="AP2043" t="s">
        <v>41</v>
      </c>
      <c r="AZ2043" t="s">
        <v>51</v>
      </c>
      <c r="BA2043" t="s">
        <v>52</v>
      </c>
      <c r="BM2043" t="s">
        <v>64</v>
      </c>
    </row>
    <row r="2044" spans="1:77" x14ac:dyDescent="0.2">
      <c r="A2044" t="s">
        <v>7276</v>
      </c>
      <c r="B2044" t="s">
        <v>2403</v>
      </c>
      <c r="C2044" t="s">
        <v>7354</v>
      </c>
      <c r="D2044" t="s">
        <v>1660</v>
      </c>
      <c r="E2044" t="s">
        <v>7355</v>
      </c>
      <c r="F2044" t="s">
        <v>118</v>
      </c>
      <c r="G2044" t="str">
        <f>HYPERLINK("https://vk.com/topic-14098618_30777922?post=1999")</f>
        <v>https://vk.com/topic-14098618_30777922?post=1999</v>
      </c>
      <c r="H2044" t="s">
        <v>119</v>
      </c>
      <c r="I2044" t="s">
        <v>7356</v>
      </c>
      <c r="J2044" t="str">
        <f>HYPERLINK("http://vk.com/id598529350")</f>
        <v>http://vk.com/id598529350</v>
      </c>
      <c r="K2044">
        <v>332</v>
      </c>
      <c r="L2044" t="s">
        <v>151</v>
      </c>
      <c r="M2044">
        <v>45</v>
      </c>
      <c r="N2044" t="s">
        <v>122</v>
      </c>
      <c r="O2044" t="s">
        <v>1663</v>
      </c>
      <c r="P2044" t="str">
        <f>HYPERLINK("http://vk.com/club14098618")</f>
        <v>http://vk.com/club14098618</v>
      </c>
      <c r="Q2044">
        <v>4681</v>
      </c>
      <c r="R2044" t="s">
        <v>124</v>
      </c>
      <c r="S2044" t="s">
        <v>125</v>
      </c>
      <c r="T2044" t="s">
        <v>1832</v>
      </c>
      <c r="U2044" t="s">
        <v>1833</v>
      </c>
      <c r="AM2044" t="s">
        <v>129</v>
      </c>
      <c r="AN2044" t="s">
        <v>130</v>
      </c>
      <c r="AP2044" t="s">
        <v>41</v>
      </c>
      <c r="AY2044" t="s">
        <v>50</v>
      </c>
      <c r="BA2044" t="s">
        <v>52</v>
      </c>
      <c r="BE2044" t="s">
        <v>56</v>
      </c>
    </row>
    <row r="2045" spans="1:77" x14ac:dyDescent="0.2">
      <c r="A2045" t="s">
        <v>7276</v>
      </c>
      <c r="B2045" t="s">
        <v>1376</v>
      </c>
      <c r="C2045" t="s">
        <v>7357</v>
      </c>
      <c r="D2045" t="s">
        <v>7358</v>
      </c>
      <c r="E2045" t="s">
        <v>7359</v>
      </c>
      <c r="F2045" t="s">
        <v>118</v>
      </c>
      <c r="G2045" t="str">
        <f>HYPERLINK("https://vk.com/wall-98876289_311319?reply=311956&amp;thread=311324")</f>
        <v>https://vk.com/wall-98876289_311319?reply=311956&amp;thread=311324</v>
      </c>
      <c r="H2045" t="s">
        <v>119</v>
      </c>
      <c r="I2045" t="s">
        <v>7360</v>
      </c>
      <c r="J2045" t="str">
        <f>HYPERLINK("http://vk.com/id159149388")</f>
        <v>http://vk.com/id159149388</v>
      </c>
      <c r="K2045">
        <v>140</v>
      </c>
      <c r="L2045" t="s">
        <v>151</v>
      </c>
      <c r="N2045" t="s">
        <v>122</v>
      </c>
      <c r="O2045" t="s">
        <v>7361</v>
      </c>
      <c r="P2045" t="str">
        <f>HYPERLINK("http://vk.com/club98876289")</f>
        <v>http://vk.com/club98876289</v>
      </c>
      <c r="Q2045">
        <v>16149</v>
      </c>
      <c r="R2045" t="s">
        <v>124</v>
      </c>
      <c r="S2045" t="s">
        <v>125</v>
      </c>
      <c r="T2045" t="s">
        <v>230</v>
      </c>
      <c r="U2045" t="s">
        <v>231</v>
      </c>
      <c r="AM2045" t="s">
        <v>129</v>
      </c>
      <c r="AN2045" t="s">
        <v>130</v>
      </c>
      <c r="AP2045" t="s">
        <v>41</v>
      </c>
      <c r="AZ2045" t="s">
        <v>51</v>
      </c>
      <c r="BA2045" t="s">
        <v>52</v>
      </c>
      <c r="BM2045" t="s">
        <v>64</v>
      </c>
    </row>
    <row r="2046" spans="1:77" x14ac:dyDescent="0.2">
      <c r="A2046" t="s">
        <v>7276</v>
      </c>
      <c r="B2046" t="s">
        <v>1379</v>
      </c>
      <c r="C2046" t="s">
        <v>7341</v>
      </c>
      <c r="D2046" t="s">
        <v>6927</v>
      </c>
      <c r="E2046" t="s">
        <v>7362</v>
      </c>
      <c r="F2046" t="s">
        <v>118</v>
      </c>
      <c r="G2046" t="str">
        <f>HYPERLINK("https://www.youtube.com/watch?v=5-5XmQsZfgY&amp;lc=Ugw-XX0JYVDx3aXe1nd4AaABAg")</f>
        <v>https://www.youtube.com/watch?v=5-5XmQsZfgY&amp;lc=Ugw-XX0JYVDx3aXe1nd4AaABAg</v>
      </c>
      <c r="H2046" t="s">
        <v>119</v>
      </c>
      <c r="I2046" t="s">
        <v>7343</v>
      </c>
      <c r="J2046" t="str">
        <f>HYPERLINK("https://www.youtube.com/channel/UCITs0L7ntHx-5HBmInohz7A")</f>
        <v>https://www.youtube.com/channel/UCITs0L7ntHx-5HBmInohz7A</v>
      </c>
      <c r="K2046">
        <v>42</v>
      </c>
      <c r="L2046" t="s">
        <v>121</v>
      </c>
      <c r="N2046" t="s">
        <v>248</v>
      </c>
      <c r="O2046" t="s">
        <v>6930</v>
      </c>
      <c r="P2046" t="str">
        <f>HYPERLINK("https://www.youtube.com/channel/UCW47jKqLC9l-tWspoARe8tg")</f>
        <v>https://www.youtube.com/channel/UCW47jKqLC9l-tWspoARe8tg</v>
      </c>
      <c r="Q2046">
        <v>2440</v>
      </c>
      <c r="R2046" t="s">
        <v>124</v>
      </c>
      <c r="S2046" t="s">
        <v>125</v>
      </c>
      <c r="W2046">
        <v>0</v>
      </c>
      <c r="X2046">
        <v>0</v>
      </c>
      <c r="AE2046">
        <v>4</v>
      </c>
      <c r="AM2046" t="s">
        <v>129</v>
      </c>
      <c r="AN2046" t="s">
        <v>130</v>
      </c>
      <c r="AP2046" t="s">
        <v>41</v>
      </c>
      <c r="AT2046" t="s">
        <v>45</v>
      </c>
      <c r="AZ2046" t="s">
        <v>51</v>
      </c>
      <c r="BA2046" t="s">
        <v>52</v>
      </c>
      <c r="BM2046" t="s">
        <v>64</v>
      </c>
    </row>
    <row r="2047" spans="1:77" x14ac:dyDescent="0.2">
      <c r="A2047" t="s">
        <v>7276</v>
      </c>
      <c r="B2047" t="s">
        <v>7363</v>
      </c>
      <c r="C2047" t="s">
        <v>7364</v>
      </c>
      <c r="D2047" t="s">
        <v>7365</v>
      </c>
      <c r="E2047" t="s">
        <v>7366</v>
      </c>
      <c r="F2047" t="s">
        <v>118</v>
      </c>
      <c r="G2047" t="str">
        <f>HYPERLINK("https://vk.com/wall-235490_8649523?reply=8650293")</f>
        <v>https://vk.com/wall-235490_8649523?reply=8650293</v>
      </c>
      <c r="H2047" t="s">
        <v>228</v>
      </c>
      <c r="I2047" t="s">
        <v>7367</v>
      </c>
      <c r="J2047" t="str">
        <f>HYPERLINK("http://vk.com/id923609")</f>
        <v>http://vk.com/id923609</v>
      </c>
      <c r="K2047">
        <v>90</v>
      </c>
      <c r="L2047" t="s">
        <v>121</v>
      </c>
      <c r="M2047">
        <v>110</v>
      </c>
      <c r="N2047" t="s">
        <v>122</v>
      </c>
      <c r="O2047" t="s">
        <v>7368</v>
      </c>
      <c r="P2047" t="str">
        <f>HYPERLINK("http://vk.com/club235490")</f>
        <v>http://vk.com/club235490</v>
      </c>
      <c r="Q2047">
        <v>76197</v>
      </c>
      <c r="R2047" t="s">
        <v>124</v>
      </c>
      <c r="S2047" t="s">
        <v>125</v>
      </c>
      <c r="T2047" t="s">
        <v>169</v>
      </c>
      <c r="U2047" t="s">
        <v>169</v>
      </c>
      <c r="AM2047" t="s">
        <v>129</v>
      </c>
      <c r="AN2047" t="s">
        <v>130</v>
      </c>
      <c r="AP2047" t="s">
        <v>41</v>
      </c>
      <c r="AW2047" t="s">
        <v>48</v>
      </c>
      <c r="AZ2047" t="s">
        <v>51</v>
      </c>
      <c r="BA2047" t="s">
        <v>52</v>
      </c>
    </row>
    <row r="2048" spans="1:77" x14ac:dyDescent="0.2">
      <c r="A2048" t="s">
        <v>7276</v>
      </c>
      <c r="B2048" t="s">
        <v>4213</v>
      </c>
      <c r="C2048" t="s">
        <v>5594</v>
      </c>
      <c r="D2048" t="s">
        <v>7369</v>
      </c>
      <c r="E2048" t="s">
        <v>7370</v>
      </c>
      <c r="F2048" t="s">
        <v>180</v>
      </c>
      <c r="G2048" t="str">
        <f>HYPERLINK("https://www.ozon.ru/context/detail/id/249537384/#59688005")</f>
        <v>https://www.ozon.ru/context/detail/id/249537384/#59688005</v>
      </c>
      <c r="H2048" t="s">
        <v>181</v>
      </c>
      <c r="I2048" t="s">
        <v>7371</v>
      </c>
      <c r="J2048" t="str">
        <f>HYPERLINK("https://www.ozon.ru/context/client_opinion/ClientGuid/a7d282b1-4c5d-4580-90a8-54b9984add71/")</f>
        <v>https://www.ozon.ru/context/client_opinion/ClientGuid/a7d282b1-4c5d-4580-90a8-54b9984add71/</v>
      </c>
      <c r="L2048" t="s">
        <v>121</v>
      </c>
      <c r="N2048" t="s">
        <v>183</v>
      </c>
      <c r="O2048" t="s">
        <v>7372</v>
      </c>
      <c r="P2048" t="str">
        <f>HYPERLINK("https://www.ozon.ru/context/detail/id/249537384/")</f>
        <v>https://www.ozon.ru/context/detail/id/249537384/</v>
      </c>
      <c r="R2048" t="s">
        <v>184</v>
      </c>
      <c r="S2048" t="s">
        <v>125</v>
      </c>
      <c r="W2048">
        <v>0</v>
      </c>
      <c r="X2048">
        <v>0</v>
      </c>
      <c r="AH2048">
        <v>5</v>
      </c>
      <c r="AM2048" t="s">
        <v>129</v>
      </c>
      <c r="AN2048" t="s">
        <v>130</v>
      </c>
      <c r="AP2048" t="s">
        <v>41</v>
      </c>
      <c r="AT2048" t="s">
        <v>45</v>
      </c>
      <c r="AZ2048" t="s">
        <v>51</v>
      </c>
      <c r="BA2048" t="s">
        <v>52</v>
      </c>
    </row>
    <row r="2049" spans="1:69" x14ac:dyDescent="0.2">
      <c r="A2049" t="s">
        <v>7276</v>
      </c>
      <c r="B2049" t="s">
        <v>2437</v>
      </c>
      <c r="C2049" t="s">
        <v>7373</v>
      </c>
      <c r="D2049" t="s">
        <v>7374</v>
      </c>
      <c r="E2049" t="s">
        <v>7375</v>
      </c>
      <c r="F2049" t="s">
        <v>118</v>
      </c>
      <c r="G2049" t="str">
        <f>HYPERLINK("https://vk.com/wall-27863223_291691?reply=291832&amp;thread=291813")</f>
        <v>https://vk.com/wall-27863223_291691?reply=291832&amp;thread=291813</v>
      </c>
      <c r="H2049" t="s">
        <v>119</v>
      </c>
      <c r="I2049" t="s">
        <v>7376</v>
      </c>
      <c r="J2049" t="str">
        <f>HYPERLINK("http://vk.com/id647565")</f>
        <v>http://vk.com/id647565</v>
      </c>
      <c r="K2049">
        <v>116</v>
      </c>
      <c r="L2049" t="s">
        <v>121</v>
      </c>
      <c r="N2049" t="s">
        <v>122</v>
      </c>
      <c r="O2049" t="s">
        <v>175</v>
      </c>
      <c r="P2049" t="str">
        <f>HYPERLINK("http://vk.com/club27863223")</f>
        <v>http://vk.com/club27863223</v>
      </c>
      <c r="Q2049">
        <v>134698</v>
      </c>
      <c r="R2049" t="s">
        <v>124</v>
      </c>
      <c r="S2049" t="s">
        <v>125</v>
      </c>
      <c r="T2049" t="s">
        <v>137</v>
      </c>
      <c r="U2049" t="s">
        <v>137</v>
      </c>
      <c r="AM2049" t="s">
        <v>129</v>
      </c>
      <c r="AN2049" t="s">
        <v>130</v>
      </c>
      <c r="AP2049" t="s">
        <v>41</v>
      </c>
      <c r="AU2049" t="s">
        <v>46</v>
      </c>
      <c r="AW2049" t="s">
        <v>48</v>
      </c>
      <c r="AZ2049" t="s">
        <v>51</v>
      </c>
      <c r="BA2049" t="s">
        <v>52</v>
      </c>
    </row>
    <row r="2050" spans="1:69" x14ac:dyDescent="0.2">
      <c r="A2050" t="s">
        <v>7276</v>
      </c>
      <c r="B2050" t="s">
        <v>2447</v>
      </c>
      <c r="C2050" t="s">
        <v>7377</v>
      </c>
      <c r="D2050" t="s">
        <v>175</v>
      </c>
      <c r="E2050" t="s">
        <v>7378</v>
      </c>
      <c r="F2050" t="s">
        <v>180</v>
      </c>
      <c r="G2050" t="str">
        <f>HYPERLINK("https://yandex.ru/maps/org/1067778531#WFQ9BguKN7w1C_RlD8HS--7BYLRaRCDk7")</f>
        <v>https://yandex.ru/maps/org/1067778531#WFQ9BguKN7w1C_RlD8HS--7BYLRaRCDk7</v>
      </c>
      <c r="H2050" t="s">
        <v>181</v>
      </c>
      <c r="I2050" t="s">
        <v>7379</v>
      </c>
      <c r="J2050" t="str">
        <f>HYPERLINK("https://yandex.ru/maps/org/1067778531#WFQ9BguKN7w1C_RlD8HS--7BYLRaRCDk7")</f>
        <v>https://yandex.ru/maps/org/1067778531#WFQ9BguKN7w1C_RlD8HS--7BYLRaRCDk7</v>
      </c>
      <c r="L2050" t="s">
        <v>151</v>
      </c>
      <c r="N2050" t="s">
        <v>236</v>
      </c>
      <c r="O2050" t="s">
        <v>175</v>
      </c>
      <c r="P2050" t="str">
        <f>HYPERLINK("https://yandex.ru/maps/org/1067778531")</f>
        <v>https://yandex.ru/maps/org/1067778531</v>
      </c>
      <c r="R2050" t="s">
        <v>184</v>
      </c>
      <c r="S2050" t="s">
        <v>125</v>
      </c>
      <c r="T2050" t="s">
        <v>2225</v>
      </c>
      <c r="U2050" t="s">
        <v>7380</v>
      </c>
      <c r="W2050">
        <v>0</v>
      </c>
      <c r="X2050">
        <v>0</v>
      </c>
      <c r="AH2050">
        <v>5</v>
      </c>
      <c r="AM2050" t="s">
        <v>129</v>
      </c>
      <c r="AN2050" t="s">
        <v>130</v>
      </c>
      <c r="AP2050" t="s">
        <v>41</v>
      </c>
      <c r="AX2050" t="s">
        <v>49</v>
      </c>
      <c r="AZ2050" t="s">
        <v>51</v>
      </c>
      <c r="BA2050" t="s">
        <v>52</v>
      </c>
      <c r="BL2050" t="s">
        <v>63</v>
      </c>
    </row>
    <row r="2051" spans="1:69" x14ac:dyDescent="0.2">
      <c r="A2051" t="s">
        <v>7276</v>
      </c>
      <c r="B2051" t="s">
        <v>5982</v>
      </c>
      <c r="C2051" t="s">
        <v>7381</v>
      </c>
      <c r="D2051" t="s">
        <v>7327</v>
      </c>
      <c r="E2051" t="s">
        <v>7382</v>
      </c>
      <c r="F2051" t="s">
        <v>118</v>
      </c>
      <c r="G2051" t="str">
        <f>HYPERLINK("https://vk.com/wall-61101621_254663?reply=254664")</f>
        <v>https://vk.com/wall-61101621_254663?reply=254664</v>
      </c>
      <c r="H2051" t="s">
        <v>119</v>
      </c>
      <c r="I2051" t="s">
        <v>733</v>
      </c>
      <c r="J2051" t="str">
        <f>HYPERLINK("http://vk.com/id618635793")</f>
        <v>http://vk.com/id618635793</v>
      </c>
      <c r="K2051">
        <v>18</v>
      </c>
      <c r="L2051" t="s">
        <v>121</v>
      </c>
      <c r="M2051">
        <v>53</v>
      </c>
      <c r="N2051" t="s">
        <v>122</v>
      </c>
      <c r="O2051" t="s">
        <v>160</v>
      </c>
      <c r="P2051" t="str">
        <f>HYPERLINK("http://vk.com/club61101621")</f>
        <v>http://vk.com/club61101621</v>
      </c>
      <c r="Q2051">
        <v>21119</v>
      </c>
      <c r="R2051" t="s">
        <v>124</v>
      </c>
      <c r="S2051" t="s">
        <v>125</v>
      </c>
      <c r="T2051" t="s">
        <v>212</v>
      </c>
      <c r="U2051" t="s">
        <v>734</v>
      </c>
      <c r="W2051">
        <v>0</v>
      </c>
      <c r="X2051">
        <v>0</v>
      </c>
      <c r="AM2051" t="s">
        <v>129</v>
      </c>
      <c r="AN2051" t="s">
        <v>130</v>
      </c>
      <c r="AP2051" t="s">
        <v>41</v>
      </c>
      <c r="AY2051" t="s">
        <v>50</v>
      </c>
      <c r="AZ2051" t="s">
        <v>51</v>
      </c>
      <c r="BA2051" t="s">
        <v>52</v>
      </c>
    </row>
    <row r="2052" spans="1:69" x14ac:dyDescent="0.2">
      <c r="A2052" t="s">
        <v>7276</v>
      </c>
      <c r="B2052" t="s">
        <v>877</v>
      </c>
      <c r="C2052" t="s">
        <v>7383</v>
      </c>
      <c r="D2052" t="s">
        <v>204</v>
      </c>
      <c r="E2052" t="s">
        <v>7384</v>
      </c>
      <c r="F2052" t="s">
        <v>180</v>
      </c>
      <c r="G2052" t="str">
        <f>HYPERLINK("https://play.google.com/store/apps/details?id=ru.iflex.android.a3colortv&amp;reviewId=gp:AOqpTOFxphJ9h24neOfvDZlvT3fMvX8WevgyXpNsjxT_BhNbVRA1x5ZSm0G6HJolkV7WXu9jjjwwVWxPuSV8tA")</f>
        <v>https://play.google.com/store/apps/details?id=ru.iflex.android.a3colortv&amp;reviewId=gp:AOqpTOFxphJ9h24neOfvDZlvT3fMvX8WevgyXpNsjxT_BhNbVRA1x5ZSm0G6HJolkV7WXu9jjjwwVWxPuSV8tA</v>
      </c>
      <c r="H2052" t="s">
        <v>181</v>
      </c>
      <c r="I2052" t="s">
        <v>7385</v>
      </c>
      <c r="J2052" t="str">
        <f>HYPERLINK("https://plus.google.com/111854454934166544310")</f>
        <v>https://plus.google.com/111854454934166544310</v>
      </c>
      <c r="N2052" t="s">
        <v>207</v>
      </c>
      <c r="O2052" t="s">
        <v>204</v>
      </c>
      <c r="P2052" t="str">
        <f>HYPERLINK("https://play.google.com/store/apps/details?id=ru.iflex.android.a3colortv&amp;hl=ru")</f>
        <v>https://play.google.com/store/apps/details?id=ru.iflex.android.a3colortv&amp;hl=ru</v>
      </c>
      <c r="R2052" t="s">
        <v>184</v>
      </c>
      <c r="S2052" t="s">
        <v>125</v>
      </c>
      <c r="W2052">
        <v>0</v>
      </c>
      <c r="X2052">
        <v>0</v>
      </c>
      <c r="AH2052">
        <v>5</v>
      </c>
      <c r="AM2052" t="s">
        <v>129</v>
      </c>
      <c r="AN2052" t="s">
        <v>130</v>
      </c>
      <c r="AP2052" t="s">
        <v>41</v>
      </c>
      <c r="AZ2052" t="s">
        <v>51</v>
      </c>
      <c r="BA2052" t="s">
        <v>52</v>
      </c>
      <c r="BP2052" t="s">
        <v>67</v>
      </c>
      <c r="BQ2052" t="s">
        <v>68</v>
      </c>
    </row>
    <row r="2053" spans="1:69" x14ac:dyDescent="0.2">
      <c r="A2053" t="s">
        <v>7276</v>
      </c>
      <c r="B2053" t="s">
        <v>3718</v>
      </c>
      <c r="C2053" t="s">
        <v>7386</v>
      </c>
      <c r="D2053" t="s">
        <v>7387</v>
      </c>
      <c r="E2053" t="s">
        <v>7388</v>
      </c>
      <c r="F2053" t="s">
        <v>118</v>
      </c>
      <c r="G2053" t="str">
        <f>HYPERLINK("https://www.youtube.com/watch?v=dqNenENZEfE&amp;lc=UgwO9-mLguVch9AJQvJ4AaABAg")</f>
        <v>https://www.youtube.com/watch?v=dqNenENZEfE&amp;lc=UgwO9-mLguVch9AJQvJ4AaABAg</v>
      </c>
      <c r="H2053" t="s">
        <v>119</v>
      </c>
      <c r="I2053" t="s">
        <v>1310</v>
      </c>
      <c r="J2053" t="str">
        <f>HYPERLINK("https://www.youtube.com/channel/UCyAfnDZqRM3t3s0xUWm0FCw")</f>
        <v>https://www.youtube.com/channel/UCyAfnDZqRM3t3s0xUWm0FCw</v>
      </c>
      <c r="K2053">
        <v>4</v>
      </c>
      <c r="L2053" t="s">
        <v>121</v>
      </c>
      <c r="N2053" t="s">
        <v>248</v>
      </c>
      <c r="O2053" t="s">
        <v>7389</v>
      </c>
      <c r="P2053" t="str">
        <f>HYPERLINK("https://www.youtube.com/channel/UC19IOysDqESv-VB8w9h3w1Q")</f>
        <v>https://www.youtube.com/channel/UC19IOysDqESv-VB8w9h3w1Q</v>
      </c>
      <c r="Q2053">
        <v>2400</v>
      </c>
      <c r="R2053" t="s">
        <v>124</v>
      </c>
      <c r="S2053" t="s">
        <v>125</v>
      </c>
      <c r="W2053">
        <v>0</v>
      </c>
      <c r="X2053">
        <v>0</v>
      </c>
      <c r="AE2053">
        <v>1</v>
      </c>
      <c r="AM2053" t="s">
        <v>129</v>
      </c>
      <c r="AN2053" t="s">
        <v>130</v>
      </c>
      <c r="AP2053" t="s">
        <v>41</v>
      </c>
      <c r="BA2053" t="s">
        <v>52</v>
      </c>
      <c r="BE2053" t="s">
        <v>56</v>
      </c>
      <c r="BQ2053" t="s">
        <v>68</v>
      </c>
    </row>
    <row r="2054" spans="1:69" x14ac:dyDescent="0.2">
      <c r="A2054" t="s">
        <v>7276</v>
      </c>
      <c r="B2054" t="s">
        <v>1969</v>
      </c>
      <c r="C2054" t="s">
        <v>7390</v>
      </c>
      <c r="D2054" t="s">
        <v>3261</v>
      </c>
      <c r="E2054" t="s">
        <v>7391</v>
      </c>
      <c r="F2054" t="s">
        <v>180</v>
      </c>
      <c r="G2054" t="str">
        <f>HYPERLINK("https://www.wildberries.ru/catalog/5691258/detail.aspx?targetUrl=ES#Comments")</f>
        <v>https://www.wildberries.ru/catalog/5691258/detail.aspx?targetUrl=ES#Comments</v>
      </c>
      <c r="H2054" t="s">
        <v>181</v>
      </c>
      <c r="I2054" t="s">
        <v>7392</v>
      </c>
      <c r="J2054" t="str">
        <f>HYPERLINK("https://www.wildberries.ru/profile/w7TDssOkw7PCu8KywrHCsMKywrLCuMKwwrQ=")</f>
        <v>https://www.wildberries.ru/profile/w7TDssOkw7PCu8KywrHCsMKywrLCuMKwwrQ=</v>
      </c>
      <c r="L2054" t="s">
        <v>151</v>
      </c>
      <c r="N2054" t="s">
        <v>534</v>
      </c>
      <c r="O2054" t="s">
        <v>3261</v>
      </c>
      <c r="P2054" t="str">
        <f>HYPERLINK("https://www.wildberries.ru/catalog/4570035/detail.aspx")</f>
        <v>https://www.wildberries.ru/catalog/4570035/detail.aspx</v>
      </c>
      <c r="R2054" t="s">
        <v>184</v>
      </c>
      <c r="S2054" t="s">
        <v>125</v>
      </c>
      <c r="W2054">
        <v>0</v>
      </c>
      <c r="X2054">
        <v>0</v>
      </c>
      <c r="AH2054">
        <v>5</v>
      </c>
      <c r="AM2054" t="s">
        <v>129</v>
      </c>
      <c r="AN2054" t="s">
        <v>130</v>
      </c>
      <c r="AP2054" t="s">
        <v>41</v>
      </c>
      <c r="AZ2054" t="s">
        <v>51</v>
      </c>
      <c r="BA2054" t="s">
        <v>52</v>
      </c>
      <c r="BK2054" t="s">
        <v>62</v>
      </c>
    </row>
    <row r="2055" spans="1:69" x14ac:dyDescent="0.2">
      <c r="A2055" t="s">
        <v>7276</v>
      </c>
      <c r="B2055" t="s">
        <v>316</v>
      </c>
      <c r="C2055" t="s">
        <v>7393</v>
      </c>
      <c r="D2055" t="s">
        <v>7394</v>
      </c>
      <c r="E2055" t="s">
        <v>7395</v>
      </c>
      <c r="F2055" t="s">
        <v>180</v>
      </c>
      <c r="G2055" t="str">
        <f>HYPERLINK("https://www.wildberries.ru/catalog/27824475/detail.aspx?targetUrl=ES#Comments")</f>
        <v>https://www.wildberries.ru/catalog/27824475/detail.aspx?targetUrl=ES#Comments</v>
      </c>
      <c r="H2055" t="s">
        <v>181</v>
      </c>
      <c r="I2055" t="s">
        <v>3026</v>
      </c>
      <c r="J2055" t="str">
        <f>HYPERLINK("https://www.wildberries.ru/profile/w7TDssOkw7PCu8KzwrnCsMKywrPCuMK4wrE=")</f>
        <v>https://www.wildberries.ru/profile/w7TDssOkw7PCu8KzwrnCsMKywrPCuMK4wrE=</v>
      </c>
      <c r="L2055" t="s">
        <v>151</v>
      </c>
      <c r="N2055" t="s">
        <v>534</v>
      </c>
      <c r="O2055" t="s">
        <v>7394</v>
      </c>
      <c r="P2055" t="str">
        <f>HYPERLINK("https://www.wildberries.ru/catalog/20414642/detail.aspx")</f>
        <v>https://www.wildberries.ru/catalog/20414642/detail.aspx</v>
      </c>
      <c r="R2055" t="s">
        <v>184</v>
      </c>
      <c r="S2055" t="s">
        <v>125</v>
      </c>
      <c r="W2055">
        <v>0</v>
      </c>
      <c r="X2055">
        <v>0</v>
      </c>
      <c r="AH2055">
        <v>5</v>
      </c>
      <c r="AM2055" t="s">
        <v>129</v>
      </c>
      <c r="AN2055" t="s">
        <v>130</v>
      </c>
      <c r="AP2055" t="s">
        <v>41</v>
      </c>
      <c r="AZ2055" t="s">
        <v>51</v>
      </c>
      <c r="BA2055" t="s">
        <v>52</v>
      </c>
      <c r="BL2055" t="s">
        <v>63</v>
      </c>
    </row>
    <row r="2056" spans="1:69" x14ac:dyDescent="0.2">
      <c r="A2056" t="s">
        <v>7276</v>
      </c>
      <c r="B2056" t="s">
        <v>1442</v>
      </c>
      <c r="C2056" t="s">
        <v>7396</v>
      </c>
      <c r="D2056" t="s">
        <v>7358</v>
      </c>
      <c r="E2056" t="s">
        <v>7397</v>
      </c>
      <c r="F2056" t="s">
        <v>118</v>
      </c>
      <c r="G2056" t="str">
        <f>HYPERLINK("https://vk.com/wall-98876289_311319?reply=311925&amp;thread=311324")</f>
        <v>https://vk.com/wall-98876289_311319?reply=311925&amp;thread=311324</v>
      </c>
      <c r="H2056" t="s">
        <v>119</v>
      </c>
      <c r="I2056" t="s">
        <v>7398</v>
      </c>
      <c r="J2056" t="str">
        <f>HYPERLINK("http://vk.com/id53313353")</f>
        <v>http://vk.com/id53313353</v>
      </c>
      <c r="K2056">
        <v>245</v>
      </c>
      <c r="L2056" t="s">
        <v>121</v>
      </c>
      <c r="N2056" t="s">
        <v>122</v>
      </c>
      <c r="O2056" t="s">
        <v>7361</v>
      </c>
      <c r="P2056" t="str">
        <f>HYPERLINK("http://vk.com/club98876289")</f>
        <v>http://vk.com/club98876289</v>
      </c>
      <c r="Q2056">
        <v>16149</v>
      </c>
      <c r="R2056" t="s">
        <v>124</v>
      </c>
      <c r="S2056" t="s">
        <v>125</v>
      </c>
      <c r="AM2056" t="s">
        <v>129</v>
      </c>
      <c r="AN2056" t="s">
        <v>130</v>
      </c>
      <c r="AP2056" t="s">
        <v>41</v>
      </c>
      <c r="AZ2056" t="s">
        <v>51</v>
      </c>
      <c r="BA2056" t="s">
        <v>52</v>
      </c>
      <c r="BM2056" t="s">
        <v>64</v>
      </c>
    </row>
    <row r="2057" spans="1:69" x14ac:dyDescent="0.2">
      <c r="A2057" t="s">
        <v>7276</v>
      </c>
      <c r="B2057" t="s">
        <v>1446</v>
      </c>
      <c r="C2057" t="s">
        <v>7399</v>
      </c>
      <c r="D2057" t="s">
        <v>7358</v>
      </c>
      <c r="E2057" t="s">
        <v>7400</v>
      </c>
      <c r="F2057" t="s">
        <v>118</v>
      </c>
      <c r="G2057" t="str">
        <f>HYPERLINK("https://vk.com/wall-98876289_311319?reply=311924&amp;thread=311324")</f>
        <v>https://vk.com/wall-98876289_311319?reply=311924&amp;thread=311324</v>
      </c>
      <c r="H2057" t="s">
        <v>119</v>
      </c>
      <c r="I2057" t="s">
        <v>7398</v>
      </c>
      <c r="J2057" t="str">
        <f>HYPERLINK("http://vk.com/id53313353")</f>
        <v>http://vk.com/id53313353</v>
      </c>
      <c r="K2057">
        <v>245</v>
      </c>
      <c r="L2057" t="s">
        <v>121</v>
      </c>
      <c r="N2057" t="s">
        <v>122</v>
      </c>
      <c r="O2057" t="s">
        <v>7361</v>
      </c>
      <c r="P2057" t="str">
        <f>HYPERLINK("http://vk.com/club98876289")</f>
        <v>http://vk.com/club98876289</v>
      </c>
      <c r="Q2057">
        <v>16149</v>
      </c>
      <c r="R2057" t="s">
        <v>124</v>
      </c>
      <c r="S2057" t="s">
        <v>125</v>
      </c>
      <c r="AM2057" t="s">
        <v>129</v>
      </c>
      <c r="AN2057" t="s">
        <v>130</v>
      </c>
      <c r="AP2057" t="s">
        <v>41</v>
      </c>
      <c r="AZ2057" t="s">
        <v>51</v>
      </c>
      <c r="BA2057" t="s">
        <v>52</v>
      </c>
      <c r="BM2057" t="s">
        <v>64</v>
      </c>
    </row>
    <row r="2058" spans="1:69" x14ac:dyDescent="0.2">
      <c r="A2058" t="s">
        <v>7276</v>
      </c>
      <c r="B2058" t="s">
        <v>2478</v>
      </c>
      <c r="C2058" t="s">
        <v>7401</v>
      </c>
      <c r="D2058" t="s">
        <v>7358</v>
      </c>
      <c r="E2058" t="s">
        <v>7402</v>
      </c>
      <c r="F2058" t="s">
        <v>118</v>
      </c>
      <c r="G2058" t="str">
        <f>HYPERLINK("https://vk.com/wall-98876289_311319?reply=311922&amp;thread=311324")</f>
        <v>https://vk.com/wall-98876289_311319?reply=311922&amp;thread=311324</v>
      </c>
      <c r="H2058" t="s">
        <v>119</v>
      </c>
      <c r="I2058" t="s">
        <v>7398</v>
      </c>
      <c r="J2058" t="str">
        <f>HYPERLINK("http://vk.com/id53313353")</f>
        <v>http://vk.com/id53313353</v>
      </c>
      <c r="K2058">
        <v>245</v>
      </c>
      <c r="L2058" t="s">
        <v>121</v>
      </c>
      <c r="N2058" t="s">
        <v>122</v>
      </c>
      <c r="O2058" t="s">
        <v>7361</v>
      </c>
      <c r="P2058" t="str">
        <f>HYPERLINK("http://vk.com/club98876289")</f>
        <v>http://vk.com/club98876289</v>
      </c>
      <c r="Q2058">
        <v>16149</v>
      </c>
      <c r="R2058" t="s">
        <v>124</v>
      </c>
      <c r="S2058" t="s">
        <v>125</v>
      </c>
      <c r="AM2058" t="s">
        <v>129</v>
      </c>
      <c r="AN2058" t="s">
        <v>130</v>
      </c>
      <c r="AP2058" t="s">
        <v>41</v>
      </c>
      <c r="AZ2058" t="s">
        <v>51</v>
      </c>
      <c r="BA2058" t="s">
        <v>52</v>
      </c>
      <c r="BL2058" t="s">
        <v>63</v>
      </c>
      <c r="BM2058" t="s">
        <v>64</v>
      </c>
    </row>
    <row r="2059" spans="1:69" x14ac:dyDescent="0.2">
      <c r="A2059" t="s">
        <v>7276</v>
      </c>
      <c r="B2059" t="s">
        <v>906</v>
      </c>
      <c r="C2059" t="s">
        <v>7403</v>
      </c>
      <c r="D2059" t="s">
        <v>7404</v>
      </c>
      <c r="E2059" t="s">
        <v>7405</v>
      </c>
      <c r="F2059" t="s">
        <v>118</v>
      </c>
      <c r="G2059" t="str">
        <f>HYPERLINK("https://vk.com/wall-170434_11132?reply=11140&amp;thread=11135")</f>
        <v>https://vk.com/wall-170434_11132?reply=11140&amp;thread=11135</v>
      </c>
      <c r="H2059" t="s">
        <v>181</v>
      </c>
      <c r="I2059" t="s">
        <v>7406</v>
      </c>
      <c r="J2059" t="str">
        <f>HYPERLINK("http://vk.com/id3360682")</f>
        <v>http://vk.com/id3360682</v>
      </c>
      <c r="K2059">
        <v>102</v>
      </c>
      <c r="L2059" t="s">
        <v>121</v>
      </c>
      <c r="N2059" t="s">
        <v>122</v>
      </c>
      <c r="O2059" t="s">
        <v>7407</v>
      </c>
      <c r="P2059" t="str">
        <f>HYPERLINK("http://vk.com/club170434")</f>
        <v>http://vk.com/club170434</v>
      </c>
      <c r="Q2059">
        <v>3217</v>
      </c>
      <c r="R2059" t="s">
        <v>124</v>
      </c>
      <c r="S2059" t="s">
        <v>125</v>
      </c>
      <c r="AM2059" t="s">
        <v>129</v>
      </c>
      <c r="AN2059" t="s">
        <v>130</v>
      </c>
      <c r="AP2059" t="s">
        <v>41</v>
      </c>
      <c r="AW2059" t="s">
        <v>48</v>
      </c>
      <c r="AZ2059" t="s">
        <v>51</v>
      </c>
      <c r="BA2059" t="s">
        <v>52</v>
      </c>
    </row>
    <row r="2060" spans="1:69" x14ac:dyDescent="0.2">
      <c r="A2060" t="s">
        <v>7276</v>
      </c>
      <c r="B2060" t="s">
        <v>913</v>
      </c>
      <c r="C2060" t="s">
        <v>7408</v>
      </c>
      <c r="D2060" t="s">
        <v>5863</v>
      </c>
      <c r="E2060" t="s">
        <v>7409</v>
      </c>
      <c r="F2060" t="s">
        <v>118</v>
      </c>
      <c r="G2060" t="str">
        <f>HYPERLINK("https://vk.com/wall-27863223_291773?reply=291829")</f>
        <v>https://vk.com/wall-27863223_291773?reply=291829</v>
      </c>
      <c r="H2060" t="s">
        <v>119</v>
      </c>
      <c r="I2060" t="s">
        <v>1111</v>
      </c>
      <c r="J2060" t="str">
        <f>HYPERLINK("http://vk.com/id575539922")</f>
        <v>http://vk.com/id575539922</v>
      </c>
      <c r="K2060">
        <v>12</v>
      </c>
      <c r="L2060" t="s">
        <v>121</v>
      </c>
      <c r="M2060">
        <v>54</v>
      </c>
      <c r="N2060" t="s">
        <v>122</v>
      </c>
      <c r="O2060" t="s">
        <v>175</v>
      </c>
      <c r="P2060" t="str">
        <f>HYPERLINK("http://vk.com/club27863223")</f>
        <v>http://vk.com/club27863223</v>
      </c>
      <c r="Q2060">
        <v>134698</v>
      </c>
      <c r="R2060" t="s">
        <v>124</v>
      </c>
      <c r="S2060" t="s">
        <v>125</v>
      </c>
      <c r="T2060" t="s">
        <v>627</v>
      </c>
      <c r="U2060" t="s">
        <v>1112</v>
      </c>
      <c r="W2060">
        <v>0</v>
      </c>
      <c r="X2060">
        <v>0</v>
      </c>
      <c r="AM2060" t="s">
        <v>129</v>
      </c>
      <c r="AN2060" t="s">
        <v>130</v>
      </c>
      <c r="AP2060" t="s">
        <v>41</v>
      </c>
      <c r="AU2060" t="s">
        <v>46</v>
      </c>
      <c r="AZ2060" t="s">
        <v>51</v>
      </c>
      <c r="BA2060" t="s">
        <v>52</v>
      </c>
    </row>
    <row r="2061" spans="1:69" x14ac:dyDescent="0.2">
      <c r="A2061" t="s">
        <v>7276</v>
      </c>
      <c r="B2061" t="s">
        <v>1462</v>
      </c>
      <c r="C2061" t="s">
        <v>7410</v>
      </c>
      <c r="D2061" t="s">
        <v>5863</v>
      </c>
      <c r="E2061" t="s">
        <v>7411</v>
      </c>
      <c r="F2061" t="s">
        <v>118</v>
      </c>
      <c r="G2061" t="str">
        <f>HYPERLINK("https://vk.com/wall-27863223_291773?w=wall-27863223_291773_r291826")</f>
        <v>https://vk.com/wall-27863223_291773?w=wall-27863223_291773_r291826</v>
      </c>
      <c r="H2061" t="s">
        <v>119</v>
      </c>
      <c r="I2061" t="s">
        <v>1111</v>
      </c>
      <c r="J2061" t="str">
        <f>HYPERLINK("http://vk.com/id575539922")</f>
        <v>http://vk.com/id575539922</v>
      </c>
      <c r="K2061">
        <v>12</v>
      </c>
      <c r="L2061" t="s">
        <v>121</v>
      </c>
      <c r="M2061">
        <v>54</v>
      </c>
      <c r="N2061" t="s">
        <v>122</v>
      </c>
      <c r="O2061" t="s">
        <v>175</v>
      </c>
      <c r="P2061" t="str">
        <f>HYPERLINK("http://vk.com/club27863223")</f>
        <v>http://vk.com/club27863223</v>
      </c>
      <c r="Q2061">
        <v>134698</v>
      </c>
      <c r="R2061" t="s">
        <v>124</v>
      </c>
      <c r="S2061" t="s">
        <v>125</v>
      </c>
      <c r="T2061" t="s">
        <v>627</v>
      </c>
      <c r="U2061" t="s">
        <v>1112</v>
      </c>
      <c r="W2061">
        <v>0</v>
      </c>
      <c r="X2061">
        <v>0</v>
      </c>
      <c r="AM2061" t="s">
        <v>129</v>
      </c>
      <c r="AN2061" t="s">
        <v>130</v>
      </c>
      <c r="AP2061" t="s">
        <v>41</v>
      </c>
      <c r="AU2061" t="s">
        <v>46</v>
      </c>
      <c r="AZ2061" t="s">
        <v>51</v>
      </c>
      <c r="BA2061" t="s">
        <v>52</v>
      </c>
    </row>
    <row r="2062" spans="1:69" x14ac:dyDescent="0.2">
      <c r="A2062" t="s">
        <v>7276</v>
      </c>
      <c r="B2062" t="s">
        <v>7412</v>
      </c>
      <c r="C2062" t="s">
        <v>7413</v>
      </c>
      <c r="D2062" t="s">
        <v>5863</v>
      </c>
      <c r="E2062" t="s">
        <v>7414</v>
      </c>
      <c r="F2062" t="s">
        <v>118</v>
      </c>
      <c r="G2062" t="str">
        <f>HYPERLINK("https://vk.com/wall-27863223_291773?reply=291825&amp;thread=291822")</f>
        <v>https://vk.com/wall-27863223_291773?reply=291825&amp;thread=291822</v>
      </c>
      <c r="H2062" t="s">
        <v>119</v>
      </c>
      <c r="I2062" t="s">
        <v>1111</v>
      </c>
      <c r="J2062" t="str">
        <f>HYPERLINK("http://vk.com/id575539922")</f>
        <v>http://vk.com/id575539922</v>
      </c>
      <c r="K2062">
        <v>12</v>
      </c>
      <c r="L2062" t="s">
        <v>121</v>
      </c>
      <c r="M2062">
        <v>54</v>
      </c>
      <c r="N2062" t="s">
        <v>122</v>
      </c>
      <c r="O2062" t="s">
        <v>175</v>
      </c>
      <c r="P2062" t="str">
        <f>HYPERLINK("http://vk.com/club27863223")</f>
        <v>http://vk.com/club27863223</v>
      </c>
      <c r="Q2062">
        <v>134698</v>
      </c>
      <c r="R2062" t="s">
        <v>124</v>
      </c>
      <c r="S2062" t="s">
        <v>125</v>
      </c>
      <c r="T2062" t="s">
        <v>627</v>
      </c>
      <c r="U2062" t="s">
        <v>1112</v>
      </c>
      <c r="AM2062" t="s">
        <v>129</v>
      </c>
      <c r="AN2062" t="s">
        <v>130</v>
      </c>
      <c r="AP2062" t="s">
        <v>41</v>
      </c>
      <c r="AU2062" t="s">
        <v>46</v>
      </c>
      <c r="BA2062" t="s">
        <v>52</v>
      </c>
      <c r="BE2062" t="s">
        <v>56</v>
      </c>
    </row>
    <row r="2063" spans="1:69" x14ac:dyDescent="0.2">
      <c r="A2063" t="s">
        <v>7276</v>
      </c>
      <c r="B2063" t="s">
        <v>7415</v>
      </c>
      <c r="C2063" t="s">
        <v>7416</v>
      </c>
      <c r="D2063" t="s">
        <v>7358</v>
      </c>
      <c r="E2063" t="s">
        <v>7417</v>
      </c>
      <c r="F2063" t="s">
        <v>118</v>
      </c>
      <c r="G2063" t="str">
        <f>HYPERLINK("https://vk.com/wall-98876289_311319?reply=311909&amp;thread=311324")</f>
        <v>https://vk.com/wall-98876289_311319?reply=311909&amp;thread=311324</v>
      </c>
      <c r="H2063" t="s">
        <v>119</v>
      </c>
      <c r="I2063" t="s">
        <v>7398</v>
      </c>
      <c r="J2063" t="str">
        <f>HYPERLINK("http://vk.com/id53313353")</f>
        <v>http://vk.com/id53313353</v>
      </c>
      <c r="K2063">
        <v>245</v>
      </c>
      <c r="L2063" t="s">
        <v>121</v>
      </c>
      <c r="N2063" t="s">
        <v>122</v>
      </c>
      <c r="O2063" t="s">
        <v>7361</v>
      </c>
      <c r="P2063" t="str">
        <f>HYPERLINK("http://vk.com/club98876289")</f>
        <v>http://vk.com/club98876289</v>
      </c>
      <c r="Q2063">
        <v>16149</v>
      </c>
      <c r="R2063" t="s">
        <v>124</v>
      </c>
      <c r="S2063" t="s">
        <v>125</v>
      </c>
      <c r="AM2063" t="s">
        <v>129</v>
      </c>
      <c r="AN2063" t="s">
        <v>130</v>
      </c>
      <c r="AP2063" t="s">
        <v>41</v>
      </c>
      <c r="AZ2063" t="s">
        <v>51</v>
      </c>
      <c r="BA2063" t="s">
        <v>52</v>
      </c>
      <c r="BM2063" t="s">
        <v>64</v>
      </c>
    </row>
    <row r="2064" spans="1:69" x14ac:dyDescent="0.2">
      <c r="A2064" t="s">
        <v>7276</v>
      </c>
      <c r="B2064" t="s">
        <v>366</v>
      </c>
      <c r="C2064" t="s">
        <v>7418</v>
      </c>
      <c r="D2064" t="s">
        <v>7374</v>
      </c>
      <c r="E2064" t="s">
        <v>7419</v>
      </c>
      <c r="F2064" t="s">
        <v>118</v>
      </c>
      <c r="G2064" t="str">
        <f>HYPERLINK("https://vk.com/wall-27863223_291691?reply=291821&amp;thread=291701")</f>
        <v>https://vk.com/wall-27863223_291691?reply=291821&amp;thread=291701</v>
      </c>
      <c r="H2064" t="s">
        <v>119</v>
      </c>
      <c r="I2064" t="s">
        <v>7420</v>
      </c>
      <c r="J2064" t="str">
        <f>HYPERLINK("http://vk.com/id43656680")</f>
        <v>http://vk.com/id43656680</v>
      </c>
      <c r="K2064">
        <v>329</v>
      </c>
      <c r="L2064" t="s">
        <v>151</v>
      </c>
      <c r="N2064" t="s">
        <v>122</v>
      </c>
      <c r="O2064" t="s">
        <v>175</v>
      </c>
      <c r="P2064" t="str">
        <f>HYPERLINK("http://vk.com/club27863223")</f>
        <v>http://vk.com/club27863223</v>
      </c>
      <c r="Q2064">
        <v>134698</v>
      </c>
      <c r="R2064" t="s">
        <v>124</v>
      </c>
      <c r="S2064" t="s">
        <v>125</v>
      </c>
      <c r="T2064" t="s">
        <v>364</v>
      </c>
      <c r="U2064" t="s">
        <v>7421</v>
      </c>
      <c r="AM2064" t="s">
        <v>129</v>
      </c>
      <c r="AN2064" t="s">
        <v>130</v>
      </c>
      <c r="AP2064" t="s">
        <v>41</v>
      </c>
      <c r="AT2064" t="s">
        <v>45</v>
      </c>
      <c r="AZ2064" t="s">
        <v>51</v>
      </c>
      <c r="BA2064" t="s">
        <v>52</v>
      </c>
      <c r="BQ2064" t="s">
        <v>68</v>
      </c>
    </row>
    <row r="2065" spans="1:69" x14ac:dyDescent="0.2">
      <c r="A2065" t="s">
        <v>7276</v>
      </c>
      <c r="B2065" t="s">
        <v>2480</v>
      </c>
      <c r="C2065" t="s">
        <v>7422</v>
      </c>
      <c r="D2065" t="s">
        <v>7358</v>
      </c>
      <c r="E2065" t="s">
        <v>7423</v>
      </c>
      <c r="F2065" t="s">
        <v>118</v>
      </c>
      <c r="G2065" t="str">
        <f>HYPERLINK("https://vk.com/wall-98876289_311319?reply=311904&amp;thread=311324")</f>
        <v>https://vk.com/wall-98876289_311319?reply=311904&amp;thread=311324</v>
      </c>
      <c r="H2065" t="s">
        <v>119</v>
      </c>
      <c r="I2065" t="s">
        <v>7360</v>
      </c>
      <c r="J2065" t="str">
        <f>HYPERLINK("http://vk.com/id159149388")</f>
        <v>http://vk.com/id159149388</v>
      </c>
      <c r="K2065">
        <v>140</v>
      </c>
      <c r="L2065" t="s">
        <v>151</v>
      </c>
      <c r="N2065" t="s">
        <v>122</v>
      </c>
      <c r="O2065" t="s">
        <v>7361</v>
      </c>
      <c r="P2065" t="str">
        <f>HYPERLINK("http://vk.com/club98876289")</f>
        <v>http://vk.com/club98876289</v>
      </c>
      <c r="Q2065">
        <v>16149</v>
      </c>
      <c r="R2065" t="s">
        <v>124</v>
      </c>
      <c r="S2065" t="s">
        <v>125</v>
      </c>
      <c r="T2065" t="s">
        <v>230</v>
      </c>
      <c r="U2065" t="s">
        <v>231</v>
      </c>
      <c r="AM2065" t="s">
        <v>129</v>
      </c>
      <c r="AN2065" t="s">
        <v>130</v>
      </c>
      <c r="AP2065" t="s">
        <v>41</v>
      </c>
      <c r="AU2065" t="s">
        <v>46</v>
      </c>
      <c r="AW2065" t="s">
        <v>48</v>
      </c>
      <c r="AZ2065" t="s">
        <v>51</v>
      </c>
      <c r="BA2065" t="s">
        <v>52</v>
      </c>
      <c r="BL2065" t="s">
        <v>63</v>
      </c>
      <c r="BM2065" t="s">
        <v>64</v>
      </c>
    </row>
    <row r="2066" spans="1:69" x14ac:dyDescent="0.2">
      <c r="A2066" t="s">
        <v>7276</v>
      </c>
      <c r="B2066" t="s">
        <v>7424</v>
      </c>
      <c r="C2066" t="s">
        <v>7425</v>
      </c>
      <c r="D2066" t="s">
        <v>7426</v>
      </c>
      <c r="E2066" t="s">
        <v>7427</v>
      </c>
      <c r="F2066" t="s">
        <v>118</v>
      </c>
      <c r="G2066" t="str">
        <f>HYPERLINK("https://vk.com/wall-167594_217936?reply=217938")</f>
        <v>https://vk.com/wall-167594_217936?reply=217938</v>
      </c>
      <c r="H2066" t="s">
        <v>119</v>
      </c>
      <c r="I2066" t="s">
        <v>7428</v>
      </c>
      <c r="J2066" t="str">
        <f>HYPERLINK("http://vk.com/id53937889")</f>
        <v>http://vk.com/id53937889</v>
      </c>
      <c r="K2066">
        <v>510</v>
      </c>
      <c r="L2066" t="s">
        <v>121</v>
      </c>
      <c r="M2066">
        <v>45</v>
      </c>
      <c r="N2066" t="s">
        <v>122</v>
      </c>
      <c r="O2066" t="s">
        <v>7429</v>
      </c>
      <c r="P2066" t="str">
        <f>HYPERLINK("http://vk.com/club167594")</f>
        <v>http://vk.com/club167594</v>
      </c>
      <c r="Q2066">
        <v>19821</v>
      </c>
      <c r="R2066" t="s">
        <v>124</v>
      </c>
      <c r="S2066" t="s">
        <v>125</v>
      </c>
      <c r="T2066" t="s">
        <v>325</v>
      </c>
      <c r="U2066" t="s">
        <v>7430</v>
      </c>
      <c r="AM2066" t="s">
        <v>129</v>
      </c>
      <c r="AN2066" t="s">
        <v>130</v>
      </c>
      <c r="AP2066" t="s">
        <v>41</v>
      </c>
      <c r="AW2066" t="s">
        <v>48</v>
      </c>
      <c r="AZ2066" t="s">
        <v>51</v>
      </c>
      <c r="BA2066" t="s">
        <v>52</v>
      </c>
      <c r="BM2066" t="s">
        <v>64</v>
      </c>
    </row>
    <row r="2067" spans="1:69" x14ac:dyDescent="0.2">
      <c r="A2067" t="s">
        <v>7276</v>
      </c>
      <c r="B2067" t="s">
        <v>379</v>
      </c>
      <c r="C2067" t="s">
        <v>7431</v>
      </c>
      <c r="D2067" t="s">
        <v>7432</v>
      </c>
      <c r="E2067" t="s">
        <v>7433</v>
      </c>
      <c r="F2067" t="s">
        <v>118</v>
      </c>
      <c r="G2067" t="str">
        <f>HYPERLINK("https://vk.com/wall-110345357_7570?reply=7577")</f>
        <v>https://vk.com/wall-110345357_7570?reply=7577</v>
      </c>
      <c r="H2067" t="s">
        <v>119</v>
      </c>
      <c r="I2067" t="s">
        <v>254</v>
      </c>
      <c r="J2067" t="str">
        <f>HYPERLINK("http://vk.com/id286061518")</f>
        <v>http://vk.com/id286061518</v>
      </c>
      <c r="K2067">
        <v>5170</v>
      </c>
      <c r="L2067" t="s">
        <v>121</v>
      </c>
      <c r="M2067">
        <v>34</v>
      </c>
      <c r="N2067" t="s">
        <v>122</v>
      </c>
      <c r="O2067" t="s">
        <v>7434</v>
      </c>
      <c r="P2067" t="str">
        <f>HYPERLINK("http://vk.com/club110345357")</f>
        <v>http://vk.com/club110345357</v>
      </c>
      <c r="Q2067">
        <v>11425</v>
      </c>
      <c r="R2067" t="s">
        <v>124</v>
      </c>
      <c r="S2067" t="s">
        <v>125</v>
      </c>
      <c r="T2067" t="s">
        <v>256</v>
      </c>
      <c r="U2067" t="s">
        <v>257</v>
      </c>
      <c r="AM2067" t="s">
        <v>129</v>
      </c>
      <c r="AN2067" t="s">
        <v>130</v>
      </c>
      <c r="AP2067" t="s">
        <v>41</v>
      </c>
      <c r="AU2067" t="s">
        <v>46</v>
      </c>
      <c r="AZ2067" t="s">
        <v>51</v>
      </c>
      <c r="BA2067" t="s">
        <v>52</v>
      </c>
    </row>
    <row r="2068" spans="1:69" x14ac:dyDescent="0.2">
      <c r="A2068" t="s">
        <v>7276</v>
      </c>
      <c r="B2068" t="s">
        <v>379</v>
      </c>
      <c r="C2068" t="s">
        <v>7435</v>
      </c>
      <c r="D2068" t="s">
        <v>7436</v>
      </c>
      <c r="E2068" t="s">
        <v>7437</v>
      </c>
      <c r="F2068" t="s">
        <v>118</v>
      </c>
      <c r="G2068" t="str">
        <f>HYPERLINK("https://vk.com/wall-28270_93607?reply=93750")</f>
        <v>https://vk.com/wall-28270_93607?reply=93750</v>
      </c>
      <c r="H2068" t="s">
        <v>119</v>
      </c>
      <c r="I2068" t="s">
        <v>7438</v>
      </c>
      <c r="J2068" t="str">
        <f>HYPERLINK("http://vk.com/id8856088")</f>
        <v>http://vk.com/id8856088</v>
      </c>
      <c r="K2068">
        <v>632</v>
      </c>
      <c r="L2068" t="s">
        <v>151</v>
      </c>
      <c r="M2068">
        <v>31</v>
      </c>
      <c r="N2068" t="s">
        <v>122</v>
      </c>
      <c r="O2068" t="s">
        <v>7439</v>
      </c>
      <c r="P2068" t="str">
        <f>HYPERLINK("http://vk.com/club28270")</f>
        <v>http://vk.com/club28270</v>
      </c>
      <c r="Q2068">
        <v>4898</v>
      </c>
      <c r="R2068" t="s">
        <v>124</v>
      </c>
      <c r="S2068" t="s">
        <v>125</v>
      </c>
      <c r="T2068" t="s">
        <v>137</v>
      </c>
      <c r="U2068" t="s">
        <v>137</v>
      </c>
      <c r="AM2068" t="s">
        <v>129</v>
      </c>
      <c r="AN2068" t="s">
        <v>130</v>
      </c>
      <c r="AP2068" t="s">
        <v>41</v>
      </c>
      <c r="AZ2068" t="s">
        <v>51</v>
      </c>
      <c r="BA2068" t="s">
        <v>52</v>
      </c>
      <c r="BL2068" t="s">
        <v>63</v>
      </c>
      <c r="BM2068" t="s">
        <v>64</v>
      </c>
    </row>
    <row r="2069" spans="1:69" x14ac:dyDescent="0.2">
      <c r="A2069" t="s">
        <v>7276</v>
      </c>
      <c r="B2069" t="s">
        <v>7440</v>
      </c>
      <c r="C2069" t="s">
        <v>7441</v>
      </c>
      <c r="D2069" t="s">
        <v>7179</v>
      </c>
      <c r="E2069" t="s">
        <v>7442</v>
      </c>
      <c r="F2069" t="s">
        <v>118</v>
      </c>
      <c r="G2069" t="str">
        <f>HYPERLINK("https://otzovik.com/review_12164109.html#89934920")</f>
        <v>https://otzovik.com/review_12164109.html#89934920</v>
      </c>
      <c r="H2069" t="s">
        <v>228</v>
      </c>
      <c r="I2069" t="s">
        <v>7443</v>
      </c>
      <c r="J2069" t="str">
        <f>HYPERLINK("http://otzovik.com/profile/natkash2005")</f>
        <v>http://otzovik.com/profile/natkash2005</v>
      </c>
      <c r="N2069" t="s">
        <v>390</v>
      </c>
      <c r="O2069" t="s">
        <v>7181</v>
      </c>
      <c r="P2069" t="str">
        <f>HYPERLINK("https://otzovik.com/reviews/sputnikoviy_resiver_general_satellite_u510_trikolor_tv/")</f>
        <v>https://otzovik.com/reviews/sputnikoviy_resiver_general_satellite_u510_trikolor_tv/</v>
      </c>
      <c r="R2069" t="s">
        <v>184</v>
      </c>
      <c r="S2069" t="s">
        <v>125</v>
      </c>
      <c r="AM2069" t="s">
        <v>129</v>
      </c>
      <c r="AN2069" t="s">
        <v>130</v>
      </c>
      <c r="AP2069" t="s">
        <v>41</v>
      </c>
      <c r="AX2069" t="s">
        <v>49</v>
      </c>
      <c r="AY2069" t="s">
        <v>50</v>
      </c>
      <c r="BA2069" t="s">
        <v>52</v>
      </c>
      <c r="BF2069" t="s">
        <v>57</v>
      </c>
    </row>
    <row r="2070" spans="1:69" x14ac:dyDescent="0.2">
      <c r="A2070" t="s">
        <v>7276</v>
      </c>
      <c r="B2070" t="s">
        <v>3041</v>
      </c>
      <c r="C2070" t="s">
        <v>7444</v>
      </c>
      <c r="D2070" t="s">
        <v>204</v>
      </c>
      <c r="E2070" t="s">
        <v>7445</v>
      </c>
      <c r="F2070" t="s">
        <v>180</v>
      </c>
      <c r="G2070" t="str">
        <f>HYPERLINK("https://play.google.com/store/apps/details?id=ru.iflex.android.a3colortv&amp;reviewId=gp:AOqpTOHxol4W49KnbqbJwqop1kg8Y_6Ld172hlZ9U1dC7wGx3yX19kcSRhAj-MljbhR1PJAWIJpSRLqoPjBVbg")</f>
        <v>https://play.google.com/store/apps/details?id=ru.iflex.android.a3colortv&amp;reviewId=gp:AOqpTOHxol4W49KnbqbJwqop1kg8Y_6Ld172hlZ9U1dC7wGx3yX19kcSRhAj-MljbhR1PJAWIJpSRLqoPjBVbg</v>
      </c>
      <c r="H2070" t="s">
        <v>228</v>
      </c>
      <c r="I2070" t="s">
        <v>7446</v>
      </c>
      <c r="J2070" t="str">
        <f>HYPERLINK("https://plus.google.com/113182143954513876487")</f>
        <v>https://plus.google.com/113182143954513876487</v>
      </c>
      <c r="N2070" t="s">
        <v>207</v>
      </c>
      <c r="O2070" t="s">
        <v>204</v>
      </c>
      <c r="P2070" t="str">
        <f>HYPERLINK("https://play.google.com/store/apps/details?id=ru.iflex.android.a3colortv&amp;hl=ru")</f>
        <v>https://play.google.com/store/apps/details?id=ru.iflex.android.a3colortv&amp;hl=ru</v>
      </c>
      <c r="R2070" t="s">
        <v>184</v>
      </c>
      <c r="S2070" t="s">
        <v>125</v>
      </c>
      <c r="W2070">
        <v>0</v>
      </c>
      <c r="X2070">
        <v>0</v>
      </c>
      <c r="AH2070">
        <v>1</v>
      </c>
      <c r="AM2070" t="s">
        <v>129</v>
      </c>
      <c r="AN2070" t="s">
        <v>130</v>
      </c>
      <c r="AP2070" t="s">
        <v>41</v>
      </c>
      <c r="AZ2070" t="s">
        <v>51</v>
      </c>
      <c r="BA2070" t="s">
        <v>52</v>
      </c>
      <c r="BL2070" t="s">
        <v>63</v>
      </c>
      <c r="BQ2070" t="s">
        <v>68</v>
      </c>
    </row>
    <row r="2071" spans="1:69" x14ac:dyDescent="0.2">
      <c r="A2071" t="s">
        <v>7276</v>
      </c>
      <c r="B2071" t="s">
        <v>7447</v>
      </c>
      <c r="C2071" t="s">
        <v>7448</v>
      </c>
      <c r="D2071" t="s">
        <v>5863</v>
      </c>
      <c r="E2071" t="s">
        <v>7449</v>
      </c>
      <c r="F2071" t="s">
        <v>118</v>
      </c>
      <c r="G2071" t="str">
        <f>HYPERLINK("https://www.facebook.com/story.php?story_fbid=4084048081649431&amp;id=206198386101106&amp;comment_id=4087218807999025&amp;reply_comment_id=4087228501331389")</f>
        <v>https://www.facebook.com/story.php?story_fbid=4084048081649431&amp;id=206198386101106&amp;comment_id=4087218807999025&amp;reply_comment_id=4087228501331389</v>
      </c>
      <c r="H2071" t="s">
        <v>119</v>
      </c>
      <c r="I2071" t="s">
        <v>175</v>
      </c>
      <c r="J2071" t="str">
        <f>HYPERLINK("https://www.facebook.com/206198386101106")</f>
        <v>https://www.facebook.com/206198386101106</v>
      </c>
      <c r="K2071">
        <v>16432</v>
      </c>
      <c r="L2071" t="s">
        <v>340</v>
      </c>
      <c r="N2071" t="s">
        <v>305</v>
      </c>
      <c r="O2071" t="s">
        <v>175</v>
      </c>
      <c r="P2071" t="str">
        <f>HYPERLINK("https://www.facebook.com/206198386101106")</f>
        <v>https://www.facebook.com/206198386101106</v>
      </c>
      <c r="Q2071">
        <v>16432</v>
      </c>
      <c r="R2071" t="s">
        <v>124</v>
      </c>
      <c r="W2071">
        <v>0</v>
      </c>
      <c r="X2071">
        <v>0</v>
      </c>
      <c r="AE2071">
        <v>0</v>
      </c>
      <c r="AJ2071" t="s">
        <v>875</v>
      </c>
      <c r="AK2071" t="s">
        <v>129</v>
      </c>
      <c r="AL2071" t="str">
        <f>HYPERLINK("https://www.tricolor.tv/social2.jpg")</f>
        <v>https://www.tricolor.tv/social2.jpg</v>
      </c>
      <c r="AM2071" t="s">
        <v>129</v>
      </c>
      <c r="AN2071" t="s">
        <v>130</v>
      </c>
      <c r="BI2071" t="s">
        <v>60</v>
      </c>
    </row>
    <row r="2072" spans="1:69" x14ac:dyDescent="0.2">
      <c r="A2072" t="s">
        <v>7276</v>
      </c>
      <c r="B2072" t="s">
        <v>953</v>
      </c>
      <c r="C2072" t="s">
        <v>7441</v>
      </c>
      <c r="D2072" t="s">
        <v>7179</v>
      </c>
      <c r="E2072" t="s">
        <v>7450</v>
      </c>
      <c r="F2072" t="s">
        <v>118</v>
      </c>
      <c r="G2072" t="str">
        <f>HYPERLINK("https://otzovik.com/review_12164109.html#89934274")</f>
        <v>https://otzovik.com/review_12164109.html#89934274</v>
      </c>
      <c r="H2072" t="s">
        <v>119</v>
      </c>
      <c r="I2072" t="s">
        <v>1565</v>
      </c>
      <c r="J2072" t="str">
        <f>HYPERLINK("http://otzovik.com/profile/Tricolor+support")</f>
        <v>http://otzovik.com/profile/Tricolor+support</v>
      </c>
      <c r="N2072" t="s">
        <v>390</v>
      </c>
      <c r="O2072" t="s">
        <v>7181</v>
      </c>
      <c r="P2072" t="str">
        <f>HYPERLINK("https://otzovik.com/reviews/sputnikoviy_resiver_general_satellite_u510_trikolor_tv/")</f>
        <v>https://otzovik.com/reviews/sputnikoviy_resiver_general_satellite_u510_trikolor_tv/</v>
      </c>
      <c r="R2072" t="s">
        <v>184</v>
      </c>
      <c r="S2072" t="s">
        <v>125</v>
      </c>
      <c r="AM2072" t="s">
        <v>129</v>
      </c>
      <c r="AN2072" t="s">
        <v>130</v>
      </c>
      <c r="BI2072" t="s">
        <v>60</v>
      </c>
    </row>
    <row r="2073" spans="1:69" x14ac:dyDescent="0.2">
      <c r="A2073" t="s">
        <v>7276</v>
      </c>
      <c r="B2073" t="s">
        <v>430</v>
      </c>
      <c r="C2073" t="s">
        <v>7451</v>
      </c>
      <c r="D2073" t="s">
        <v>7404</v>
      </c>
      <c r="E2073" t="s">
        <v>7452</v>
      </c>
      <c r="F2073" t="s">
        <v>118</v>
      </c>
      <c r="G2073" t="str">
        <f>HYPERLINK("https://vk.com/wall-170434_11132?reply=11135")</f>
        <v>https://vk.com/wall-170434_11132?reply=11135</v>
      </c>
      <c r="H2073" t="s">
        <v>181</v>
      </c>
      <c r="I2073" t="s">
        <v>7406</v>
      </c>
      <c r="J2073" t="str">
        <f>HYPERLINK("http://vk.com/id3360682")</f>
        <v>http://vk.com/id3360682</v>
      </c>
      <c r="K2073">
        <v>102</v>
      </c>
      <c r="L2073" t="s">
        <v>121</v>
      </c>
      <c r="N2073" t="s">
        <v>122</v>
      </c>
      <c r="O2073" t="s">
        <v>7407</v>
      </c>
      <c r="P2073" t="str">
        <f>HYPERLINK("http://vk.com/club170434")</f>
        <v>http://vk.com/club170434</v>
      </c>
      <c r="Q2073">
        <v>3217</v>
      </c>
      <c r="R2073" t="s">
        <v>124</v>
      </c>
      <c r="S2073" t="s">
        <v>125</v>
      </c>
      <c r="AM2073" t="s">
        <v>129</v>
      </c>
      <c r="AN2073" t="s">
        <v>130</v>
      </c>
      <c r="AP2073" t="s">
        <v>41</v>
      </c>
      <c r="AY2073" t="s">
        <v>50</v>
      </c>
      <c r="AZ2073" t="s">
        <v>51</v>
      </c>
      <c r="BA2073" t="s">
        <v>52</v>
      </c>
      <c r="BM2073" t="s">
        <v>64</v>
      </c>
    </row>
    <row r="2074" spans="1:69" x14ac:dyDescent="0.2">
      <c r="A2074" t="s">
        <v>7276</v>
      </c>
      <c r="B2074" t="s">
        <v>3449</v>
      </c>
      <c r="C2074" t="s">
        <v>7453</v>
      </c>
      <c r="D2074" t="s">
        <v>5863</v>
      </c>
      <c r="E2074" t="s">
        <v>7454</v>
      </c>
      <c r="F2074" t="s">
        <v>118</v>
      </c>
      <c r="G2074" t="str">
        <f>HYPERLINK("https://vk.com/wall-27863223_291773?reply=291819&amp;thread=291785")</f>
        <v>https://vk.com/wall-27863223_291773?reply=291819&amp;thread=291785</v>
      </c>
      <c r="H2074" t="s">
        <v>181</v>
      </c>
      <c r="I2074" t="s">
        <v>7455</v>
      </c>
      <c r="J2074" t="str">
        <f>HYPERLINK("http://vk.com/id449680070")</f>
        <v>http://vk.com/id449680070</v>
      </c>
      <c r="K2074">
        <v>337</v>
      </c>
      <c r="L2074" t="s">
        <v>121</v>
      </c>
      <c r="N2074" t="s">
        <v>122</v>
      </c>
      <c r="O2074" t="s">
        <v>175</v>
      </c>
      <c r="P2074" t="str">
        <f>HYPERLINK("http://vk.com/club27863223")</f>
        <v>http://vk.com/club27863223</v>
      </c>
      <c r="Q2074">
        <v>134698</v>
      </c>
      <c r="R2074" t="s">
        <v>124</v>
      </c>
      <c r="S2074" t="s">
        <v>125</v>
      </c>
      <c r="AM2074" t="s">
        <v>129</v>
      </c>
      <c r="AN2074" t="s">
        <v>130</v>
      </c>
      <c r="AP2074" t="s">
        <v>41</v>
      </c>
      <c r="AU2074" t="s">
        <v>46</v>
      </c>
      <c r="AW2074" t="s">
        <v>48</v>
      </c>
      <c r="AZ2074" t="s">
        <v>51</v>
      </c>
      <c r="BA2074" t="s">
        <v>52</v>
      </c>
    </row>
    <row r="2075" spans="1:69" x14ac:dyDescent="0.2">
      <c r="A2075" t="s">
        <v>7276</v>
      </c>
      <c r="B2075" t="s">
        <v>7456</v>
      </c>
      <c r="C2075" t="s">
        <v>7457</v>
      </c>
      <c r="D2075" t="s">
        <v>5863</v>
      </c>
      <c r="E2075" t="s">
        <v>7458</v>
      </c>
      <c r="F2075" t="s">
        <v>118</v>
      </c>
      <c r="G2075" t="str">
        <f>HYPERLINK("https://vk.com/wall-27863223_291773?w=wall-27863223_291773_r291816")</f>
        <v>https://vk.com/wall-27863223_291773?w=wall-27863223_291773_r291816</v>
      </c>
      <c r="H2075" t="s">
        <v>119</v>
      </c>
      <c r="I2075" t="s">
        <v>5865</v>
      </c>
      <c r="J2075" t="str">
        <f>HYPERLINK("http://vk.com/id33187106")</f>
        <v>http://vk.com/id33187106</v>
      </c>
      <c r="K2075">
        <v>91</v>
      </c>
      <c r="L2075" t="s">
        <v>121</v>
      </c>
      <c r="N2075" t="s">
        <v>122</v>
      </c>
      <c r="O2075" t="s">
        <v>175</v>
      </c>
      <c r="P2075" t="str">
        <f>HYPERLINK("http://vk.com/club27863223")</f>
        <v>http://vk.com/club27863223</v>
      </c>
      <c r="Q2075">
        <v>134698</v>
      </c>
      <c r="R2075" t="s">
        <v>124</v>
      </c>
      <c r="S2075" t="s">
        <v>125</v>
      </c>
      <c r="W2075">
        <v>0</v>
      </c>
      <c r="X2075">
        <v>0</v>
      </c>
      <c r="AM2075" t="s">
        <v>129</v>
      </c>
      <c r="AN2075" t="s">
        <v>130</v>
      </c>
      <c r="AP2075" t="s">
        <v>41</v>
      </c>
      <c r="AU2075" t="s">
        <v>46</v>
      </c>
      <c r="AZ2075" t="s">
        <v>51</v>
      </c>
      <c r="BA2075" t="s">
        <v>52</v>
      </c>
    </row>
    <row r="2076" spans="1:69" x14ac:dyDescent="0.2">
      <c r="A2076" t="s">
        <v>7276</v>
      </c>
      <c r="B2076" t="s">
        <v>7459</v>
      </c>
      <c r="C2076" t="s">
        <v>7460</v>
      </c>
      <c r="D2076" t="s">
        <v>5863</v>
      </c>
      <c r="E2076" t="s">
        <v>7461</v>
      </c>
      <c r="F2076" t="s">
        <v>118</v>
      </c>
      <c r="G2076" t="str">
        <f>HYPERLINK("https://vk.com/wall-27863223_291773?reply=291815&amp;thread=291785")</f>
        <v>https://vk.com/wall-27863223_291773?reply=291815&amp;thread=291785</v>
      </c>
      <c r="H2076" t="s">
        <v>119</v>
      </c>
      <c r="I2076" t="s">
        <v>7455</v>
      </c>
      <c r="J2076" t="str">
        <f>HYPERLINK("http://vk.com/id449680070")</f>
        <v>http://vk.com/id449680070</v>
      </c>
      <c r="K2076">
        <v>337</v>
      </c>
      <c r="L2076" t="s">
        <v>121</v>
      </c>
      <c r="N2076" t="s">
        <v>122</v>
      </c>
      <c r="O2076" t="s">
        <v>175</v>
      </c>
      <c r="P2076" t="str">
        <f>HYPERLINK("http://vk.com/club27863223")</f>
        <v>http://vk.com/club27863223</v>
      </c>
      <c r="Q2076">
        <v>134698</v>
      </c>
      <c r="R2076" t="s">
        <v>124</v>
      </c>
      <c r="S2076" t="s">
        <v>125</v>
      </c>
      <c r="AM2076" t="s">
        <v>129</v>
      </c>
      <c r="AN2076" t="s">
        <v>130</v>
      </c>
      <c r="AP2076" t="s">
        <v>41</v>
      </c>
      <c r="AT2076" t="s">
        <v>45</v>
      </c>
      <c r="AU2076" t="s">
        <v>46</v>
      </c>
      <c r="AZ2076" t="s">
        <v>51</v>
      </c>
      <c r="BA2076" t="s">
        <v>52</v>
      </c>
    </row>
    <row r="2077" spans="1:69" x14ac:dyDescent="0.2">
      <c r="A2077" t="s">
        <v>7276</v>
      </c>
      <c r="B2077" t="s">
        <v>2575</v>
      </c>
      <c r="C2077" t="s">
        <v>7462</v>
      </c>
      <c r="D2077" t="s">
        <v>4147</v>
      </c>
      <c r="E2077" t="s">
        <v>7463</v>
      </c>
      <c r="F2077" t="s">
        <v>180</v>
      </c>
      <c r="G2077" t="str">
        <f>HYPERLINK("https://www.wildberries.ru/catalog/15145842/detail.aspx?targetUrl=ES#Comments")</f>
        <v>https://www.wildberries.ru/catalog/15145842/detail.aspx?targetUrl=ES#Comments</v>
      </c>
      <c r="H2077" t="s">
        <v>181</v>
      </c>
      <c r="I2077" t="s">
        <v>1650</v>
      </c>
      <c r="J2077" t="str">
        <f>HYPERLINK("https://www.wildberries.ru/profile/w7TDssOkw7PCu8KzwrfCsMKxwrbCtsKzwrU=")</f>
        <v>https://www.wildberries.ru/profile/w7TDssOkw7PCu8KzwrfCsMKxwrbCtsKzwrU=</v>
      </c>
      <c r="L2077" t="s">
        <v>151</v>
      </c>
      <c r="N2077" t="s">
        <v>534</v>
      </c>
      <c r="O2077" t="s">
        <v>4147</v>
      </c>
      <c r="P2077" t="str">
        <f>HYPERLINK("https://www.wildberries.ru/catalog/11323741/detail.aspx")</f>
        <v>https://www.wildberries.ru/catalog/11323741/detail.aspx</v>
      </c>
      <c r="R2077" t="s">
        <v>184</v>
      </c>
      <c r="S2077" t="s">
        <v>125</v>
      </c>
      <c r="W2077">
        <v>0</v>
      </c>
      <c r="X2077">
        <v>0</v>
      </c>
      <c r="AH2077">
        <v>5</v>
      </c>
      <c r="AM2077" t="s">
        <v>129</v>
      </c>
      <c r="AN2077" t="s">
        <v>130</v>
      </c>
      <c r="AP2077" t="s">
        <v>41</v>
      </c>
      <c r="AT2077" t="s">
        <v>45</v>
      </c>
      <c r="AZ2077" t="s">
        <v>51</v>
      </c>
      <c r="BA2077" t="s">
        <v>52</v>
      </c>
    </row>
    <row r="2078" spans="1:69" x14ac:dyDescent="0.2">
      <c r="A2078" t="s">
        <v>7276</v>
      </c>
      <c r="B2078" t="s">
        <v>7464</v>
      </c>
      <c r="C2078" t="s">
        <v>7465</v>
      </c>
      <c r="D2078" t="s">
        <v>7466</v>
      </c>
      <c r="E2078" t="s">
        <v>7467</v>
      </c>
      <c r="F2078" t="s">
        <v>118</v>
      </c>
      <c r="G2078" t="str">
        <f>HYPERLINK("https://telegram.me/willichat/188212")</f>
        <v>https://telegram.me/willichat/188212</v>
      </c>
      <c r="H2078" t="s">
        <v>119</v>
      </c>
      <c r="I2078" t="s">
        <v>5042</v>
      </c>
      <c r="J2078" t="str">
        <f>HYPERLINK("https://telegram.me/alexeyrus2019")</f>
        <v>https://telegram.me/alexeyrus2019</v>
      </c>
      <c r="N2078" t="s">
        <v>143</v>
      </c>
      <c r="O2078" t="s">
        <v>5043</v>
      </c>
      <c r="P2078" t="str">
        <f>HYPERLINK("https://telegram.me/willichat")</f>
        <v>https://telegram.me/willichat</v>
      </c>
      <c r="Q2078">
        <v>3620</v>
      </c>
      <c r="R2078" t="s">
        <v>145</v>
      </c>
      <c r="AM2078" t="s">
        <v>129</v>
      </c>
      <c r="AN2078" t="s">
        <v>130</v>
      </c>
      <c r="AP2078" t="s">
        <v>41</v>
      </c>
      <c r="AZ2078" t="s">
        <v>51</v>
      </c>
      <c r="BA2078" t="s">
        <v>52</v>
      </c>
      <c r="BM2078" t="s">
        <v>64</v>
      </c>
    </row>
    <row r="2079" spans="1:69" x14ac:dyDescent="0.2">
      <c r="A2079" t="s">
        <v>7276</v>
      </c>
      <c r="B2079" t="s">
        <v>7464</v>
      </c>
      <c r="C2079" t="s">
        <v>7457</v>
      </c>
      <c r="D2079" t="s">
        <v>7374</v>
      </c>
      <c r="E2079" t="s">
        <v>7468</v>
      </c>
      <c r="F2079" t="s">
        <v>118</v>
      </c>
      <c r="G2079" t="str">
        <f>HYPERLINK("https://vk.com/wall-27863223_291691?reply=291813")</f>
        <v>https://vk.com/wall-27863223_291691?reply=291813</v>
      </c>
      <c r="H2079" t="s">
        <v>119</v>
      </c>
      <c r="I2079" t="s">
        <v>7376</v>
      </c>
      <c r="J2079" t="str">
        <f>HYPERLINK("http://vk.com/id647565")</f>
        <v>http://vk.com/id647565</v>
      </c>
      <c r="K2079">
        <v>116</v>
      </c>
      <c r="L2079" t="s">
        <v>121</v>
      </c>
      <c r="N2079" t="s">
        <v>122</v>
      </c>
      <c r="O2079" t="s">
        <v>175</v>
      </c>
      <c r="P2079" t="str">
        <f>HYPERLINK("http://vk.com/club27863223")</f>
        <v>http://vk.com/club27863223</v>
      </c>
      <c r="Q2079">
        <v>134698</v>
      </c>
      <c r="R2079" t="s">
        <v>124</v>
      </c>
      <c r="S2079" t="s">
        <v>125</v>
      </c>
      <c r="T2079" t="s">
        <v>137</v>
      </c>
      <c r="U2079" t="s">
        <v>137</v>
      </c>
      <c r="W2079">
        <v>0</v>
      </c>
      <c r="X2079">
        <v>0</v>
      </c>
      <c r="AM2079" t="s">
        <v>129</v>
      </c>
      <c r="AN2079" t="s">
        <v>130</v>
      </c>
      <c r="AP2079" t="s">
        <v>41</v>
      </c>
      <c r="AU2079" t="s">
        <v>46</v>
      </c>
      <c r="AW2079" t="s">
        <v>48</v>
      </c>
      <c r="AZ2079" t="s">
        <v>51</v>
      </c>
      <c r="BA2079" t="s">
        <v>52</v>
      </c>
    </row>
    <row r="2080" spans="1:69" x14ac:dyDescent="0.2">
      <c r="A2080" t="s">
        <v>7276</v>
      </c>
      <c r="B2080" t="s">
        <v>3104</v>
      </c>
      <c r="C2080" t="s">
        <v>7469</v>
      </c>
      <c r="D2080" t="s">
        <v>5863</v>
      </c>
      <c r="E2080" t="s">
        <v>7470</v>
      </c>
      <c r="F2080" t="s">
        <v>118</v>
      </c>
      <c r="G2080" t="str">
        <f>HYPERLINK("https://vk.com/wall-27863223_291773?reply=291811&amp;thread=291785")</f>
        <v>https://vk.com/wall-27863223_291773?reply=291811&amp;thread=291785</v>
      </c>
      <c r="H2080" t="s">
        <v>119</v>
      </c>
      <c r="I2080" t="s">
        <v>7455</v>
      </c>
      <c r="J2080" t="str">
        <f>HYPERLINK("http://vk.com/id449680070")</f>
        <v>http://vk.com/id449680070</v>
      </c>
      <c r="K2080">
        <v>337</v>
      </c>
      <c r="L2080" t="s">
        <v>121</v>
      </c>
      <c r="N2080" t="s">
        <v>122</v>
      </c>
      <c r="O2080" t="s">
        <v>175</v>
      </c>
      <c r="P2080" t="str">
        <f>HYPERLINK("http://vk.com/club27863223")</f>
        <v>http://vk.com/club27863223</v>
      </c>
      <c r="Q2080">
        <v>134698</v>
      </c>
      <c r="R2080" t="s">
        <v>124</v>
      </c>
      <c r="S2080" t="s">
        <v>125</v>
      </c>
      <c r="AM2080" t="s">
        <v>129</v>
      </c>
      <c r="AN2080" t="s">
        <v>130</v>
      </c>
      <c r="AP2080" t="s">
        <v>41</v>
      </c>
      <c r="AU2080" t="s">
        <v>46</v>
      </c>
      <c r="AZ2080" t="s">
        <v>51</v>
      </c>
      <c r="BA2080" t="s">
        <v>52</v>
      </c>
    </row>
    <row r="2081" spans="1:100" x14ac:dyDescent="0.2">
      <c r="A2081" t="s">
        <v>7276</v>
      </c>
      <c r="B2081" t="s">
        <v>5197</v>
      </c>
      <c r="C2081" t="s">
        <v>7471</v>
      </c>
      <c r="D2081" t="s">
        <v>5863</v>
      </c>
      <c r="E2081" t="s">
        <v>7472</v>
      </c>
      <c r="F2081" t="s">
        <v>118</v>
      </c>
      <c r="G2081" t="str">
        <f>HYPERLINK("https://vk.com/wall-27863223_291773?reply=291810&amp;thread=291785")</f>
        <v>https://vk.com/wall-27863223_291773?reply=291810&amp;thread=291785</v>
      </c>
      <c r="H2081" t="s">
        <v>119</v>
      </c>
      <c r="I2081" t="s">
        <v>7455</v>
      </c>
      <c r="J2081" t="str">
        <f>HYPERLINK("http://vk.com/id449680070")</f>
        <v>http://vk.com/id449680070</v>
      </c>
      <c r="K2081">
        <v>337</v>
      </c>
      <c r="L2081" t="s">
        <v>121</v>
      </c>
      <c r="N2081" t="s">
        <v>122</v>
      </c>
      <c r="O2081" t="s">
        <v>175</v>
      </c>
      <c r="P2081" t="str">
        <f>HYPERLINK("http://vk.com/club27863223")</f>
        <v>http://vk.com/club27863223</v>
      </c>
      <c r="Q2081">
        <v>134698</v>
      </c>
      <c r="R2081" t="s">
        <v>124</v>
      </c>
      <c r="S2081" t="s">
        <v>125</v>
      </c>
      <c r="AM2081" t="s">
        <v>129</v>
      </c>
      <c r="AN2081" t="s">
        <v>130</v>
      </c>
      <c r="AP2081" t="s">
        <v>41</v>
      </c>
      <c r="AU2081" t="s">
        <v>46</v>
      </c>
      <c r="AZ2081" t="s">
        <v>51</v>
      </c>
      <c r="BA2081" t="s">
        <v>52</v>
      </c>
    </row>
    <row r="2082" spans="1:100" x14ac:dyDescent="0.2">
      <c r="A2082" t="s">
        <v>7276</v>
      </c>
      <c r="B2082" t="s">
        <v>5197</v>
      </c>
      <c r="C2082" t="s">
        <v>7390</v>
      </c>
      <c r="D2082" t="s">
        <v>3261</v>
      </c>
      <c r="E2082" t="s">
        <v>7473</v>
      </c>
      <c r="F2082" t="s">
        <v>180</v>
      </c>
      <c r="G2082" t="str">
        <f>HYPERLINK("https://www.wildberries.ru/catalog/5691258/detail.aspx?targetUrl=ES#Comments")</f>
        <v>https://www.wildberries.ru/catalog/5691258/detail.aspx?targetUrl=ES#Comments</v>
      </c>
      <c r="H2082" t="s">
        <v>181</v>
      </c>
      <c r="I2082" t="s">
        <v>3452</v>
      </c>
      <c r="J2082" t="str">
        <f>HYPERLINK("https://www.wildberries.ru/profile/w7TDssOkw7PCu8KzwrHCt8K2wrjCtsK0wrM=")</f>
        <v>https://www.wildberries.ru/profile/w7TDssOkw7PCu8KzwrHCt8K2wrjCtsK0wrM=</v>
      </c>
      <c r="L2082" t="s">
        <v>121</v>
      </c>
      <c r="N2082" t="s">
        <v>534</v>
      </c>
      <c r="O2082" t="s">
        <v>3261</v>
      </c>
      <c r="P2082" t="str">
        <f>HYPERLINK("https://www.wildberries.ru/catalog/4570035/detail.aspx")</f>
        <v>https://www.wildberries.ru/catalog/4570035/detail.aspx</v>
      </c>
      <c r="R2082" t="s">
        <v>184</v>
      </c>
      <c r="S2082" t="s">
        <v>125</v>
      </c>
      <c r="W2082">
        <v>0</v>
      </c>
      <c r="X2082">
        <v>0</v>
      </c>
      <c r="AH2082">
        <v>5</v>
      </c>
      <c r="AM2082" t="s">
        <v>129</v>
      </c>
      <c r="AN2082" t="s">
        <v>130</v>
      </c>
      <c r="AP2082" t="s">
        <v>41</v>
      </c>
      <c r="AZ2082" t="s">
        <v>51</v>
      </c>
      <c r="BA2082" t="s">
        <v>52</v>
      </c>
      <c r="BK2082" t="s">
        <v>62</v>
      </c>
    </row>
    <row r="2083" spans="1:100" x14ac:dyDescent="0.2">
      <c r="A2083" t="s">
        <v>7276</v>
      </c>
      <c r="B2083" t="s">
        <v>1540</v>
      </c>
      <c r="C2083" t="s">
        <v>7474</v>
      </c>
      <c r="D2083" t="s">
        <v>5863</v>
      </c>
      <c r="E2083" t="s">
        <v>7475</v>
      </c>
      <c r="F2083" t="s">
        <v>118</v>
      </c>
      <c r="G2083" t="str">
        <f>HYPERLINK("https://vk.com/wall-27863223_291773?reply=291808")</f>
        <v>https://vk.com/wall-27863223_291773?reply=291808</v>
      </c>
      <c r="H2083" t="s">
        <v>119</v>
      </c>
      <c r="I2083" t="s">
        <v>5865</v>
      </c>
      <c r="J2083" t="str">
        <f>HYPERLINK("http://vk.com/id33187106")</f>
        <v>http://vk.com/id33187106</v>
      </c>
      <c r="K2083">
        <v>91</v>
      </c>
      <c r="L2083" t="s">
        <v>121</v>
      </c>
      <c r="N2083" t="s">
        <v>122</v>
      </c>
      <c r="O2083" t="s">
        <v>175</v>
      </c>
      <c r="P2083" t="str">
        <f>HYPERLINK("http://vk.com/club27863223")</f>
        <v>http://vk.com/club27863223</v>
      </c>
      <c r="Q2083">
        <v>134698</v>
      </c>
      <c r="R2083" t="s">
        <v>124</v>
      </c>
      <c r="S2083" t="s">
        <v>125</v>
      </c>
      <c r="W2083">
        <v>0</v>
      </c>
      <c r="X2083">
        <v>0</v>
      </c>
      <c r="AM2083" t="s">
        <v>129</v>
      </c>
      <c r="AN2083" t="s">
        <v>130</v>
      </c>
      <c r="AP2083" t="s">
        <v>41</v>
      </c>
      <c r="BA2083" t="s">
        <v>52</v>
      </c>
      <c r="BE2083" t="s">
        <v>56</v>
      </c>
      <c r="BL2083" t="s">
        <v>63</v>
      </c>
    </row>
    <row r="2084" spans="1:100" x14ac:dyDescent="0.2">
      <c r="A2084" t="s">
        <v>7276</v>
      </c>
      <c r="B2084" t="s">
        <v>5207</v>
      </c>
      <c r="C2084" t="s">
        <v>7476</v>
      </c>
      <c r="D2084" t="s">
        <v>204</v>
      </c>
      <c r="E2084" t="s">
        <v>7477</v>
      </c>
      <c r="F2084" t="s">
        <v>180</v>
      </c>
      <c r="G2084" t="str">
        <f>HYPERLINK("https://play.google.com/store/apps/details?id=ru.iflex.android.a3colortv&amp;reviewId=gp:AOqpTOG0uPfxWfwNJfAoEXqXM1T2atI6jgEL-4eV7Fzkd5s8ML1vYnY52LLh1A3hsHQY2y0llOM4EwlmsEQGaQ")</f>
        <v>https://play.google.com/store/apps/details?id=ru.iflex.android.a3colortv&amp;reviewId=gp:AOqpTOG0uPfxWfwNJfAoEXqXM1T2atI6jgEL-4eV7Fzkd5s8ML1vYnY52LLh1A3hsHQY2y0llOM4EwlmsEQGaQ</v>
      </c>
      <c r="H2084" t="s">
        <v>119</v>
      </c>
      <c r="I2084" t="s">
        <v>7478</v>
      </c>
      <c r="J2084" t="str">
        <f>HYPERLINK("https://plus.google.com/102863806727540409581")</f>
        <v>https://plus.google.com/102863806727540409581</v>
      </c>
      <c r="N2084" t="s">
        <v>207</v>
      </c>
      <c r="O2084" t="s">
        <v>204</v>
      </c>
      <c r="P2084" t="str">
        <f>HYPERLINK("https://play.google.com/store/apps/details?id=ru.iflex.android.a3colortv&amp;hl=ru")</f>
        <v>https://play.google.com/store/apps/details?id=ru.iflex.android.a3colortv&amp;hl=ru</v>
      </c>
      <c r="R2084" t="s">
        <v>184</v>
      </c>
      <c r="S2084" t="s">
        <v>125</v>
      </c>
      <c r="W2084">
        <v>0</v>
      </c>
      <c r="X2084">
        <v>0</v>
      </c>
      <c r="AH2084">
        <v>4</v>
      </c>
      <c r="AM2084" t="s">
        <v>129</v>
      </c>
      <c r="AN2084" t="s">
        <v>130</v>
      </c>
      <c r="AP2084" t="s">
        <v>41</v>
      </c>
      <c r="AZ2084" t="s">
        <v>51</v>
      </c>
      <c r="BA2084" t="s">
        <v>52</v>
      </c>
      <c r="BQ2084" t="s">
        <v>68</v>
      </c>
    </row>
    <row r="2085" spans="1:100" x14ac:dyDescent="0.2">
      <c r="A2085" t="s">
        <v>7276</v>
      </c>
      <c r="B2085" t="s">
        <v>3468</v>
      </c>
      <c r="C2085" t="s">
        <v>7479</v>
      </c>
      <c r="D2085" t="s">
        <v>5863</v>
      </c>
      <c r="E2085" t="s">
        <v>7480</v>
      </c>
      <c r="F2085" t="s">
        <v>118</v>
      </c>
      <c r="G2085" t="str">
        <f>HYPERLINK("https://vk.com/wall-27863223_291773?reply=291806&amp;thread=291785")</f>
        <v>https://vk.com/wall-27863223_291773?reply=291806&amp;thread=291785</v>
      </c>
      <c r="H2085" t="s">
        <v>119</v>
      </c>
      <c r="I2085" t="s">
        <v>7455</v>
      </c>
      <c r="J2085" t="str">
        <f>HYPERLINK("http://vk.com/id449680070")</f>
        <v>http://vk.com/id449680070</v>
      </c>
      <c r="K2085">
        <v>337</v>
      </c>
      <c r="L2085" t="s">
        <v>121</v>
      </c>
      <c r="N2085" t="s">
        <v>122</v>
      </c>
      <c r="O2085" t="s">
        <v>175</v>
      </c>
      <c r="P2085" t="str">
        <f>HYPERLINK("http://vk.com/club27863223")</f>
        <v>http://vk.com/club27863223</v>
      </c>
      <c r="Q2085">
        <v>134698</v>
      </c>
      <c r="R2085" t="s">
        <v>124</v>
      </c>
      <c r="S2085" t="s">
        <v>125</v>
      </c>
      <c r="AM2085" t="s">
        <v>129</v>
      </c>
      <c r="AN2085" t="s">
        <v>130</v>
      </c>
      <c r="AP2085" t="s">
        <v>41</v>
      </c>
      <c r="AY2085" t="s">
        <v>50</v>
      </c>
      <c r="BB2085" t="s">
        <v>53</v>
      </c>
      <c r="BE2085" t="s">
        <v>56</v>
      </c>
    </row>
    <row r="2086" spans="1:100" x14ac:dyDescent="0.2">
      <c r="A2086" t="s">
        <v>7276</v>
      </c>
      <c r="B2086" t="s">
        <v>3126</v>
      </c>
      <c r="C2086" t="s">
        <v>7481</v>
      </c>
      <c r="D2086" t="s">
        <v>7482</v>
      </c>
      <c r="E2086" t="s">
        <v>7483</v>
      </c>
      <c r="F2086" t="s">
        <v>118</v>
      </c>
      <c r="G2086" t="str">
        <f>HYPERLINK("https://vk.com/wall-48297175_35147?reply=35186&amp;thread=35182")</f>
        <v>https://vk.com/wall-48297175_35147?reply=35186&amp;thread=35182</v>
      </c>
      <c r="H2086" t="s">
        <v>119</v>
      </c>
      <c r="I2086" t="s">
        <v>7484</v>
      </c>
      <c r="J2086" t="str">
        <f>HYPERLINK("http://vk.com/id138528168")</f>
        <v>http://vk.com/id138528168</v>
      </c>
      <c r="K2086">
        <v>146</v>
      </c>
      <c r="L2086" t="s">
        <v>121</v>
      </c>
      <c r="N2086" t="s">
        <v>122</v>
      </c>
      <c r="O2086" t="s">
        <v>7485</v>
      </c>
      <c r="P2086" t="str">
        <f>HYPERLINK("http://vk.com/club48297175")</f>
        <v>http://vk.com/club48297175</v>
      </c>
      <c r="Q2086">
        <v>3648</v>
      </c>
      <c r="R2086" t="s">
        <v>124</v>
      </c>
      <c r="S2086" t="s">
        <v>125</v>
      </c>
      <c r="T2086" t="s">
        <v>627</v>
      </c>
      <c r="U2086" t="s">
        <v>634</v>
      </c>
      <c r="AM2086" t="s">
        <v>129</v>
      </c>
      <c r="AN2086" t="s">
        <v>130</v>
      </c>
      <c r="AP2086" t="s">
        <v>41</v>
      </c>
      <c r="AY2086" t="s">
        <v>50</v>
      </c>
      <c r="AZ2086" t="s">
        <v>51</v>
      </c>
      <c r="BD2086" t="s">
        <v>55</v>
      </c>
    </row>
    <row r="2087" spans="1:100" x14ac:dyDescent="0.2">
      <c r="A2087" t="s">
        <v>7276</v>
      </c>
      <c r="B2087" t="s">
        <v>991</v>
      </c>
      <c r="C2087" t="s">
        <v>7465</v>
      </c>
      <c r="D2087" t="s">
        <v>7486</v>
      </c>
      <c r="E2087" t="s">
        <v>7487</v>
      </c>
      <c r="F2087" t="s">
        <v>118</v>
      </c>
      <c r="G2087" t="str">
        <f>HYPERLINK("https://telegram.me/willichat/188117")</f>
        <v>https://telegram.me/willichat/188117</v>
      </c>
      <c r="H2087" t="s">
        <v>119</v>
      </c>
      <c r="I2087" t="s">
        <v>3486</v>
      </c>
      <c r="J2087" t="str">
        <f>HYPERLINK("https://telegram.me/562326591")</f>
        <v>https://telegram.me/562326591</v>
      </c>
      <c r="L2087" t="s">
        <v>121</v>
      </c>
      <c r="N2087" t="s">
        <v>143</v>
      </c>
      <c r="O2087" t="s">
        <v>5043</v>
      </c>
      <c r="P2087" t="str">
        <f>HYPERLINK("https://telegram.me/willichat")</f>
        <v>https://telegram.me/willichat</v>
      </c>
      <c r="Q2087">
        <v>3620</v>
      </c>
      <c r="R2087" t="s">
        <v>145</v>
      </c>
      <c r="AM2087" t="s">
        <v>129</v>
      </c>
      <c r="AN2087" t="s">
        <v>130</v>
      </c>
      <c r="AP2087" t="s">
        <v>41</v>
      </c>
      <c r="AZ2087" t="s">
        <v>51</v>
      </c>
      <c r="BA2087" t="s">
        <v>52</v>
      </c>
      <c r="BM2087" t="s">
        <v>64</v>
      </c>
    </row>
    <row r="2088" spans="1:100" x14ac:dyDescent="0.2">
      <c r="A2088" t="s">
        <v>7276</v>
      </c>
      <c r="B2088" t="s">
        <v>1006</v>
      </c>
      <c r="C2088" t="s">
        <v>7488</v>
      </c>
      <c r="D2088" t="s">
        <v>5863</v>
      </c>
      <c r="E2088" t="s">
        <v>7489</v>
      </c>
      <c r="F2088" t="s">
        <v>118</v>
      </c>
      <c r="G2088" t="str">
        <f>HYPERLINK("https://vk.com/wall-27863223_291773?reply=291803&amp;thread=291785")</f>
        <v>https://vk.com/wall-27863223_291773?reply=291803&amp;thread=291785</v>
      </c>
      <c r="H2088" t="s">
        <v>119</v>
      </c>
      <c r="I2088" t="s">
        <v>7455</v>
      </c>
      <c r="J2088" t="str">
        <f>HYPERLINK("http://vk.com/id449680070")</f>
        <v>http://vk.com/id449680070</v>
      </c>
      <c r="K2088">
        <v>337</v>
      </c>
      <c r="L2088" t="s">
        <v>121</v>
      </c>
      <c r="N2088" t="s">
        <v>122</v>
      </c>
      <c r="O2088" t="s">
        <v>175</v>
      </c>
      <c r="P2088" t="str">
        <f>HYPERLINK("http://vk.com/club27863223")</f>
        <v>http://vk.com/club27863223</v>
      </c>
      <c r="Q2088">
        <v>134698</v>
      </c>
      <c r="R2088" t="s">
        <v>124</v>
      </c>
      <c r="S2088" t="s">
        <v>125</v>
      </c>
      <c r="AM2088" t="s">
        <v>129</v>
      </c>
      <c r="AN2088" t="s">
        <v>130</v>
      </c>
      <c r="AP2088" t="s">
        <v>41</v>
      </c>
      <c r="AU2088" t="s">
        <v>46</v>
      </c>
      <c r="BA2088" t="s">
        <v>52</v>
      </c>
      <c r="BE2088" t="s">
        <v>56</v>
      </c>
    </row>
    <row r="2089" spans="1:100" x14ac:dyDescent="0.2">
      <c r="A2089" t="s">
        <v>7276</v>
      </c>
      <c r="B2089" t="s">
        <v>7121</v>
      </c>
      <c r="C2089" t="s">
        <v>7490</v>
      </c>
      <c r="D2089" t="s">
        <v>5863</v>
      </c>
      <c r="E2089" t="s">
        <v>7491</v>
      </c>
      <c r="F2089" t="s">
        <v>118</v>
      </c>
      <c r="G2089" t="str">
        <f>HYPERLINK("https://vk.com/wall-27863223_291773?w=wall-27863223_291773_r291802")</f>
        <v>https://vk.com/wall-27863223_291773?w=wall-27863223_291773_r291802</v>
      </c>
      <c r="H2089" t="s">
        <v>119</v>
      </c>
      <c r="I2089" t="s">
        <v>7492</v>
      </c>
      <c r="J2089" t="str">
        <f>HYPERLINK("http://vk.com/id6655728")</f>
        <v>http://vk.com/id6655728</v>
      </c>
      <c r="K2089">
        <v>56</v>
      </c>
      <c r="L2089" t="s">
        <v>121</v>
      </c>
      <c r="M2089">
        <v>59</v>
      </c>
      <c r="N2089" t="s">
        <v>122</v>
      </c>
      <c r="O2089" t="s">
        <v>175</v>
      </c>
      <c r="P2089" t="str">
        <f>HYPERLINK("http://vk.com/club27863223")</f>
        <v>http://vk.com/club27863223</v>
      </c>
      <c r="Q2089">
        <v>134698</v>
      </c>
      <c r="R2089" t="s">
        <v>124</v>
      </c>
      <c r="S2089" t="s">
        <v>125</v>
      </c>
      <c r="T2089" t="s">
        <v>2103</v>
      </c>
      <c r="U2089" t="s">
        <v>2104</v>
      </c>
      <c r="W2089">
        <v>0</v>
      </c>
      <c r="X2089">
        <v>0</v>
      </c>
      <c r="AM2089" t="s">
        <v>129</v>
      </c>
      <c r="AN2089" t="s">
        <v>130</v>
      </c>
      <c r="AP2089" t="s">
        <v>41</v>
      </c>
      <c r="AU2089" t="s">
        <v>46</v>
      </c>
      <c r="AZ2089" t="s">
        <v>51</v>
      </c>
      <c r="BA2089" t="s">
        <v>52</v>
      </c>
    </row>
    <row r="2090" spans="1:100" x14ac:dyDescent="0.2">
      <c r="A2090" t="s">
        <v>7276</v>
      </c>
      <c r="B2090" t="s">
        <v>1595</v>
      </c>
      <c r="C2090" t="s">
        <v>7493</v>
      </c>
      <c r="D2090" t="s">
        <v>7494</v>
      </c>
      <c r="E2090" t="s">
        <v>7495</v>
      </c>
      <c r="F2090" t="s">
        <v>118</v>
      </c>
      <c r="G2090" t="str">
        <f>HYPERLINK("https://telegram.me/edemtvchat/210089")</f>
        <v>https://telegram.me/edemtvchat/210089</v>
      </c>
      <c r="H2090" t="s">
        <v>119</v>
      </c>
      <c r="I2090" t="s">
        <v>7496</v>
      </c>
      <c r="J2090" t="str">
        <f>HYPERLINK("https://telegram.me/yura4345")</f>
        <v>https://telegram.me/yura4345</v>
      </c>
      <c r="L2090" t="s">
        <v>121</v>
      </c>
      <c r="N2090" t="s">
        <v>143</v>
      </c>
      <c r="O2090" t="s">
        <v>3924</v>
      </c>
      <c r="P2090" t="str">
        <f>HYPERLINK("https://telegram.me/edemtvchat")</f>
        <v>https://telegram.me/edemtvchat</v>
      </c>
      <c r="Q2090">
        <v>5087</v>
      </c>
      <c r="R2090" t="s">
        <v>145</v>
      </c>
      <c r="AM2090" t="s">
        <v>129</v>
      </c>
      <c r="AN2090" t="s">
        <v>130</v>
      </c>
      <c r="AP2090" t="s">
        <v>41</v>
      </c>
      <c r="AZ2090" t="s">
        <v>51</v>
      </c>
      <c r="BA2090" t="s">
        <v>52</v>
      </c>
      <c r="BL2090" t="s">
        <v>63</v>
      </c>
    </row>
    <row r="2091" spans="1:100" x14ac:dyDescent="0.2">
      <c r="A2091" t="s">
        <v>7276</v>
      </c>
      <c r="B2091" t="s">
        <v>466</v>
      </c>
      <c r="C2091" t="s">
        <v>7497</v>
      </c>
      <c r="D2091" t="s">
        <v>7498</v>
      </c>
      <c r="E2091" t="s">
        <v>7499</v>
      </c>
      <c r="F2091" t="s">
        <v>180</v>
      </c>
      <c r="G2091" t="str">
        <f>HYPERLINK("http://www.advertology.ru/article152003.htm")</f>
        <v>http://www.advertology.ru/article152003.htm</v>
      </c>
      <c r="H2091" t="s">
        <v>119</v>
      </c>
      <c r="N2091" t="s">
        <v>1708</v>
      </c>
      <c r="R2091" t="s">
        <v>785</v>
      </c>
      <c r="S2091" t="s">
        <v>125</v>
      </c>
      <c r="AJ2091" t="s">
        <v>7500</v>
      </c>
      <c r="AK2091" t="s">
        <v>129</v>
      </c>
      <c r="AL2091" t="str">
        <f>HYPERLINK("http://www.advertology.ru/img_resize.php?h=240&amp;in=/images/content/aimages/2021/07/15/91f324.jpg")</f>
        <v>http://www.advertology.ru/img_resize.php?h=240&amp;in=/images/content/aimages/2021/07/15/91f324.jpg</v>
      </c>
      <c r="AM2091" t="s">
        <v>129</v>
      </c>
      <c r="AN2091" t="s">
        <v>130</v>
      </c>
      <c r="AV2091" t="s">
        <v>47</v>
      </c>
    </row>
    <row r="2092" spans="1:100" x14ac:dyDescent="0.2">
      <c r="A2092" t="s">
        <v>7276</v>
      </c>
      <c r="B2092" t="s">
        <v>1008</v>
      </c>
      <c r="C2092" t="s">
        <v>7493</v>
      </c>
      <c r="D2092" t="s">
        <v>7501</v>
      </c>
      <c r="E2092" t="s">
        <v>7494</v>
      </c>
      <c r="F2092" t="s">
        <v>118</v>
      </c>
      <c r="G2092" t="str">
        <f>HYPERLINK("https://telegram.me/edemtvchat/210084")</f>
        <v>https://telegram.me/edemtvchat/210084</v>
      </c>
      <c r="H2092" t="s">
        <v>181</v>
      </c>
      <c r="I2092" t="s">
        <v>7502</v>
      </c>
      <c r="J2092" t="str">
        <f>HYPERLINK("https://telegram.me/kyjiep79")</f>
        <v>https://telegram.me/kyjiep79</v>
      </c>
      <c r="L2092" t="s">
        <v>121</v>
      </c>
      <c r="N2092" t="s">
        <v>143</v>
      </c>
      <c r="O2092" t="s">
        <v>3924</v>
      </c>
      <c r="P2092" t="str">
        <f>HYPERLINK("https://telegram.me/edemtvchat")</f>
        <v>https://telegram.me/edemtvchat</v>
      </c>
      <c r="Q2092">
        <v>5087</v>
      </c>
      <c r="R2092" t="s">
        <v>145</v>
      </c>
      <c r="AM2092" t="s">
        <v>129</v>
      </c>
      <c r="AN2092" t="s">
        <v>130</v>
      </c>
      <c r="AP2092" t="s">
        <v>41</v>
      </c>
      <c r="AW2092" t="s">
        <v>48</v>
      </c>
      <c r="AZ2092" t="s">
        <v>51</v>
      </c>
      <c r="BA2092" t="s">
        <v>52</v>
      </c>
      <c r="BQ2092" t="s">
        <v>68</v>
      </c>
    </row>
    <row r="2093" spans="1:100" x14ac:dyDescent="0.2">
      <c r="A2093" t="s">
        <v>7276</v>
      </c>
      <c r="B2093" t="s">
        <v>1015</v>
      </c>
      <c r="C2093" t="s">
        <v>7493</v>
      </c>
      <c r="D2093" t="s">
        <v>129</v>
      </c>
      <c r="E2093" t="s">
        <v>7503</v>
      </c>
      <c r="F2093" t="s">
        <v>180</v>
      </c>
      <c r="G2093" t="str">
        <f>HYPERLINK("https://telegram.me/edemtvchat/210083")</f>
        <v>https://telegram.me/edemtvchat/210083</v>
      </c>
      <c r="H2093" t="s">
        <v>119</v>
      </c>
      <c r="I2093" t="s">
        <v>7496</v>
      </c>
      <c r="J2093" t="str">
        <f>HYPERLINK("https://telegram.me/yura4345")</f>
        <v>https://telegram.me/yura4345</v>
      </c>
      <c r="L2093" t="s">
        <v>121</v>
      </c>
      <c r="N2093" t="s">
        <v>143</v>
      </c>
      <c r="O2093" t="s">
        <v>3924</v>
      </c>
      <c r="P2093" t="str">
        <f>HYPERLINK("https://telegram.me/edemtvchat")</f>
        <v>https://telegram.me/edemtvchat</v>
      </c>
      <c r="Q2093">
        <v>5087</v>
      </c>
      <c r="R2093" t="s">
        <v>145</v>
      </c>
      <c r="AM2093" t="s">
        <v>129</v>
      </c>
      <c r="AN2093" t="s">
        <v>130</v>
      </c>
      <c r="AP2093" t="s">
        <v>41</v>
      </c>
      <c r="AU2093" t="s">
        <v>46</v>
      </c>
      <c r="AZ2093" t="s">
        <v>51</v>
      </c>
      <c r="BA2093" t="s">
        <v>52</v>
      </c>
    </row>
    <row r="2094" spans="1:100" x14ac:dyDescent="0.2">
      <c r="A2094" t="s">
        <v>7276</v>
      </c>
      <c r="B2094" t="s">
        <v>7504</v>
      </c>
      <c r="C2094" t="s">
        <v>5345</v>
      </c>
      <c r="D2094" t="s">
        <v>7505</v>
      </c>
      <c r="E2094" t="s">
        <v>7506</v>
      </c>
      <c r="F2094" t="s">
        <v>180</v>
      </c>
      <c r="G2094" t="str">
        <f>HYPERLINK("https://www.ozon.ru/context/detail/id/218697995/#59617611")</f>
        <v>https://www.ozon.ru/context/detail/id/218697995/#59617611</v>
      </c>
      <c r="H2094" t="s">
        <v>181</v>
      </c>
      <c r="I2094" t="s">
        <v>7507</v>
      </c>
      <c r="J2094" t="str">
        <f>HYPERLINK("https://www.ozon.ru/context/client_opinion/ClientGuid/4d412a60-5368-4f01-b14d-edcf50dc2e18/")</f>
        <v>https://www.ozon.ru/context/client_opinion/ClientGuid/4d412a60-5368-4f01-b14d-edcf50dc2e18/</v>
      </c>
      <c r="L2094" t="s">
        <v>151</v>
      </c>
      <c r="N2094" t="s">
        <v>183</v>
      </c>
      <c r="O2094" t="s">
        <v>7505</v>
      </c>
      <c r="P2094" t="str">
        <f>HYPERLINK("https://www.ozon.ru/context/detail/id/218697995/")</f>
        <v>https://www.ozon.ru/context/detail/id/218697995/</v>
      </c>
      <c r="R2094" t="s">
        <v>184</v>
      </c>
      <c r="S2094" t="s">
        <v>125</v>
      </c>
      <c r="W2094">
        <v>0</v>
      </c>
      <c r="X2094">
        <v>0</v>
      </c>
      <c r="AH2094">
        <v>5</v>
      </c>
      <c r="AM2094" t="s">
        <v>129</v>
      </c>
      <c r="AN2094" t="s">
        <v>130</v>
      </c>
      <c r="AP2094" t="s">
        <v>41</v>
      </c>
      <c r="AT2094" t="s">
        <v>45</v>
      </c>
      <c r="AZ2094" t="s">
        <v>51</v>
      </c>
      <c r="BA2094" t="s">
        <v>52</v>
      </c>
    </row>
    <row r="2095" spans="1:100" x14ac:dyDescent="0.2">
      <c r="A2095" t="s">
        <v>7276</v>
      </c>
      <c r="B2095" t="s">
        <v>510</v>
      </c>
      <c r="C2095" t="s">
        <v>7508</v>
      </c>
      <c r="D2095" t="s">
        <v>204</v>
      </c>
      <c r="E2095" t="s">
        <v>7509</v>
      </c>
      <c r="F2095" t="s">
        <v>180</v>
      </c>
      <c r="G2095" t="str">
        <f>HYPERLINK("https://play.google.com/store/apps/details?id=ru.iflex.android.a3colortv&amp;reviewId=gp:AOqpTOHNj6h1qE1cH8k4XXNjgRQsO0TF5oSDIbjUTSk5BsJFcST7oX7jMdUMQAzF_Hv8JWa00mrQIaNmUWCOFg")</f>
        <v>https://play.google.com/store/apps/details?id=ru.iflex.android.a3colortv&amp;reviewId=gp:AOqpTOHNj6h1qE1cH8k4XXNjgRQsO0TF5oSDIbjUTSk5BsJFcST7oX7jMdUMQAzF_Hv8JWa00mrQIaNmUWCOFg</v>
      </c>
      <c r="H2095" t="s">
        <v>228</v>
      </c>
      <c r="I2095" t="s">
        <v>7510</v>
      </c>
      <c r="J2095" t="str">
        <f>HYPERLINK("https://plus.google.com/112487143583226646972")</f>
        <v>https://plus.google.com/112487143583226646972</v>
      </c>
      <c r="L2095" t="s">
        <v>121</v>
      </c>
      <c r="N2095" t="s">
        <v>207</v>
      </c>
      <c r="O2095" t="s">
        <v>204</v>
      </c>
      <c r="P2095" t="str">
        <f>HYPERLINK("https://play.google.com/store/apps/details?id=ru.iflex.android.a3colortv&amp;hl=ru")</f>
        <v>https://play.google.com/store/apps/details?id=ru.iflex.android.a3colortv&amp;hl=ru</v>
      </c>
      <c r="R2095" t="s">
        <v>184</v>
      </c>
      <c r="S2095" t="s">
        <v>125</v>
      </c>
      <c r="W2095">
        <v>0</v>
      </c>
      <c r="X2095">
        <v>0</v>
      </c>
      <c r="AH2095">
        <v>1</v>
      </c>
      <c r="AM2095" t="s">
        <v>129</v>
      </c>
      <c r="AN2095" t="s">
        <v>130</v>
      </c>
      <c r="AP2095" t="s">
        <v>41</v>
      </c>
      <c r="AW2095" t="s">
        <v>48</v>
      </c>
      <c r="AZ2095" t="s">
        <v>51</v>
      </c>
      <c r="BA2095" t="s">
        <v>52</v>
      </c>
      <c r="BL2095" t="s">
        <v>63</v>
      </c>
      <c r="CV2095" t="s">
        <v>99</v>
      </c>
    </row>
    <row r="2096" spans="1:100" x14ac:dyDescent="0.2">
      <c r="A2096" t="s">
        <v>7276</v>
      </c>
      <c r="B2096" t="s">
        <v>1072</v>
      </c>
      <c r="C2096" t="s">
        <v>7511</v>
      </c>
      <c r="D2096" t="s">
        <v>7512</v>
      </c>
      <c r="E2096" t="s">
        <v>7513</v>
      </c>
      <c r="F2096" t="s">
        <v>118</v>
      </c>
      <c r="G2096" t="str">
        <f>HYPERLINK("https://ok.ru/group/52172741083275/topic/153800758578059#MTYyNjM0MzMzOTkyMTotMjM4NzoxNjI2MzQzMzM5OTIxOjE1MzgwMDc1ODU3ODA1OTox")</f>
        <v>https://ok.ru/group/52172741083275/topic/153800758578059#MTYyNjM0MzMzOTkyMTotMjM4NzoxNjI2MzQzMzM5OTIxOjE1MzgwMDc1ODU3ODA1OTox</v>
      </c>
      <c r="H2096" t="s">
        <v>181</v>
      </c>
      <c r="I2096" t="s">
        <v>7514</v>
      </c>
      <c r="J2096" t="str">
        <f>HYPERLINK("https://ok.ru/profile/594192751125")</f>
        <v>https://ok.ru/profile/594192751125</v>
      </c>
      <c r="K2096">
        <v>19</v>
      </c>
      <c r="L2096" t="s">
        <v>151</v>
      </c>
      <c r="M2096">
        <v>46</v>
      </c>
      <c r="N2096" t="s">
        <v>347</v>
      </c>
      <c r="O2096" t="s">
        <v>4687</v>
      </c>
      <c r="P2096" t="str">
        <f>HYPERLINK("https://ok.ru/group/52172741083275")</f>
        <v>https://ok.ru/group/52172741083275</v>
      </c>
      <c r="Q2096">
        <v>27667</v>
      </c>
      <c r="R2096" t="s">
        <v>124</v>
      </c>
      <c r="S2096" t="s">
        <v>125</v>
      </c>
      <c r="T2096" t="s">
        <v>169</v>
      </c>
      <c r="U2096" t="s">
        <v>169</v>
      </c>
      <c r="W2096">
        <v>0</v>
      </c>
      <c r="X2096">
        <v>0</v>
      </c>
      <c r="AM2096" t="s">
        <v>129</v>
      </c>
      <c r="AN2096" t="s">
        <v>130</v>
      </c>
      <c r="AP2096" t="s">
        <v>41</v>
      </c>
      <c r="AT2096" t="s">
        <v>45</v>
      </c>
      <c r="AX2096" t="s">
        <v>49</v>
      </c>
      <c r="AZ2096" t="s">
        <v>51</v>
      </c>
      <c r="BA2096" t="s">
        <v>52</v>
      </c>
    </row>
    <row r="2097" spans="1:97" x14ac:dyDescent="0.2">
      <c r="A2097" t="s">
        <v>7276</v>
      </c>
      <c r="B2097" t="s">
        <v>1668</v>
      </c>
      <c r="C2097" t="s">
        <v>7515</v>
      </c>
      <c r="D2097" t="s">
        <v>7516</v>
      </c>
      <c r="E2097" t="s">
        <v>7517</v>
      </c>
      <c r="F2097" t="s">
        <v>180</v>
      </c>
      <c r="G2097" t="str">
        <f>HYPERLINK("https://www.ozon.ru/context/detail/id/220827996/#59587714")</f>
        <v>https://www.ozon.ru/context/detail/id/220827996/#59587714</v>
      </c>
      <c r="H2097" t="s">
        <v>181</v>
      </c>
      <c r="I2097" t="s">
        <v>7518</v>
      </c>
      <c r="J2097" t="str">
        <f>HYPERLINK("https://www.ozon.ru/context/client_opinion/ClientGuid/ef1d5115-7e16-4299-a484-0c03ae85bbc0/")</f>
        <v>https://www.ozon.ru/context/client_opinion/ClientGuid/ef1d5115-7e16-4299-a484-0c03ae85bbc0/</v>
      </c>
      <c r="L2097" t="s">
        <v>121</v>
      </c>
      <c r="N2097" t="s">
        <v>183</v>
      </c>
      <c r="O2097" t="s">
        <v>7516</v>
      </c>
      <c r="P2097" t="str">
        <f>HYPERLINK("https://www.ozon.ru/context/detail/id/220827996/")</f>
        <v>https://www.ozon.ru/context/detail/id/220827996/</v>
      </c>
      <c r="R2097" t="s">
        <v>184</v>
      </c>
      <c r="S2097" t="s">
        <v>125</v>
      </c>
      <c r="W2097">
        <v>0</v>
      </c>
      <c r="X2097">
        <v>0</v>
      </c>
      <c r="AH2097">
        <v>5</v>
      </c>
      <c r="AJ2097" t="s">
        <v>129</v>
      </c>
      <c r="AK2097" t="s">
        <v>129</v>
      </c>
      <c r="AL2097" t="str">
        <f>HYPERLINK("https://cdn1.ozone.ru/s3/rp-photo-2/9ae477f4-2dd9-4c8c-b45f-e72b1c9c85a8.jpeg")</f>
        <v>https://cdn1.ozone.ru/s3/rp-photo-2/9ae477f4-2dd9-4c8c-b45f-e72b1c9c85a8.jpeg</v>
      </c>
      <c r="AM2097" t="s">
        <v>129</v>
      </c>
      <c r="AN2097" t="s">
        <v>130</v>
      </c>
      <c r="AP2097" t="s">
        <v>41</v>
      </c>
      <c r="AT2097" t="s">
        <v>45</v>
      </c>
      <c r="AU2097" t="s">
        <v>46</v>
      </c>
      <c r="AZ2097" t="s">
        <v>51</v>
      </c>
      <c r="BA2097" t="s">
        <v>52</v>
      </c>
      <c r="BO2097" t="s">
        <v>66</v>
      </c>
    </row>
    <row r="2098" spans="1:97" x14ac:dyDescent="0.2">
      <c r="A2098" t="s">
        <v>7276</v>
      </c>
      <c r="B2098" t="s">
        <v>2673</v>
      </c>
      <c r="C2098" t="s">
        <v>7519</v>
      </c>
      <c r="D2098" t="s">
        <v>6053</v>
      </c>
      <c r="E2098" t="s">
        <v>7520</v>
      </c>
      <c r="F2098" t="s">
        <v>118</v>
      </c>
      <c r="G2098" t="str">
        <f>HYPERLINK("https://vk.com/wall-22935147_368378?w=wall-22935147_368378_r368385")</f>
        <v>https://vk.com/wall-22935147_368378?w=wall-22935147_368378_r368385</v>
      </c>
      <c r="H2098" t="s">
        <v>119</v>
      </c>
      <c r="I2098" t="s">
        <v>6397</v>
      </c>
      <c r="J2098" t="str">
        <f>HYPERLINK("http://vk.com/id216618885")</f>
        <v>http://vk.com/id216618885</v>
      </c>
      <c r="K2098">
        <v>883</v>
      </c>
      <c r="L2098" t="s">
        <v>121</v>
      </c>
      <c r="M2098">
        <v>40</v>
      </c>
      <c r="N2098" t="s">
        <v>122</v>
      </c>
      <c r="O2098" t="s">
        <v>1093</v>
      </c>
      <c r="P2098" t="str">
        <f>HYPERLINK("http://vk.com/club22935147")</f>
        <v>http://vk.com/club22935147</v>
      </c>
      <c r="Q2098">
        <v>8943</v>
      </c>
      <c r="R2098" t="s">
        <v>124</v>
      </c>
      <c r="S2098" t="s">
        <v>1884</v>
      </c>
      <c r="T2098" t="s">
        <v>6398</v>
      </c>
      <c r="U2098" t="s">
        <v>6399</v>
      </c>
      <c r="W2098">
        <v>0</v>
      </c>
      <c r="X2098">
        <v>0</v>
      </c>
      <c r="AM2098" t="s">
        <v>129</v>
      </c>
      <c r="AN2098" t="s">
        <v>130</v>
      </c>
      <c r="AP2098" t="s">
        <v>41</v>
      </c>
      <c r="AU2098" t="s">
        <v>46</v>
      </c>
      <c r="AW2098" t="s">
        <v>48</v>
      </c>
      <c r="AZ2098" t="s">
        <v>51</v>
      </c>
      <c r="BA2098" t="s">
        <v>52</v>
      </c>
    </row>
    <row r="2099" spans="1:97" x14ac:dyDescent="0.2">
      <c r="A2099" t="s">
        <v>7276</v>
      </c>
      <c r="B2099" t="s">
        <v>1094</v>
      </c>
      <c r="C2099" t="s">
        <v>7521</v>
      </c>
      <c r="D2099" t="s">
        <v>2326</v>
      </c>
      <c r="E2099" t="s">
        <v>7522</v>
      </c>
      <c r="F2099" t="s">
        <v>118</v>
      </c>
      <c r="G2099" t="str">
        <f>HYPERLINK("https://vk.com/topic-27863223_35421989?post=115924")</f>
        <v>https://vk.com/topic-27863223_35421989?post=115924</v>
      </c>
      <c r="H2099" t="s">
        <v>119</v>
      </c>
      <c r="I2099" t="s">
        <v>2527</v>
      </c>
      <c r="J2099" t="str">
        <f>HYPERLINK("http://vk.com/id382015409")</f>
        <v>http://vk.com/id382015409</v>
      </c>
      <c r="K2099">
        <v>862</v>
      </c>
      <c r="L2099" t="s">
        <v>121</v>
      </c>
      <c r="N2099" t="s">
        <v>122</v>
      </c>
      <c r="O2099" t="s">
        <v>175</v>
      </c>
      <c r="P2099" t="str">
        <f>HYPERLINK("http://vk.com/club27863223")</f>
        <v>http://vk.com/club27863223</v>
      </c>
      <c r="Q2099">
        <v>134698</v>
      </c>
      <c r="R2099" t="s">
        <v>124</v>
      </c>
      <c r="S2099" t="s">
        <v>125</v>
      </c>
      <c r="AM2099" t="s">
        <v>129</v>
      </c>
      <c r="AN2099" t="s">
        <v>130</v>
      </c>
      <c r="AP2099" t="s">
        <v>41</v>
      </c>
      <c r="AU2099" t="s">
        <v>46</v>
      </c>
      <c r="AZ2099" t="s">
        <v>51</v>
      </c>
      <c r="BA2099" t="s">
        <v>52</v>
      </c>
    </row>
    <row r="2100" spans="1:97" x14ac:dyDescent="0.2">
      <c r="A2100" t="s">
        <v>7276</v>
      </c>
      <c r="B2100" t="s">
        <v>1673</v>
      </c>
      <c r="C2100" t="s">
        <v>7519</v>
      </c>
      <c r="D2100" t="s">
        <v>6053</v>
      </c>
      <c r="E2100" t="s">
        <v>7523</v>
      </c>
      <c r="F2100" t="s">
        <v>118</v>
      </c>
      <c r="G2100" t="str">
        <f>HYPERLINK("https://vk.com/wall-22935147_368378?w=wall-22935147_368378_r368384")</f>
        <v>https://vk.com/wall-22935147_368378?w=wall-22935147_368378_r368384</v>
      </c>
      <c r="H2100" t="s">
        <v>119</v>
      </c>
      <c r="I2100" t="s">
        <v>6055</v>
      </c>
      <c r="J2100" t="str">
        <f>HYPERLINK("http://vk.com/id154372840")</f>
        <v>http://vk.com/id154372840</v>
      </c>
      <c r="K2100">
        <v>19</v>
      </c>
      <c r="L2100" t="s">
        <v>121</v>
      </c>
      <c r="N2100" t="s">
        <v>122</v>
      </c>
      <c r="O2100" t="s">
        <v>1093</v>
      </c>
      <c r="P2100" t="str">
        <f>HYPERLINK("http://vk.com/club22935147")</f>
        <v>http://vk.com/club22935147</v>
      </c>
      <c r="Q2100">
        <v>8943</v>
      </c>
      <c r="R2100" t="s">
        <v>124</v>
      </c>
      <c r="S2100" t="s">
        <v>1884</v>
      </c>
      <c r="T2100" t="s">
        <v>3228</v>
      </c>
      <c r="U2100" t="s">
        <v>6056</v>
      </c>
      <c r="W2100">
        <v>0</v>
      </c>
      <c r="X2100">
        <v>0</v>
      </c>
      <c r="AM2100" t="s">
        <v>129</v>
      </c>
      <c r="AN2100" t="s">
        <v>130</v>
      </c>
      <c r="AP2100" t="s">
        <v>41</v>
      </c>
      <c r="AW2100" t="s">
        <v>48</v>
      </c>
      <c r="AZ2100" t="s">
        <v>51</v>
      </c>
      <c r="BA2100" t="s">
        <v>52</v>
      </c>
      <c r="BS2100" t="s">
        <v>70</v>
      </c>
    </row>
    <row r="2101" spans="1:97" x14ac:dyDescent="0.2">
      <c r="A2101" t="s">
        <v>7276</v>
      </c>
      <c r="B2101" t="s">
        <v>2678</v>
      </c>
      <c r="C2101" t="s">
        <v>7524</v>
      </c>
      <c r="D2101" t="s">
        <v>2326</v>
      </c>
      <c r="E2101" t="s">
        <v>7525</v>
      </c>
      <c r="F2101" t="s">
        <v>118</v>
      </c>
      <c r="G2101" t="str">
        <f>HYPERLINK("https://vk.com/topic-27863223_35421989?post=115922")</f>
        <v>https://vk.com/topic-27863223_35421989?post=115922</v>
      </c>
      <c r="H2101" t="s">
        <v>119</v>
      </c>
      <c r="I2101" t="s">
        <v>2527</v>
      </c>
      <c r="J2101" t="str">
        <f>HYPERLINK("http://vk.com/id382015409")</f>
        <v>http://vk.com/id382015409</v>
      </c>
      <c r="K2101">
        <v>862</v>
      </c>
      <c r="L2101" t="s">
        <v>121</v>
      </c>
      <c r="N2101" t="s">
        <v>122</v>
      </c>
      <c r="O2101" t="s">
        <v>175</v>
      </c>
      <c r="P2101" t="str">
        <f>HYPERLINK("http://vk.com/club27863223")</f>
        <v>http://vk.com/club27863223</v>
      </c>
      <c r="Q2101">
        <v>134698</v>
      </c>
      <c r="R2101" t="s">
        <v>124</v>
      </c>
      <c r="S2101" t="s">
        <v>125</v>
      </c>
      <c r="AM2101" t="s">
        <v>129</v>
      </c>
      <c r="AN2101" t="s">
        <v>130</v>
      </c>
      <c r="AP2101" t="s">
        <v>41</v>
      </c>
      <c r="AU2101" t="s">
        <v>46</v>
      </c>
      <c r="AZ2101" t="s">
        <v>51</v>
      </c>
      <c r="BA2101" t="s">
        <v>52</v>
      </c>
    </row>
    <row r="2102" spans="1:97" x14ac:dyDescent="0.2">
      <c r="A2102" t="s">
        <v>7276</v>
      </c>
      <c r="B2102" t="s">
        <v>2145</v>
      </c>
      <c r="C2102" t="s">
        <v>7526</v>
      </c>
      <c r="D2102" t="s">
        <v>6053</v>
      </c>
      <c r="E2102" t="s">
        <v>7527</v>
      </c>
      <c r="F2102" t="s">
        <v>118</v>
      </c>
      <c r="G2102" t="str">
        <f>HYPERLINK("https://vk.com/wall-22935147_368378?w=wall-22935147_368378_r368381")</f>
        <v>https://vk.com/wall-22935147_368378?w=wall-22935147_368378_r368381</v>
      </c>
      <c r="H2102" t="s">
        <v>119</v>
      </c>
      <c r="I2102" t="s">
        <v>6397</v>
      </c>
      <c r="J2102" t="str">
        <f>HYPERLINK("http://vk.com/id216618885")</f>
        <v>http://vk.com/id216618885</v>
      </c>
      <c r="K2102">
        <v>883</v>
      </c>
      <c r="L2102" t="s">
        <v>121</v>
      </c>
      <c r="M2102">
        <v>40</v>
      </c>
      <c r="N2102" t="s">
        <v>122</v>
      </c>
      <c r="O2102" t="s">
        <v>1093</v>
      </c>
      <c r="P2102" t="str">
        <f>HYPERLINK("http://vk.com/club22935147")</f>
        <v>http://vk.com/club22935147</v>
      </c>
      <c r="Q2102">
        <v>8943</v>
      </c>
      <c r="R2102" t="s">
        <v>124</v>
      </c>
      <c r="S2102" t="s">
        <v>1884</v>
      </c>
      <c r="T2102" t="s">
        <v>6398</v>
      </c>
      <c r="U2102" t="s">
        <v>6399</v>
      </c>
      <c r="W2102">
        <v>0</v>
      </c>
      <c r="X2102">
        <v>0</v>
      </c>
      <c r="AM2102" t="s">
        <v>129</v>
      </c>
      <c r="AN2102" t="s">
        <v>130</v>
      </c>
      <c r="AP2102" t="s">
        <v>41</v>
      </c>
      <c r="AT2102" t="s">
        <v>45</v>
      </c>
      <c r="AZ2102" t="s">
        <v>51</v>
      </c>
      <c r="BA2102" t="s">
        <v>52</v>
      </c>
    </row>
    <row r="2103" spans="1:97" x14ac:dyDescent="0.2">
      <c r="A2103" t="s">
        <v>7276</v>
      </c>
      <c r="B2103" t="s">
        <v>2720</v>
      </c>
      <c r="C2103" t="s">
        <v>7528</v>
      </c>
      <c r="D2103" t="s">
        <v>6952</v>
      </c>
      <c r="E2103" t="s">
        <v>7529</v>
      </c>
      <c r="F2103" t="s">
        <v>118</v>
      </c>
      <c r="G2103" t="str">
        <f>HYPERLINK("https://vk.com/wall-22935147_368374?reply=368380")</f>
        <v>https://vk.com/wall-22935147_368374?reply=368380</v>
      </c>
      <c r="H2103" t="s">
        <v>119</v>
      </c>
      <c r="I2103" t="s">
        <v>1375</v>
      </c>
      <c r="J2103" t="str">
        <f>HYPERLINK("http://vk.com/club46412285")</f>
        <v>http://vk.com/club46412285</v>
      </c>
      <c r="K2103">
        <v>1373</v>
      </c>
      <c r="L2103" t="s">
        <v>340</v>
      </c>
      <c r="N2103" t="s">
        <v>122</v>
      </c>
      <c r="O2103" t="s">
        <v>1093</v>
      </c>
      <c r="P2103" t="str">
        <f>HYPERLINK("http://vk.com/club22935147")</f>
        <v>http://vk.com/club22935147</v>
      </c>
      <c r="Q2103">
        <v>8943</v>
      </c>
      <c r="R2103" t="s">
        <v>124</v>
      </c>
      <c r="S2103" t="s">
        <v>125</v>
      </c>
      <c r="W2103">
        <v>0</v>
      </c>
      <c r="X2103">
        <v>0</v>
      </c>
      <c r="AM2103" t="s">
        <v>129</v>
      </c>
      <c r="AN2103" t="s">
        <v>130</v>
      </c>
      <c r="AP2103" t="s">
        <v>41</v>
      </c>
      <c r="AU2103" t="s">
        <v>46</v>
      </c>
      <c r="AZ2103" t="s">
        <v>51</v>
      </c>
      <c r="BA2103" t="s">
        <v>52</v>
      </c>
    </row>
    <row r="2104" spans="1:97" x14ac:dyDescent="0.2">
      <c r="A2104" t="s">
        <v>7276</v>
      </c>
      <c r="B2104" t="s">
        <v>2720</v>
      </c>
      <c r="C2104" t="s">
        <v>7530</v>
      </c>
      <c r="D2104" t="s">
        <v>175</v>
      </c>
      <c r="E2104" t="s">
        <v>7531</v>
      </c>
      <c r="F2104" t="s">
        <v>180</v>
      </c>
      <c r="G2104" t="str">
        <f>HYPERLINK("https://yandex.ru/maps/org/92845972032#n_MvEAVvvW_c0xWCVJ9YSBL2xQ7bRtJt")</f>
        <v>https://yandex.ru/maps/org/92845972032#n_MvEAVvvW_c0xWCVJ9YSBL2xQ7bRtJt</v>
      </c>
      <c r="H2104" t="s">
        <v>119</v>
      </c>
      <c r="I2104" t="s">
        <v>7532</v>
      </c>
      <c r="J2104" t="str">
        <f>HYPERLINK("https://yandex.ru/user/1kqx8w6av9he8gue2wth2b53v0")</f>
        <v>https://yandex.ru/user/1kqx8w6av9he8gue2wth2b53v0</v>
      </c>
      <c r="N2104" t="s">
        <v>236</v>
      </c>
      <c r="O2104" t="s">
        <v>175</v>
      </c>
      <c r="P2104" t="str">
        <f>HYPERLINK("https://yandex.ru/maps/org/92845972032")</f>
        <v>https://yandex.ru/maps/org/92845972032</v>
      </c>
      <c r="R2104" t="s">
        <v>184</v>
      </c>
      <c r="S2104" t="s">
        <v>125</v>
      </c>
      <c r="T2104" t="s">
        <v>6268</v>
      </c>
      <c r="U2104" t="s">
        <v>7533</v>
      </c>
      <c r="W2104">
        <v>0</v>
      </c>
      <c r="X2104">
        <v>0</v>
      </c>
      <c r="AH2104">
        <v>4</v>
      </c>
      <c r="AM2104" t="s">
        <v>129</v>
      </c>
      <c r="AN2104" t="s">
        <v>130</v>
      </c>
      <c r="AP2104" t="s">
        <v>41</v>
      </c>
      <c r="AX2104" t="s">
        <v>49</v>
      </c>
      <c r="AZ2104" t="s">
        <v>51</v>
      </c>
      <c r="BD2104" t="s">
        <v>55</v>
      </c>
    </row>
    <row r="2105" spans="1:97" x14ac:dyDescent="0.2">
      <c r="A2105" t="s">
        <v>7276</v>
      </c>
      <c r="B2105" t="s">
        <v>7534</v>
      </c>
      <c r="C2105" t="s">
        <v>7535</v>
      </c>
      <c r="D2105" t="s">
        <v>7536</v>
      </c>
      <c r="E2105" t="s">
        <v>7537</v>
      </c>
      <c r="F2105" t="s">
        <v>118</v>
      </c>
      <c r="G2105" t="str">
        <f>HYPERLINK("https://www.youtube.com/watch?v=qcjVbiR1Gt8&amp;lc=Ugw4Bz0FoPU2kwtzixt4AaABAg")</f>
        <v>https://www.youtube.com/watch?v=qcjVbiR1Gt8&amp;lc=Ugw4Bz0FoPU2kwtzixt4AaABAg</v>
      </c>
      <c r="H2105" t="s">
        <v>181</v>
      </c>
      <c r="I2105" t="s">
        <v>7538</v>
      </c>
      <c r="J2105" t="str">
        <f>HYPERLINK("https://www.youtube.com/channel/UCohyn2SxlpZzWvpBIxnEoxQ")</f>
        <v>https://www.youtube.com/channel/UCohyn2SxlpZzWvpBIxnEoxQ</v>
      </c>
      <c r="K2105">
        <v>0</v>
      </c>
      <c r="N2105" t="s">
        <v>248</v>
      </c>
      <c r="O2105" t="s">
        <v>175</v>
      </c>
      <c r="P2105" t="str">
        <f>HYPERLINK("https://www.youtube.com/channel/UC-KszRsnmwQEKBhYIe9moCA")</f>
        <v>https://www.youtube.com/channel/UC-KszRsnmwQEKBhYIe9moCA</v>
      </c>
      <c r="Q2105">
        <v>29600</v>
      </c>
      <c r="R2105" t="s">
        <v>124</v>
      </c>
      <c r="S2105" t="s">
        <v>125</v>
      </c>
      <c r="W2105">
        <v>0</v>
      </c>
      <c r="X2105">
        <v>0</v>
      </c>
      <c r="AE2105">
        <v>0</v>
      </c>
      <c r="AM2105" t="s">
        <v>129</v>
      </c>
      <c r="AN2105" t="s">
        <v>130</v>
      </c>
      <c r="AP2105" t="s">
        <v>41</v>
      </c>
      <c r="AZ2105" t="s">
        <v>51</v>
      </c>
      <c r="BA2105" t="s">
        <v>52</v>
      </c>
      <c r="BR2105" t="s">
        <v>69</v>
      </c>
    </row>
    <row r="2106" spans="1:97" x14ac:dyDescent="0.2">
      <c r="A2106" t="s">
        <v>7276</v>
      </c>
      <c r="B2106" t="s">
        <v>2729</v>
      </c>
      <c r="C2106" t="s">
        <v>7535</v>
      </c>
      <c r="D2106" t="s">
        <v>7539</v>
      </c>
      <c r="E2106" t="s">
        <v>7540</v>
      </c>
      <c r="F2106" t="s">
        <v>118</v>
      </c>
      <c r="G2106" t="str">
        <f>HYPERLINK("https://www.youtube.com/watch?v=ww9PfKcn_v0&amp;lc=Ugz1aFjmyf6Ivr_5c054AaABAg")</f>
        <v>https://www.youtube.com/watch?v=ww9PfKcn_v0&amp;lc=Ugz1aFjmyf6Ivr_5c054AaABAg</v>
      </c>
      <c r="H2106" t="s">
        <v>119</v>
      </c>
      <c r="I2106" t="s">
        <v>7538</v>
      </c>
      <c r="J2106" t="str">
        <f>HYPERLINK("https://www.youtube.com/channel/UCohyn2SxlpZzWvpBIxnEoxQ")</f>
        <v>https://www.youtube.com/channel/UCohyn2SxlpZzWvpBIxnEoxQ</v>
      </c>
      <c r="K2106">
        <v>0</v>
      </c>
      <c r="N2106" t="s">
        <v>248</v>
      </c>
      <c r="O2106" t="s">
        <v>175</v>
      </c>
      <c r="P2106" t="str">
        <f>HYPERLINK("https://www.youtube.com/channel/UC-KszRsnmwQEKBhYIe9moCA")</f>
        <v>https://www.youtube.com/channel/UC-KszRsnmwQEKBhYIe9moCA</v>
      </c>
      <c r="Q2106">
        <v>29600</v>
      </c>
      <c r="R2106" t="s">
        <v>124</v>
      </c>
      <c r="S2106" t="s">
        <v>125</v>
      </c>
      <c r="W2106">
        <v>0</v>
      </c>
      <c r="X2106">
        <v>0</v>
      </c>
      <c r="AE2106">
        <v>0</v>
      </c>
      <c r="AM2106" t="s">
        <v>129</v>
      </c>
      <c r="AN2106" t="s">
        <v>130</v>
      </c>
      <c r="AP2106" t="s">
        <v>41</v>
      </c>
      <c r="AT2106" t="s">
        <v>45</v>
      </c>
      <c r="AZ2106" t="s">
        <v>51</v>
      </c>
      <c r="BA2106" t="s">
        <v>52</v>
      </c>
    </row>
    <row r="2107" spans="1:97" x14ac:dyDescent="0.2">
      <c r="A2107" t="s">
        <v>7276</v>
      </c>
      <c r="B2107" t="s">
        <v>1118</v>
      </c>
      <c r="C2107" t="s">
        <v>7541</v>
      </c>
      <c r="D2107" t="s">
        <v>7542</v>
      </c>
      <c r="E2107" t="s">
        <v>7543</v>
      </c>
      <c r="F2107" t="s">
        <v>118</v>
      </c>
      <c r="G2107" t="str">
        <f>HYPERLINK("https://vk.com/wall-191642108_2110?reply=2119&amp;thread=2117")</f>
        <v>https://vk.com/wall-191642108_2110?reply=2119&amp;thread=2117</v>
      </c>
      <c r="H2107" t="s">
        <v>228</v>
      </c>
      <c r="I2107" t="s">
        <v>7544</v>
      </c>
      <c r="J2107" t="str">
        <f>HYPERLINK("http://vk.com/id31490343")</f>
        <v>http://vk.com/id31490343</v>
      </c>
      <c r="K2107">
        <v>230</v>
      </c>
      <c r="L2107" t="s">
        <v>151</v>
      </c>
      <c r="M2107">
        <v>33</v>
      </c>
      <c r="N2107" t="s">
        <v>122</v>
      </c>
      <c r="O2107" t="s">
        <v>7545</v>
      </c>
      <c r="P2107" t="str">
        <f>HYPERLINK("http://vk.com/club191642108")</f>
        <v>http://vk.com/club191642108</v>
      </c>
      <c r="Q2107">
        <v>809</v>
      </c>
      <c r="R2107" t="s">
        <v>124</v>
      </c>
      <c r="S2107" t="s">
        <v>125</v>
      </c>
      <c r="AM2107" t="s">
        <v>129</v>
      </c>
      <c r="AN2107" t="s">
        <v>130</v>
      </c>
      <c r="AP2107" t="s">
        <v>41</v>
      </c>
      <c r="AW2107" t="s">
        <v>48</v>
      </c>
      <c r="AZ2107" t="s">
        <v>51</v>
      </c>
      <c r="BA2107" t="s">
        <v>52</v>
      </c>
    </row>
    <row r="2108" spans="1:97" x14ac:dyDescent="0.2">
      <c r="A2108" t="s">
        <v>7276</v>
      </c>
      <c r="B2108" t="s">
        <v>617</v>
      </c>
      <c r="C2108" t="s">
        <v>7546</v>
      </c>
      <c r="D2108" t="s">
        <v>129</v>
      </c>
      <c r="E2108" t="s">
        <v>7547</v>
      </c>
      <c r="F2108" t="s">
        <v>180</v>
      </c>
      <c r="G2108" t="str">
        <f>HYPERLINK("https://vk.com/wall-22935147_368378")</f>
        <v>https://vk.com/wall-22935147_368378</v>
      </c>
      <c r="H2108" t="s">
        <v>119</v>
      </c>
      <c r="I2108" t="s">
        <v>6397</v>
      </c>
      <c r="J2108" t="str">
        <f>HYPERLINK("http://vk.com/id216618885")</f>
        <v>http://vk.com/id216618885</v>
      </c>
      <c r="K2108">
        <v>883</v>
      </c>
      <c r="L2108" t="s">
        <v>121</v>
      </c>
      <c r="M2108">
        <v>40</v>
      </c>
      <c r="N2108" t="s">
        <v>122</v>
      </c>
      <c r="O2108" t="s">
        <v>1093</v>
      </c>
      <c r="P2108" t="str">
        <f>HYPERLINK("http://vk.com/club22935147")</f>
        <v>http://vk.com/club22935147</v>
      </c>
      <c r="Q2108">
        <v>8943</v>
      </c>
      <c r="R2108" t="s">
        <v>124</v>
      </c>
      <c r="S2108" t="s">
        <v>1884</v>
      </c>
      <c r="T2108" t="s">
        <v>6398</v>
      </c>
      <c r="U2108" t="s">
        <v>6399</v>
      </c>
      <c r="W2108">
        <v>7</v>
      </c>
      <c r="X2108">
        <v>7</v>
      </c>
      <c r="AE2108">
        <v>30</v>
      </c>
      <c r="AF2108">
        <v>0</v>
      </c>
      <c r="AG2108">
        <v>1862</v>
      </c>
      <c r="AJ2108" t="s">
        <v>7548</v>
      </c>
      <c r="AK2108" t="s">
        <v>453</v>
      </c>
      <c r="AL2108" t="str">
        <f>HYPERLINK("https://sun9-77.userapi.com/impg/P2BQ9ScJNGHezXhhViUaD-ZIiS_ep1bhmZ_xRQ/8mBbdbec2Oo.jpg?size=448x600&amp;quality=96&amp;sign=57e93d8223142d9c150418473dc4eace&amp;c_uniq_tag=rQEL14YrsVEc4IcmNusbAH6_lvHZrfrsdoZyUX3e7To&amp;type=album")</f>
        <v>https://sun9-77.userapi.com/impg/P2BQ9ScJNGHezXhhViUaD-ZIiS_ep1bhmZ_xRQ/8mBbdbec2Oo.jpg?size=448x600&amp;quality=96&amp;sign=57e93d8223142d9c150418473dc4eace&amp;c_uniq_tag=rQEL14YrsVEc4IcmNusbAH6_lvHZrfrsdoZyUX3e7To&amp;type=album</v>
      </c>
      <c r="AM2108" t="s">
        <v>129</v>
      </c>
      <c r="AN2108" t="s">
        <v>130</v>
      </c>
      <c r="AP2108" t="s">
        <v>41</v>
      </c>
      <c r="BA2108" t="s">
        <v>52</v>
      </c>
      <c r="BE2108" t="s">
        <v>56</v>
      </c>
      <c r="BL2108" t="s">
        <v>63</v>
      </c>
    </row>
    <row r="2109" spans="1:97" x14ac:dyDescent="0.2">
      <c r="A2109" t="s">
        <v>7276</v>
      </c>
      <c r="B2109" t="s">
        <v>1725</v>
      </c>
      <c r="C2109" t="s">
        <v>7549</v>
      </c>
      <c r="D2109" t="s">
        <v>7550</v>
      </c>
      <c r="E2109" t="s">
        <v>7551</v>
      </c>
      <c r="F2109" t="s">
        <v>118</v>
      </c>
      <c r="G2109" t="str">
        <f>HYPERLINK("https://vk.com/wall-18496184_2709445?reply=2709475")</f>
        <v>https://vk.com/wall-18496184_2709445?reply=2709475</v>
      </c>
      <c r="H2109" t="s">
        <v>181</v>
      </c>
      <c r="I2109" t="s">
        <v>254</v>
      </c>
      <c r="J2109" t="str">
        <f>HYPERLINK("http://vk.com/id286061518")</f>
        <v>http://vk.com/id286061518</v>
      </c>
      <c r="K2109">
        <v>5170</v>
      </c>
      <c r="L2109" t="s">
        <v>121</v>
      </c>
      <c r="M2109">
        <v>34</v>
      </c>
      <c r="N2109" t="s">
        <v>122</v>
      </c>
      <c r="O2109" t="s">
        <v>7552</v>
      </c>
      <c r="P2109" t="str">
        <f>HYPERLINK("http://vk.com/club18496184")</f>
        <v>http://vk.com/club18496184</v>
      </c>
      <c r="Q2109">
        <v>3429849</v>
      </c>
      <c r="R2109" t="s">
        <v>124</v>
      </c>
      <c r="S2109" t="s">
        <v>125</v>
      </c>
      <c r="T2109" t="s">
        <v>256</v>
      </c>
      <c r="U2109" t="s">
        <v>257</v>
      </c>
      <c r="AM2109" t="s">
        <v>129</v>
      </c>
      <c r="AN2109" t="s">
        <v>130</v>
      </c>
      <c r="AP2109" t="s">
        <v>41</v>
      </c>
      <c r="AU2109" t="s">
        <v>46</v>
      </c>
      <c r="AZ2109" t="s">
        <v>51</v>
      </c>
      <c r="BA2109" t="s">
        <v>52</v>
      </c>
    </row>
    <row r="2110" spans="1:97" x14ac:dyDescent="0.2">
      <c r="A2110" t="s">
        <v>7276</v>
      </c>
      <c r="B2110" t="s">
        <v>631</v>
      </c>
      <c r="C2110" t="s">
        <v>7549</v>
      </c>
      <c r="D2110" t="s">
        <v>6952</v>
      </c>
      <c r="E2110" t="s">
        <v>7553</v>
      </c>
      <c r="F2110" t="s">
        <v>118</v>
      </c>
      <c r="G2110" t="str">
        <f>HYPERLINK("https://vk.com/wall-22935147_368374?reply=368376")</f>
        <v>https://vk.com/wall-22935147_368374?reply=368376</v>
      </c>
      <c r="H2110" t="s">
        <v>119</v>
      </c>
      <c r="I2110" t="s">
        <v>6267</v>
      </c>
      <c r="J2110" t="str">
        <f>HYPERLINK("http://vk.com/id124014423")</f>
        <v>http://vk.com/id124014423</v>
      </c>
      <c r="K2110">
        <v>731</v>
      </c>
      <c r="L2110" t="s">
        <v>121</v>
      </c>
      <c r="M2110">
        <v>29</v>
      </c>
      <c r="N2110" t="s">
        <v>122</v>
      </c>
      <c r="O2110" t="s">
        <v>1093</v>
      </c>
      <c r="P2110" t="str">
        <f>HYPERLINK("http://vk.com/club22935147")</f>
        <v>http://vk.com/club22935147</v>
      </c>
      <c r="Q2110">
        <v>8943</v>
      </c>
      <c r="R2110" t="s">
        <v>124</v>
      </c>
      <c r="S2110" t="s">
        <v>125</v>
      </c>
      <c r="T2110" t="s">
        <v>6268</v>
      </c>
      <c r="U2110" t="s">
        <v>6269</v>
      </c>
      <c r="W2110">
        <v>0</v>
      </c>
      <c r="X2110">
        <v>0</v>
      </c>
      <c r="AM2110" t="s">
        <v>129</v>
      </c>
      <c r="AN2110" t="s">
        <v>130</v>
      </c>
      <c r="AP2110" t="s">
        <v>41</v>
      </c>
      <c r="AU2110" t="s">
        <v>46</v>
      </c>
      <c r="AY2110" t="s">
        <v>50</v>
      </c>
      <c r="AZ2110" t="s">
        <v>51</v>
      </c>
      <c r="BA2110" t="s">
        <v>52</v>
      </c>
    </row>
    <row r="2111" spans="1:97" x14ac:dyDescent="0.2">
      <c r="A2111" t="s">
        <v>7276</v>
      </c>
      <c r="B2111" t="s">
        <v>644</v>
      </c>
      <c r="C2111" t="s">
        <v>7554</v>
      </c>
      <c r="D2111" t="s">
        <v>129</v>
      </c>
      <c r="E2111" t="s">
        <v>6952</v>
      </c>
      <c r="F2111" t="s">
        <v>180</v>
      </c>
      <c r="G2111" t="str">
        <f>HYPERLINK("https://vk.com/wall-22935147_368374")</f>
        <v>https://vk.com/wall-22935147_368374</v>
      </c>
      <c r="H2111" t="s">
        <v>119</v>
      </c>
      <c r="I2111" t="s">
        <v>7555</v>
      </c>
      <c r="J2111" t="str">
        <f>HYPERLINK("http://vk.com/id131717791")</f>
        <v>http://vk.com/id131717791</v>
      </c>
      <c r="K2111">
        <v>232</v>
      </c>
      <c r="L2111" t="s">
        <v>121</v>
      </c>
      <c r="M2111">
        <v>40</v>
      </c>
      <c r="N2111" t="s">
        <v>122</v>
      </c>
      <c r="O2111" t="s">
        <v>1093</v>
      </c>
      <c r="P2111" t="str">
        <f>HYPERLINK("http://vk.com/club22935147")</f>
        <v>http://vk.com/club22935147</v>
      </c>
      <c r="Q2111">
        <v>8943</v>
      </c>
      <c r="R2111" t="s">
        <v>124</v>
      </c>
      <c r="S2111" t="s">
        <v>125</v>
      </c>
      <c r="T2111" t="s">
        <v>218</v>
      </c>
      <c r="U2111" t="s">
        <v>7556</v>
      </c>
      <c r="W2111">
        <v>8</v>
      </c>
      <c r="X2111">
        <v>8</v>
      </c>
      <c r="AE2111">
        <v>4</v>
      </c>
      <c r="AF2111">
        <v>0</v>
      </c>
      <c r="AG2111">
        <v>1714</v>
      </c>
      <c r="AJ2111" t="s">
        <v>588</v>
      </c>
      <c r="AK2111" t="s">
        <v>876</v>
      </c>
      <c r="AL2111" t="str">
        <f>HYPERLINK("https://sun9-65.userapi.com/impg/jg0BaNuzQOmprIQgaRVWgT4DlxACQ3ZiGD6ENw/IFeF-2JEW18.jpg?size=1080x810&amp;quality=96&amp;sign=97fc071ea897ea332ea1d37e75d0dcad&amp;c_uniq_tag=0cucjguFQt58M5FZ3yvdGv5fJxf2E5JdKzDgaNGzCls&amp;type=album")</f>
        <v>https://sun9-65.userapi.com/impg/jg0BaNuzQOmprIQgaRVWgT4DlxACQ3ZiGD6ENw/IFeF-2JEW18.jpg?size=1080x810&amp;quality=96&amp;sign=97fc071ea897ea332ea1d37e75d0dcad&amp;c_uniq_tag=0cucjguFQt58M5FZ3yvdGv5fJxf2E5JdKzDgaNGzCls&amp;type=album</v>
      </c>
      <c r="AM2111" t="s">
        <v>129</v>
      </c>
      <c r="AN2111" t="s">
        <v>130</v>
      </c>
      <c r="AP2111" t="s">
        <v>41</v>
      </c>
      <c r="BA2111" t="s">
        <v>52</v>
      </c>
      <c r="BE2111" t="s">
        <v>56</v>
      </c>
      <c r="CS2111" t="s">
        <v>96</v>
      </c>
    </row>
    <row r="2112" spans="1:97" x14ac:dyDescent="0.2">
      <c r="A2112" t="s">
        <v>7276</v>
      </c>
      <c r="B2112" t="s">
        <v>3948</v>
      </c>
      <c r="C2112" t="s">
        <v>7557</v>
      </c>
      <c r="D2112" t="s">
        <v>7558</v>
      </c>
      <c r="E2112" t="s">
        <v>7559</v>
      </c>
      <c r="F2112" t="s">
        <v>180</v>
      </c>
      <c r="G2112" t="str">
        <f>HYPERLINK("https://4pda.to/forum/index.php?showtopic=1009800&amp;st=820#entry107998723")</f>
        <v>https://4pda.to/forum/index.php?showtopic=1009800&amp;st=820#entry107998723</v>
      </c>
      <c r="H2112" t="s">
        <v>119</v>
      </c>
      <c r="I2112" t="s">
        <v>7221</v>
      </c>
      <c r="J2112" t="str">
        <f>HYPERLINK("https://4pda.to/forum/index.php?showuser=2509709")</f>
        <v>https://4pda.to/forum/index.php?showuser=2509709</v>
      </c>
      <c r="N2112" t="s">
        <v>293</v>
      </c>
      <c r="O2112" t="s">
        <v>1189</v>
      </c>
      <c r="P2112" t="str">
        <f>HYPERLINK("https://4pda.to/forum/index.php?showforum=319")</f>
        <v>https://4pda.to/forum/index.php?showforum=319</v>
      </c>
      <c r="R2112" t="s">
        <v>295</v>
      </c>
      <c r="S2112" t="s">
        <v>125</v>
      </c>
      <c r="AM2112" t="s">
        <v>129</v>
      </c>
      <c r="AN2112" t="s">
        <v>130</v>
      </c>
      <c r="AP2112" t="s">
        <v>41</v>
      </c>
      <c r="AT2112" t="s">
        <v>45</v>
      </c>
      <c r="AZ2112" t="s">
        <v>51</v>
      </c>
      <c r="BA2112" t="s">
        <v>52</v>
      </c>
    </row>
    <row r="2113" spans="1:77" x14ac:dyDescent="0.2">
      <c r="A2113" t="s">
        <v>7276</v>
      </c>
      <c r="B2113" t="s">
        <v>7222</v>
      </c>
      <c r="C2113" t="s">
        <v>7393</v>
      </c>
      <c r="D2113" t="s">
        <v>7394</v>
      </c>
      <c r="E2113" t="s">
        <v>7560</v>
      </c>
      <c r="F2113" t="s">
        <v>180</v>
      </c>
      <c r="G2113" t="str">
        <f>HYPERLINK("https://www.wildberries.ru/catalog/27824475/detail.aspx?targetUrl=ES#Comments")</f>
        <v>https://www.wildberries.ru/catalog/27824475/detail.aspx?targetUrl=ES#Comments</v>
      </c>
      <c r="H2113" t="s">
        <v>119</v>
      </c>
      <c r="I2113" t="s">
        <v>1781</v>
      </c>
      <c r="J2113" t="str">
        <f>HYPERLINK("https://www.wildberries.ru/profile/w7TDssOkw7PCu8K0wrDCt8K3wrfCucKxwrc=")</f>
        <v>https://www.wildberries.ru/profile/w7TDssOkw7PCu8K0wrDCt8K3wrfCucKxwrc=</v>
      </c>
      <c r="L2113" t="s">
        <v>151</v>
      </c>
      <c r="N2113" t="s">
        <v>534</v>
      </c>
      <c r="O2113" t="s">
        <v>7394</v>
      </c>
      <c r="P2113" t="str">
        <f>HYPERLINK("https://www.wildberries.ru/catalog/20414642/detail.aspx")</f>
        <v>https://www.wildberries.ru/catalog/20414642/detail.aspx</v>
      </c>
      <c r="R2113" t="s">
        <v>184</v>
      </c>
      <c r="S2113" t="s">
        <v>125</v>
      </c>
      <c r="W2113">
        <v>0</v>
      </c>
      <c r="X2113">
        <v>0</v>
      </c>
      <c r="AH2113">
        <v>2</v>
      </c>
      <c r="AM2113" t="s">
        <v>129</v>
      </c>
      <c r="AN2113" t="s">
        <v>130</v>
      </c>
      <c r="AP2113" t="s">
        <v>41</v>
      </c>
      <c r="AT2113" t="s">
        <v>45</v>
      </c>
      <c r="AZ2113" t="s">
        <v>51</v>
      </c>
      <c r="BA2113" t="s">
        <v>52</v>
      </c>
    </row>
    <row r="2114" spans="1:77" x14ac:dyDescent="0.2">
      <c r="A2114" t="s">
        <v>7276</v>
      </c>
      <c r="B2114" t="s">
        <v>2774</v>
      </c>
      <c r="C2114" t="s">
        <v>7561</v>
      </c>
      <c r="D2114" t="s">
        <v>204</v>
      </c>
      <c r="E2114" t="s">
        <v>7562</v>
      </c>
      <c r="F2114" t="s">
        <v>180</v>
      </c>
      <c r="G2114" t="str">
        <f>HYPERLINK("https://play.google.com/store/apps/details?id=ru.iflex.android.a3colortv&amp;reviewId=gp:AOqpTOEdIIRV2kd08gLsjA0y1DYeAL46_K-3wzNe9kqDEPjZMdiAJMpLRwQTbwwG6LmvtYzIKmwvljqCCk0yjg")</f>
        <v>https://play.google.com/store/apps/details?id=ru.iflex.android.a3colortv&amp;reviewId=gp:AOqpTOEdIIRV2kd08gLsjA0y1DYeAL46_K-3wzNe9kqDEPjZMdiAJMpLRwQTbwwG6LmvtYzIKmwvljqCCk0yjg</v>
      </c>
      <c r="H2114" t="s">
        <v>181</v>
      </c>
      <c r="I2114" t="s">
        <v>7563</v>
      </c>
      <c r="J2114" t="str">
        <f>HYPERLINK("https://plus.google.com/102735698824833557299")</f>
        <v>https://plus.google.com/102735698824833557299</v>
      </c>
      <c r="L2114" t="s">
        <v>121</v>
      </c>
      <c r="N2114" t="s">
        <v>207</v>
      </c>
      <c r="O2114" t="s">
        <v>204</v>
      </c>
      <c r="P2114" t="str">
        <f>HYPERLINK("https://play.google.com/store/apps/details?id=ru.iflex.android.a3colortv&amp;hl=ru")</f>
        <v>https://play.google.com/store/apps/details?id=ru.iflex.android.a3colortv&amp;hl=ru</v>
      </c>
      <c r="R2114" t="s">
        <v>184</v>
      </c>
      <c r="S2114" t="s">
        <v>125</v>
      </c>
      <c r="W2114">
        <v>0</v>
      </c>
      <c r="X2114">
        <v>0</v>
      </c>
      <c r="AH2114">
        <v>5</v>
      </c>
      <c r="AM2114" t="s">
        <v>129</v>
      </c>
      <c r="AN2114" t="s">
        <v>130</v>
      </c>
      <c r="AP2114" t="s">
        <v>41</v>
      </c>
      <c r="AZ2114" t="s">
        <v>51</v>
      </c>
      <c r="BA2114" t="s">
        <v>52</v>
      </c>
      <c r="BQ2114" t="s">
        <v>68</v>
      </c>
    </row>
    <row r="2115" spans="1:77" x14ac:dyDescent="0.2">
      <c r="A2115" t="s">
        <v>7276</v>
      </c>
      <c r="B2115" t="s">
        <v>2785</v>
      </c>
      <c r="C2115" t="s">
        <v>7564</v>
      </c>
      <c r="D2115" t="s">
        <v>7565</v>
      </c>
      <c r="E2115" t="s">
        <v>7566</v>
      </c>
      <c r="F2115" t="s">
        <v>118</v>
      </c>
      <c r="G2115" t="str">
        <f>HYPERLINK("https://vk.com/wall-199277766_741?reply=745")</f>
        <v>https://vk.com/wall-199277766_741?reply=745</v>
      </c>
      <c r="H2115" t="s">
        <v>119</v>
      </c>
      <c r="I2115" t="s">
        <v>254</v>
      </c>
      <c r="J2115" t="str">
        <f>HYPERLINK("http://vk.com/id286061518")</f>
        <v>http://vk.com/id286061518</v>
      </c>
      <c r="K2115">
        <v>5170</v>
      </c>
      <c r="L2115" t="s">
        <v>121</v>
      </c>
      <c r="M2115">
        <v>34</v>
      </c>
      <c r="N2115" t="s">
        <v>122</v>
      </c>
      <c r="O2115" t="s">
        <v>255</v>
      </c>
      <c r="P2115" t="str">
        <f>HYPERLINK("http://vk.com/club199277766")</f>
        <v>http://vk.com/club199277766</v>
      </c>
      <c r="Q2115">
        <v>53</v>
      </c>
      <c r="R2115" t="s">
        <v>124</v>
      </c>
      <c r="S2115" t="s">
        <v>125</v>
      </c>
      <c r="T2115" t="s">
        <v>256</v>
      </c>
      <c r="U2115" t="s">
        <v>257</v>
      </c>
      <c r="AM2115" t="s">
        <v>129</v>
      </c>
      <c r="AN2115" t="s">
        <v>130</v>
      </c>
      <c r="AP2115" t="s">
        <v>41</v>
      </c>
      <c r="AU2115" t="s">
        <v>46</v>
      </c>
      <c r="BA2115" t="s">
        <v>52</v>
      </c>
      <c r="BE2115" t="s">
        <v>56</v>
      </c>
    </row>
    <row r="2116" spans="1:77" x14ac:dyDescent="0.2">
      <c r="A2116" t="s">
        <v>7276</v>
      </c>
      <c r="B2116" t="s">
        <v>5359</v>
      </c>
      <c r="C2116" t="s">
        <v>7567</v>
      </c>
      <c r="D2116" t="s">
        <v>7568</v>
      </c>
      <c r="E2116" t="s">
        <v>7569</v>
      </c>
      <c r="F2116" t="s">
        <v>118</v>
      </c>
      <c r="G2116" t="str">
        <f>HYPERLINK("https://vk.com/topic-185225586_39455152?post=26")</f>
        <v>https://vk.com/topic-185225586_39455152?post=26</v>
      </c>
      <c r="H2116" t="s">
        <v>119</v>
      </c>
      <c r="I2116" t="s">
        <v>5399</v>
      </c>
      <c r="J2116" t="str">
        <f>HYPERLINK("http://vk.com/id19354176")</f>
        <v>http://vk.com/id19354176</v>
      </c>
      <c r="K2116">
        <v>104</v>
      </c>
      <c r="L2116" t="s">
        <v>151</v>
      </c>
      <c r="N2116" t="s">
        <v>122</v>
      </c>
      <c r="O2116" t="s">
        <v>7570</v>
      </c>
      <c r="P2116" t="str">
        <f>HYPERLINK("http://vk.com/club185225586")</f>
        <v>http://vk.com/club185225586</v>
      </c>
      <c r="Q2116">
        <v>138</v>
      </c>
      <c r="R2116" t="s">
        <v>124</v>
      </c>
      <c r="S2116" t="s">
        <v>125</v>
      </c>
      <c r="T2116" t="s">
        <v>137</v>
      </c>
      <c r="U2116" t="s">
        <v>137</v>
      </c>
      <c r="AM2116" t="s">
        <v>129</v>
      </c>
      <c r="AN2116" t="s">
        <v>130</v>
      </c>
      <c r="AP2116" t="s">
        <v>41</v>
      </c>
      <c r="AT2116" t="s">
        <v>45</v>
      </c>
      <c r="AZ2116" t="s">
        <v>51</v>
      </c>
      <c r="BA2116" t="s">
        <v>52</v>
      </c>
      <c r="BL2116" t="s">
        <v>63</v>
      </c>
      <c r="BM2116" t="s">
        <v>64</v>
      </c>
    </row>
    <row r="2117" spans="1:77" x14ac:dyDescent="0.2">
      <c r="A2117" t="s">
        <v>7276</v>
      </c>
      <c r="B2117" t="s">
        <v>2227</v>
      </c>
      <c r="C2117" t="s">
        <v>5345</v>
      </c>
      <c r="D2117" t="s">
        <v>3139</v>
      </c>
      <c r="E2117" t="s">
        <v>7571</v>
      </c>
      <c r="F2117" t="s">
        <v>180</v>
      </c>
      <c r="G2117" t="str">
        <f>HYPERLINK("https://www.ozon.ru/context/detail/id/213475448/#59536663")</f>
        <v>https://www.ozon.ru/context/detail/id/213475448/#59536663</v>
      </c>
      <c r="H2117" t="s">
        <v>181</v>
      </c>
      <c r="I2117" t="s">
        <v>512</v>
      </c>
      <c r="J2117" t="str">
        <f>HYPERLINK("https://www.ozon.ru/context/client_opinion/ClientGuid//")</f>
        <v>https://www.ozon.ru/context/client_opinion/ClientGuid//</v>
      </c>
      <c r="N2117" t="s">
        <v>183</v>
      </c>
      <c r="O2117" t="s">
        <v>3139</v>
      </c>
      <c r="P2117" t="str">
        <f>HYPERLINK("https://www.ozon.ru/context/detail/id/213475448/")</f>
        <v>https://www.ozon.ru/context/detail/id/213475448/</v>
      </c>
      <c r="R2117" t="s">
        <v>184</v>
      </c>
      <c r="S2117" t="s">
        <v>125</v>
      </c>
      <c r="W2117">
        <v>1</v>
      </c>
      <c r="X2117">
        <v>1</v>
      </c>
      <c r="AH2117">
        <v>5</v>
      </c>
      <c r="AM2117" t="s">
        <v>129</v>
      </c>
      <c r="AN2117" t="s">
        <v>130</v>
      </c>
      <c r="AP2117" t="s">
        <v>41</v>
      </c>
      <c r="AU2117" t="s">
        <v>46</v>
      </c>
      <c r="AY2117" t="s">
        <v>50</v>
      </c>
      <c r="AZ2117" t="s">
        <v>51</v>
      </c>
      <c r="BA2117" t="s">
        <v>52</v>
      </c>
      <c r="BL2117" t="s">
        <v>63</v>
      </c>
    </row>
    <row r="2118" spans="1:77" x14ac:dyDescent="0.2">
      <c r="A2118" t="s">
        <v>7276</v>
      </c>
      <c r="B2118" t="s">
        <v>6901</v>
      </c>
      <c r="C2118" t="s">
        <v>7572</v>
      </c>
      <c r="D2118" t="s">
        <v>7573</v>
      </c>
      <c r="E2118" t="s">
        <v>7574</v>
      </c>
      <c r="F2118" t="s">
        <v>118</v>
      </c>
      <c r="G2118" t="str">
        <f>HYPERLINK("https://vk.com/wall-76723711_1107171?reply=1107434&amp;thread=1107207")</f>
        <v>https://vk.com/wall-76723711_1107171?reply=1107434&amp;thread=1107207</v>
      </c>
      <c r="H2118" t="s">
        <v>181</v>
      </c>
      <c r="I2118" t="s">
        <v>7575</v>
      </c>
      <c r="J2118" t="str">
        <f>HYPERLINK("http://vk.com/id414474338")</f>
        <v>http://vk.com/id414474338</v>
      </c>
      <c r="K2118">
        <v>1317</v>
      </c>
      <c r="L2118" t="s">
        <v>151</v>
      </c>
      <c r="M2118">
        <v>42</v>
      </c>
      <c r="N2118" t="s">
        <v>122</v>
      </c>
      <c r="O2118" t="s">
        <v>7576</v>
      </c>
      <c r="P2118" t="str">
        <f>HYPERLINK("http://vk.com/club76723711")</f>
        <v>http://vk.com/club76723711</v>
      </c>
      <c r="Q2118">
        <v>28035</v>
      </c>
      <c r="R2118" t="s">
        <v>124</v>
      </c>
      <c r="S2118" t="s">
        <v>125</v>
      </c>
      <c r="T2118" t="s">
        <v>1401</v>
      </c>
      <c r="U2118" t="s">
        <v>4913</v>
      </c>
      <c r="AM2118" t="s">
        <v>129</v>
      </c>
      <c r="AN2118" t="s">
        <v>130</v>
      </c>
      <c r="AP2118" t="s">
        <v>41</v>
      </c>
      <c r="AT2118" t="s">
        <v>45</v>
      </c>
      <c r="AU2118" t="s">
        <v>46</v>
      </c>
      <c r="AY2118" t="s">
        <v>50</v>
      </c>
      <c r="AZ2118" t="s">
        <v>51</v>
      </c>
      <c r="BA2118" t="s">
        <v>52</v>
      </c>
    </row>
    <row r="2119" spans="1:77" x14ac:dyDescent="0.2">
      <c r="A2119" t="s">
        <v>7276</v>
      </c>
      <c r="B2119" t="s">
        <v>7577</v>
      </c>
      <c r="C2119" t="s">
        <v>7578</v>
      </c>
      <c r="D2119" t="s">
        <v>7579</v>
      </c>
      <c r="E2119" t="s">
        <v>7580</v>
      </c>
      <c r="F2119" t="s">
        <v>180</v>
      </c>
      <c r="G2119" t="str">
        <f>HYPERLINK("https://trueadviser.livejournal.com/589578.html")</f>
        <v>https://trueadviser.livejournal.com/589578.html</v>
      </c>
      <c r="H2119" t="s">
        <v>119</v>
      </c>
      <c r="I2119" t="s">
        <v>7581</v>
      </c>
      <c r="J2119" t="str">
        <f>HYPERLINK("http://trueadviser.livejournal.com/")</f>
        <v>http://trueadviser.livejournal.com/</v>
      </c>
      <c r="K2119">
        <v>961</v>
      </c>
      <c r="L2119" t="s">
        <v>121</v>
      </c>
      <c r="N2119" t="s">
        <v>4340</v>
      </c>
      <c r="O2119" t="s">
        <v>7581</v>
      </c>
      <c r="P2119" t="str">
        <f>HYPERLINK("http://trueadviser.livejournal.com/")</f>
        <v>http://trueadviser.livejournal.com/</v>
      </c>
      <c r="Q2119">
        <v>961</v>
      </c>
      <c r="R2119" t="s">
        <v>404</v>
      </c>
      <c r="S2119" t="s">
        <v>125</v>
      </c>
      <c r="W2119">
        <v>3</v>
      </c>
      <c r="X2119">
        <v>3</v>
      </c>
      <c r="AE2119">
        <v>21</v>
      </c>
      <c r="AJ2119" t="s">
        <v>7582</v>
      </c>
      <c r="AK2119" t="s">
        <v>129</v>
      </c>
      <c r="AL2119" t="str">
        <f>HYPERLINK("https://ic.pics.livejournal.com/trueadviser/77281898/501281/501281_original.jpg")</f>
        <v>https://ic.pics.livejournal.com/trueadviser/77281898/501281/501281_original.jpg</v>
      </c>
      <c r="AM2119" t="s">
        <v>129</v>
      </c>
      <c r="AN2119" t="s">
        <v>130</v>
      </c>
      <c r="AP2119" t="s">
        <v>41</v>
      </c>
      <c r="AT2119" t="s">
        <v>45</v>
      </c>
      <c r="AX2119" t="s">
        <v>49</v>
      </c>
      <c r="AY2119" t="s">
        <v>50</v>
      </c>
      <c r="AZ2119" t="s">
        <v>51</v>
      </c>
      <c r="BA2119" t="s">
        <v>52</v>
      </c>
      <c r="BM2119" t="s">
        <v>64</v>
      </c>
    </row>
    <row r="2120" spans="1:77" x14ac:dyDescent="0.2">
      <c r="A2120" t="s">
        <v>7276</v>
      </c>
      <c r="B2120" t="s">
        <v>7583</v>
      </c>
      <c r="C2120" t="s">
        <v>7584</v>
      </c>
      <c r="D2120" t="s">
        <v>7512</v>
      </c>
      <c r="E2120" t="s">
        <v>7585</v>
      </c>
      <c r="F2120" t="s">
        <v>118</v>
      </c>
      <c r="G2120" t="str">
        <f>HYPERLINK("https://ok.ru/group/52172741083275/topic/153800758578059#MTYyNjMyNDg5NDE0MjotNDYzMzoxNjI2MzI0ODk0MTQyOjE1MzgwMDc1ODU3ODA1OTox")</f>
        <v>https://ok.ru/group/52172741083275/topic/153800758578059#MTYyNjMyNDg5NDE0MjotNDYzMzoxNjI2MzI0ODk0MTQyOjE1MzgwMDc1ODU3ODA1OTox</v>
      </c>
      <c r="H2120" t="s">
        <v>119</v>
      </c>
      <c r="I2120" t="s">
        <v>7586</v>
      </c>
      <c r="J2120" t="str">
        <f>HYPERLINK("https://ok.ru/profile/588171695382")</f>
        <v>https://ok.ru/profile/588171695382</v>
      </c>
      <c r="K2120">
        <v>35</v>
      </c>
      <c r="L2120" t="s">
        <v>121</v>
      </c>
      <c r="M2120">
        <v>62</v>
      </c>
      <c r="N2120" t="s">
        <v>347</v>
      </c>
      <c r="O2120" t="s">
        <v>4687</v>
      </c>
      <c r="P2120" t="str">
        <f>HYPERLINK("https://ok.ru/group/52172741083275")</f>
        <v>https://ok.ru/group/52172741083275</v>
      </c>
      <c r="Q2120">
        <v>27667</v>
      </c>
      <c r="R2120" t="s">
        <v>124</v>
      </c>
      <c r="S2120" t="s">
        <v>125</v>
      </c>
      <c r="W2120">
        <v>0</v>
      </c>
      <c r="X2120">
        <v>0</v>
      </c>
      <c r="AM2120" t="s">
        <v>129</v>
      </c>
      <c r="AN2120" t="s">
        <v>130</v>
      </c>
      <c r="AP2120" t="s">
        <v>41</v>
      </c>
      <c r="AZ2120" t="s">
        <v>51</v>
      </c>
      <c r="BA2120" t="s">
        <v>52</v>
      </c>
      <c r="BM2120" t="s">
        <v>64</v>
      </c>
    </row>
    <row r="2121" spans="1:77" x14ac:dyDescent="0.2">
      <c r="A2121" t="s">
        <v>7276</v>
      </c>
      <c r="B2121" t="s">
        <v>4481</v>
      </c>
      <c r="C2121" t="s">
        <v>7587</v>
      </c>
      <c r="D2121" t="s">
        <v>7588</v>
      </c>
      <c r="E2121" t="s">
        <v>7589</v>
      </c>
      <c r="F2121" t="s">
        <v>118</v>
      </c>
      <c r="G2121" t="str">
        <f>HYPERLINK("https://vk.com/wall-15755094_31869479?reply=31869761&amp;thread=31869487")</f>
        <v>https://vk.com/wall-15755094_31869479?reply=31869761&amp;thread=31869487</v>
      </c>
      <c r="H2121" t="s">
        <v>119</v>
      </c>
      <c r="I2121" t="s">
        <v>7590</v>
      </c>
      <c r="J2121" t="str">
        <f>HYPERLINK("http://vk.com/id229086431")</f>
        <v>http://vk.com/id229086431</v>
      </c>
      <c r="K2121">
        <v>30</v>
      </c>
      <c r="L2121" t="s">
        <v>121</v>
      </c>
      <c r="M2121">
        <v>39</v>
      </c>
      <c r="N2121" t="s">
        <v>122</v>
      </c>
      <c r="O2121" t="s">
        <v>2700</v>
      </c>
      <c r="P2121" t="str">
        <f>HYPERLINK("http://vk.com/club15755094")</f>
        <v>http://vk.com/club15755094</v>
      </c>
      <c r="Q2121">
        <v>2587196</v>
      </c>
      <c r="R2121" t="s">
        <v>124</v>
      </c>
      <c r="S2121" t="s">
        <v>125</v>
      </c>
      <c r="T2121" t="s">
        <v>237</v>
      </c>
      <c r="U2121" t="s">
        <v>7591</v>
      </c>
      <c r="AM2121" t="s">
        <v>129</v>
      </c>
      <c r="AN2121" t="s">
        <v>130</v>
      </c>
      <c r="AP2121" t="s">
        <v>41</v>
      </c>
      <c r="AY2121" t="s">
        <v>50</v>
      </c>
      <c r="AZ2121" t="s">
        <v>51</v>
      </c>
      <c r="BA2121" t="s">
        <v>52</v>
      </c>
    </row>
    <row r="2122" spans="1:77" x14ac:dyDescent="0.2">
      <c r="A2122" t="s">
        <v>7276</v>
      </c>
      <c r="B2122" t="s">
        <v>2252</v>
      </c>
      <c r="C2122" t="s">
        <v>7592</v>
      </c>
      <c r="D2122" t="s">
        <v>5863</v>
      </c>
      <c r="E2122" t="s">
        <v>7593</v>
      </c>
      <c r="F2122" t="s">
        <v>118</v>
      </c>
      <c r="G2122" t="str">
        <f>HYPERLINK("https://vk.com/wall-27863223_291773?reply=291798")</f>
        <v>https://vk.com/wall-27863223_291773?reply=291798</v>
      </c>
      <c r="H2122" t="s">
        <v>228</v>
      </c>
      <c r="I2122" t="s">
        <v>4272</v>
      </c>
      <c r="J2122" t="str">
        <f>HYPERLINK("http://vk.com/id91633583")</f>
        <v>http://vk.com/id91633583</v>
      </c>
      <c r="K2122">
        <v>191</v>
      </c>
      <c r="L2122" t="s">
        <v>121</v>
      </c>
      <c r="M2122">
        <v>38</v>
      </c>
      <c r="N2122" t="s">
        <v>122</v>
      </c>
      <c r="O2122" t="s">
        <v>175</v>
      </c>
      <c r="P2122" t="str">
        <f>HYPERLINK("http://vk.com/club27863223")</f>
        <v>http://vk.com/club27863223</v>
      </c>
      <c r="Q2122">
        <v>134698</v>
      </c>
      <c r="R2122" t="s">
        <v>124</v>
      </c>
      <c r="S2122" t="s">
        <v>125</v>
      </c>
      <c r="T2122" t="s">
        <v>1027</v>
      </c>
      <c r="U2122" t="s">
        <v>1028</v>
      </c>
      <c r="W2122">
        <v>0</v>
      </c>
      <c r="X2122">
        <v>0</v>
      </c>
      <c r="AM2122" t="s">
        <v>129</v>
      </c>
      <c r="AN2122" t="s">
        <v>130</v>
      </c>
      <c r="AP2122" t="s">
        <v>41</v>
      </c>
      <c r="AU2122" t="s">
        <v>46</v>
      </c>
      <c r="BA2122" t="s">
        <v>52</v>
      </c>
      <c r="BE2122" t="s">
        <v>56</v>
      </c>
    </row>
    <row r="2123" spans="1:77" x14ac:dyDescent="0.2">
      <c r="A2123" t="s">
        <v>7276</v>
      </c>
      <c r="B2123" t="s">
        <v>7594</v>
      </c>
      <c r="C2123" t="s">
        <v>7595</v>
      </c>
      <c r="D2123" t="s">
        <v>7596</v>
      </c>
      <c r="E2123" t="s">
        <v>7597</v>
      </c>
      <c r="F2123" t="s">
        <v>118</v>
      </c>
      <c r="G2123" t="str">
        <f>HYPERLINK("https://www.facebook.com/story.php?story_fbid=4231127520276277&amp;id=100001372114312&amp;comment_id=4231337583588604&amp;reply_comment_id=4231988260190203")</f>
        <v>https://www.facebook.com/story.php?story_fbid=4231127520276277&amp;id=100001372114312&amp;comment_id=4231337583588604&amp;reply_comment_id=4231988260190203</v>
      </c>
      <c r="H2123" t="s">
        <v>119</v>
      </c>
      <c r="I2123" t="s">
        <v>695</v>
      </c>
      <c r="J2123" t="str">
        <f>HYPERLINK("https://www.facebook.com/100002360413124")</f>
        <v>https://www.facebook.com/100002360413124</v>
      </c>
      <c r="K2123">
        <v>5211</v>
      </c>
      <c r="L2123" t="s">
        <v>121</v>
      </c>
      <c r="N2123" t="s">
        <v>305</v>
      </c>
      <c r="O2123" t="s">
        <v>7598</v>
      </c>
      <c r="P2123" t="str">
        <f>HYPERLINK("https://www.facebook.com/100001372114312")</f>
        <v>https://www.facebook.com/100001372114312</v>
      </c>
      <c r="Q2123">
        <v>8590</v>
      </c>
      <c r="R2123" t="s">
        <v>124</v>
      </c>
      <c r="S2123" t="s">
        <v>125</v>
      </c>
      <c r="T2123" t="s">
        <v>372</v>
      </c>
      <c r="U2123" t="s">
        <v>373</v>
      </c>
      <c r="W2123">
        <v>0</v>
      </c>
      <c r="X2123">
        <v>0</v>
      </c>
      <c r="AE2123">
        <v>0</v>
      </c>
      <c r="AM2123" t="s">
        <v>129</v>
      </c>
      <c r="AN2123" t="s">
        <v>130</v>
      </c>
      <c r="AP2123" t="s">
        <v>41</v>
      </c>
      <c r="AU2123" t="s">
        <v>46</v>
      </c>
      <c r="AZ2123" t="s">
        <v>51</v>
      </c>
      <c r="BA2123" t="s">
        <v>52</v>
      </c>
      <c r="BY2123" t="s">
        <v>76</v>
      </c>
    </row>
    <row r="2124" spans="1:77" x14ac:dyDescent="0.2">
      <c r="A2124" t="s">
        <v>7276</v>
      </c>
      <c r="B2124" t="s">
        <v>5891</v>
      </c>
      <c r="C2124" t="s">
        <v>7599</v>
      </c>
      <c r="D2124" t="s">
        <v>7600</v>
      </c>
      <c r="E2124" t="s">
        <v>7601</v>
      </c>
      <c r="F2124" t="s">
        <v>180</v>
      </c>
      <c r="G2124" t="str">
        <f>HYPERLINK("https://news.myseldon.com/ru/news/index/254381424")</f>
        <v>https://news.myseldon.com/ru/news/index/254381424</v>
      </c>
      <c r="H2124" t="s">
        <v>119</v>
      </c>
      <c r="I2124" t="s">
        <v>7271</v>
      </c>
      <c r="J2124" t="str">
        <f>HYPERLINK("http://news.myseldon.com")</f>
        <v>http://news.myseldon.com</v>
      </c>
      <c r="N2124" t="s">
        <v>7271</v>
      </c>
      <c r="R2124" t="s">
        <v>785</v>
      </c>
      <c r="S2124" t="s">
        <v>125</v>
      </c>
      <c r="AM2124" t="s">
        <v>129</v>
      </c>
      <c r="AN2124" t="s">
        <v>130</v>
      </c>
      <c r="AV2124" t="s">
        <v>47</v>
      </c>
    </row>
    <row r="2125" spans="1:77" x14ac:dyDescent="0.2">
      <c r="A2125" t="s">
        <v>7276</v>
      </c>
      <c r="B2125" t="s">
        <v>7602</v>
      </c>
      <c r="C2125" t="s">
        <v>7603</v>
      </c>
      <c r="D2125" t="s">
        <v>7604</v>
      </c>
      <c r="E2125" t="s">
        <v>7605</v>
      </c>
      <c r="F2125" t="s">
        <v>118</v>
      </c>
      <c r="G2125" t="str">
        <f>HYPERLINK("https://vk.com/wall-86333561_1025915?reply=1025986")</f>
        <v>https://vk.com/wall-86333561_1025915?reply=1025986</v>
      </c>
      <c r="H2125" t="s">
        <v>181</v>
      </c>
      <c r="I2125" t="s">
        <v>7606</v>
      </c>
      <c r="J2125" t="str">
        <f>HYPERLINK("http://vk.com/id3493766")</f>
        <v>http://vk.com/id3493766</v>
      </c>
      <c r="K2125">
        <v>225</v>
      </c>
      <c r="L2125" t="s">
        <v>121</v>
      </c>
      <c r="M2125">
        <v>38</v>
      </c>
      <c r="N2125" t="s">
        <v>122</v>
      </c>
      <c r="O2125" t="s">
        <v>7607</v>
      </c>
      <c r="P2125" t="str">
        <f>HYPERLINK("http://vk.com/club86333561")</f>
        <v>http://vk.com/club86333561</v>
      </c>
      <c r="Q2125">
        <v>25862</v>
      </c>
      <c r="R2125" t="s">
        <v>124</v>
      </c>
      <c r="S2125" t="s">
        <v>125</v>
      </c>
      <c r="T2125" t="s">
        <v>169</v>
      </c>
      <c r="U2125" t="s">
        <v>169</v>
      </c>
      <c r="AM2125" t="s">
        <v>129</v>
      </c>
      <c r="AN2125" t="s">
        <v>130</v>
      </c>
      <c r="AP2125" t="s">
        <v>41</v>
      </c>
      <c r="AY2125" t="s">
        <v>50</v>
      </c>
      <c r="AZ2125" t="s">
        <v>51</v>
      </c>
      <c r="BB2125" t="s">
        <v>53</v>
      </c>
      <c r="BQ2125" t="s">
        <v>68</v>
      </c>
    </row>
    <row r="2126" spans="1:77" x14ac:dyDescent="0.2">
      <c r="A2126" t="s">
        <v>7276</v>
      </c>
      <c r="B2126" t="s">
        <v>6955</v>
      </c>
      <c r="C2126" t="s">
        <v>5345</v>
      </c>
      <c r="D2126" t="s">
        <v>3482</v>
      </c>
      <c r="E2126" t="s">
        <v>7608</v>
      </c>
      <c r="F2126" t="s">
        <v>180</v>
      </c>
      <c r="G2126" t="str">
        <f>HYPERLINK("https://www.ozon.ru/context/detail/id/202443226/#59508985")</f>
        <v>https://www.ozon.ru/context/detail/id/202443226/#59508985</v>
      </c>
      <c r="H2126" t="s">
        <v>181</v>
      </c>
      <c r="I2126" t="s">
        <v>512</v>
      </c>
      <c r="J2126" t="str">
        <f>HYPERLINK("https://www.ozon.ru/context/client_opinion/ClientGuid//")</f>
        <v>https://www.ozon.ru/context/client_opinion/ClientGuid//</v>
      </c>
      <c r="N2126" t="s">
        <v>183</v>
      </c>
      <c r="O2126" t="s">
        <v>3482</v>
      </c>
      <c r="P2126" t="str">
        <f>HYPERLINK("https://www.ozon.ru/context/detail/id/202443226/")</f>
        <v>https://www.ozon.ru/context/detail/id/202443226/</v>
      </c>
      <c r="R2126" t="s">
        <v>184</v>
      </c>
      <c r="S2126" t="s">
        <v>125</v>
      </c>
      <c r="W2126">
        <v>0</v>
      </c>
      <c r="X2126">
        <v>0</v>
      </c>
      <c r="AH2126">
        <v>5</v>
      </c>
      <c r="AM2126" t="s">
        <v>129</v>
      </c>
      <c r="AN2126" t="s">
        <v>130</v>
      </c>
      <c r="AP2126" t="s">
        <v>41</v>
      </c>
      <c r="AZ2126" t="s">
        <v>51</v>
      </c>
      <c r="BA2126" t="s">
        <v>52</v>
      </c>
      <c r="BK2126" t="s">
        <v>62</v>
      </c>
      <c r="BL2126" t="s">
        <v>63</v>
      </c>
    </row>
    <row r="2127" spans="1:77" x14ac:dyDescent="0.2">
      <c r="A2127" t="s">
        <v>7276</v>
      </c>
      <c r="B2127" t="s">
        <v>7609</v>
      </c>
      <c r="C2127" t="s">
        <v>7610</v>
      </c>
      <c r="D2127" t="s">
        <v>7179</v>
      </c>
      <c r="E2127" t="s">
        <v>7611</v>
      </c>
      <c r="F2127" t="s">
        <v>118</v>
      </c>
      <c r="G2127" t="str">
        <f>HYPERLINK("https://otzovik.com/review_12164109.html#89927498")</f>
        <v>https://otzovik.com/review_12164109.html#89927498</v>
      </c>
      <c r="H2127" t="s">
        <v>181</v>
      </c>
      <c r="I2127" t="s">
        <v>7612</v>
      </c>
      <c r="J2127" t="str">
        <f>HYPERLINK("http://otzovik.com/profile/Mirshat")</f>
        <v>http://otzovik.com/profile/Mirshat</v>
      </c>
      <c r="N2127" t="s">
        <v>390</v>
      </c>
      <c r="O2127" t="s">
        <v>7181</v>
      </c>
      <c r="P2127" t="str">
        <f>HYPERLINK("https://otzovik.com/reviews/sputnikoviy_resiver_general_satellite_u510_trikolor_tv/")</f>
        <v>https://otzovik.com/reviews/sputnikoviy_resiver_general_satellite_u510_trikolor_tv/</v>
      </c>
      <c r="R2127" t="s">
        <v>184</v>
      </c>
      <c r="S2127" t="s">
        <v>125</v>
      </c>
      <c r="AM2127" t="s">
        <v>129</v>
      </c>
      <c r="AN2127" t="s">
        <v>130</v>
      </c>
      <c r="AP2127" t="s">
        <v>41</v>
      </c>
      <c r="AZ2127" t="s">
        <v>51</v>
      </c>
      <c r="BA2127" t="s">
        <v>52</v>
      </c>
      <c r="BL2127" t="s">
        <v>63</v>
      </c>
    </row>
    <row r="2128" spans="1:77" x14ac:dyDescent="0.2">
      <c r="A2128" t="s">
        <v>7613</v>
      </c>
      <c r="B2128" t="s">
        <v>7614</v>
      </c>
      <c r="C2128" t="s">
        <v>7615</v>
      </c>
      <c r="D2128" t="s">
        <v>129</v>
      </c>
      <c r="E2128" t="s">
        <v>7616</v>
      </c>
      <c r="F2128" t="s">
        <v>118</v>
      </c>
      <c r="G2128" t="str">
        <f>HYPERLINK("https://twitter.com/625953396/status/1415415386783330309")</f>
        <v>https://twitter.com/625953396/status/1415415386783330309</v>
      </c>
      <c r="H2128" t="s">
        <v>119</v>
      </c>
      <c r="I2128" t="s">
        <v>7617</v>
      </c>
      <c r="J2128" t="str">
        <f>HYPERLINK("http://twitter.com/DuxSpartaka")</f>
        <v>http://twitter.com/DuxSpartaka</v>
      </c>
      <c r="K2128">
        <v>327</v>
      </c>
      <c r="N2128" t="s">
        <v>350</v>
      </c>
      <c r="R2128" t="s">
        <v>124</v>
      </c>
      <c r="S2128" t="s">
        <v>125</v>
      </c>
      <c r="T2128" t="s">
        <v>153</v>
      </c>
      <c r="U2128" t="s">
        <v>7618</v>
      </c>
      <c r="W2128">
        <v>1</v>
      </c>
      <c r="X2128">
        <v>1</v>
      </c>
      <c r="AE2128">
        <v>0</v>
      </c>
      <c r="AF2128">
        <v>0</v>
      </c>
      <c r="AM2128" t="s">
        <v>129</v>
      </c>
      <c r="AN2128" t="s">
        <v>130</v>
      </c>
      <c r="AP2128" t="s">
        <v>41</v>
      </c>
      <c r="AT2128" t="s">
        <v>45</v>
      </c>
      <c r="AU2128" t="s">
        <v>46</v>
      </c>
      <c r="AY2128" t="s">
        <v>50</v>
      </c>
      <c r="AZ2128" t="s">
        <v>51</v>
      </c>
      <c r="BA2128" t="s">
        <v>52</v>
      </c>
      <c r="BL2128" t="s">
        <v>63</v>
      </c>
    </row>
    <row r="2129" spans="1:100" x14ac:dyDescent="0.2">
      <c r="A2129" t="s">
        <v>7613</v>
      </c>
      <c r="B2129" t="s">
        <v>3606</v>
      </c>
      <c r="C2129" t="s">
        <v>7619</v>
      </c>
      <c r="D2129" t="s">
        <v>7620</v>
      </c>
      <c r="E2129" t="s">
        <v>7621</v>
      </c>
      <c r="F2129" t="s">
        <v>118</v>
      </c>
      <c r="G2129" t="str">
        <f>HYPERLINK("https://vk.com/wall-185764172_161168?reply=161663&amp;thread=161466")</f>
        <v>https://vk.com/wall-185764172_161168?reply=161663&amp;thread=161466</v>
      </c>
      <c r="H2129" t="s">
        <v>119</v>
      </c>
      <c r="I2129" t="s">
        <v>7622</v>
      </c>
      <c r="J2129" t="str">
        <f>HYPERLINK("http://vk.com/id578225609")</f>
        <v>http://vk.com/id578225609</v>
      </c>
      <c r="K2129">
        <v>6</v>
      </c>
      <c r="L2129" t="s">
        <v>151</v>
      </c>
      <c r="N2129" t="s">
        <v>122</v>
      </c>
      <c r="O2129" t="s">
        <v>7623</v>
      </c>
      <c r="P2129" t="str">
        <f>HYPERLINK("http://vk.com/club185764172")</f>
        <v>http://vk.com/club185764172</v>
      </c>
      <c r="Q2129">
        <v>324</v>
      </c>
      <c r="R2129" t="s">
        <v>124</v>
      </c>
      <c r="S2129" t="s">
        <v>125</v>
      </c>
      <c r="AM2129" t="s">
        <v>129</v>
      </c>
      <c r="AN2129" t="s">
        <v>130</v>
      </c>
      <c r="AP2129" t="s">
        <v>41</v>
      </c>
      <c r="AT2129" t="s">
        <v>45</v>
      </c>
      <c r="AU2129" t="s">
        <v>46</v>
      </c>
      <c r="AZ2129" t="s">
        <v>51</v>
      </c>
      <c r="BA2129" t="s">
        <v>52</v>
      </c>
    </row>
    <row r="2130" spans="1:100" x14ac:dyDescent="0.2">
      <c r="A2130" t="s">
        <v>7613</v>
      </c>
      <c r="B2130" t="s">
        <v>7624</v>
      </c>
      <c r="C2130" t="s">
        <v>7625</v>
      </c>
      <c r="D2130" t="s">
        <v>7358</v>
      </c>
      <c r="E2130" t="s">
        <v>7626</v>
      </c>
      <c r="F2130" t="s">
        <v>118</v>
      </c>
      <c r="G2130" t="str">
        <f>HYPERLINK("https://vk.com/wall-98876289_311319?reply=311733&amp;thread=311324")</f>
        <v>https://vk.com/wall-98876289_311319?reply=311733&amp;thread=311324</v>
      </c>
      <c r="H2130" t="s">
        <v>119</v>
      </c>
      <c r="I2130" t="s">
        <v>7398</v>
      </c>
      <c r="J2130" t="str">
        <f>HYPERLINK("http://vk.com/id53313353")</f>
        <v>http://vk.com/id53313353</v>
      </c>
      <c r="K2130">
        <v>245</v>
      </c>
      <c r="L2130" t="s">
        <v>121</v>
      </c>
      <c r="N2130" t="s">
        <v>122</v>
      </c>
      <c r="O2130" t="s">
        <v>7361</v>
      </c>
      <c r="P2130" t="str">
        <f>HYPERLINK("http://vk.com/club98876289")</f>
        <v>http://vk.com/club98876289</v>
      </c>
      <c r="Q2130">
        <v>16149</v>
      </c>
      <c r="R2130" t="s">
        <v>124</v>
      </c>
      <c r="S2130" t="s">
        <v>125</v>
      </c>
      <c r="AM2130" t="s">
        <v>129</v>
      </c>
      <c r="AN2130" t="s">
        <v>130</v>
      </c>
      <c r="AP2130" t="s">
        <v>41</v>
      </c>
      <c r="AU2130" t="s">
        <v>46</v>
      </c>
      <c r="AZ2130" t="s">
        <v>51</v>
      </c>
      <c r="BA2130" t="s">
        <v>52</v>
      </c>
      <c r="BL2130" t="s">
        <v>63</v>
      </c>
      <c r="BM2130" t="s">
        <v>64</v>
      </c>
    </row>
    <row r="2131" spans="1:100" x14ac:dyDescent="0.2">
      <c r="A2131" t="s">
        <v>7613</v>
      </c>
      <c r="B2131" t="s">
        <v>5001</v>
      </c>
      <c r="C2131" t="s">
        <v>7627</v>
      </c>
      <c r="D2131" t="s">
        <v>5863</v>
      </c>
      <c r="E2131" t="s">
        <v>7628</v>
      </c>
      <c r="F2131" t="s">
        <v>118</v>
      </c>
      <c r="G2131" t="str">
        <f>HYPERLINK("https://vk.com/wall-27863223_291773?w=wall-27863223_291773_r291795")</f>
        <v>https://vk.com/wall-27863223_291773?w=wall-27863223_291773_r291795</v>
      </c>
      <c r="H2131" t="s">
        <v>119</v>
      </c>
      <c r="I2131" t="s">
        <v>254</v>
      </c>
      <c r="J2131" t="str">
        <f>HYPERLINK("http://vk.com/id286061518")</f>
        <v>http://vk.com/id286061518</v>
      </c>
      <c r="K2131">
        <v>5170</v>
      </c>
      <c r="L2131" t="s">
        <v>121</v>
      </c>
      <c r="M2131">
        <v>34</v>
      </c>
      <c r="N2131" t="s">
        <v>122</v>
      </c>
      <c r="O2131" t="s">
        <v>175</v>
      </c>
      <c r="P2131" t="str">
        <f>HYPERLINK("http://vk.com/club27863223")</f>
        <v>http://vk.com/club27863223</v>
      </c>
      <c r="Q2131">
        <v>134698</v>
      </c>
      <c r="R2131" t="s">
        <v>124</v>
      </c>
      <c r="S2131" t="s">
        <v>125</v>
      </c>
      <c r="T2131" t="s">
        <v>256</v>
      </c>
      <c r="U2131" t="s">
        <v>257</v>
      </c>
      <c r="W2131">
        <v>0</v>
      </c>
      <c r="X2131">
        <v>0</v>
      </c>
      <c r="AM2131" t="s">
        <v>129</v>
      </c>
      <c r="AN2131" t="s">
        <v>130</v>
      </c>
      <c r="AP2131" t="s">
        <v>41</v>
      </c>
      <c r="AU2131" t="s">
        <v>46</v>
      </c>
      <c r="AZ2131" t="s">
        <v>51</v>
      </c>
      <c r="BA2131" t="s">
        <v>52</v>
      </c>
    </row>
    <row r="2132" spans="1:100" x14ac:dyDescent="0.2">
      <c r="A2132" t="s">
        <v>7613</v>
      </c>
      <c r="B2132" t="s">
        <v>2903</v>
      </c>
      <c r="C2132" t="s">
        <v>7629</v>
      </c>
      <c r="D2132" t="s">
        <v>7630</v>
      </c>
      <c r="E2132" t="s">
        <v>7631</v>
      </c>
      <c r="F2132" t="s">
        <v>118</v>
      </c>
      <c r="G2132" t="str">
        <f>HYPERLINK("https://vk.com/wall-184038318_6489?reply=6773&amp;thread=6761")</f>
        <v>https://vk.com/wall-184038318_6489?reply=6773&amp;thread=6761</v>
      </c>
      <c r="H2132" t="s">
        <v>119</v>
      </c>
      <c r="I2132" t="s">
        <v>7632</v>
      </c>
      <c r="J2132" t="str">
        <f>HYPERLINK("http://vk.com/id158181885")</f>
        <v>http://vk.com/id158181885</v>
      </c>
      <c r="K2132">
        <v>242</v>
      </c>
      <c r="L2132" t="s">
        <v>121</v>
      </c>
      <c r="M2132">
        <v>27</v>
      </c>
      <c r="N2132" t="s">
        <v>122</v>
      </c>
      <c r="O2132" t="s">
        <v>7633</v>
      </c>
      <c r="P2132" t="str">
        <f>HYPERLINK("http://vk.com/club184038318")</f>
        <v>http://vk.com/club184038318</v>
      </c>
      <c r="Q2132">
        <v>740</v>
      </c>
      <c r="R2132" t="s">
        <v>124</v>
      </c>
      <c r="S2132" t="s">
        <v>125</v>
      </c>
      <c r="AM2132" t="s">
        <v>129</v>
      </c>
      <c r="AN2132" t="s">
        <v>130</v>
      </c>
      <c r="AP2132" t="s">
        <v>41</v>
      </c>
      <c r="AU2132" t="s">
        <v>46</v>
      </c>
      <c r="AZ2132" t="s">
        <v>51</v>
      </c>
      <c r="BA2132" t="s">
        <v>52</v>
      </c>
      <c r="BL2132" t="s">
        <v>63</v>
      </c>
    </row>
    <row r="2133" spans="1:100" x14ac:dyDescent="0.2">
      <c r="A2133" t="s">
        <v>7613</v>
      </c>
      <c r="B2133" t="s">
        <v>7300</v>
      </c>
      <c r="C2133" t="s">
        <v>7634</v>
      </c>
      <c r="D2133" t="s">
        <v>7635</v>
      </c>
      <c r="E2133" t="s">
        <v>7636</v>
      </c>
      <c r="F2133" t="s">
        <v>118</v>
      </c>
      <c r="G2133" t="str">
        <f>HYPERLINK("https://vk.com/wall-17568841_7059629?reply=7061842&amp;thread=7059634")</f>
        <v>https://vk.com/wall-17568841_7059629?reply=7061842&amp;thread=7059634</v>
      </c>
      <c r="H2133" t="s">
        <v>119</v>
      </c>
      <c r="I2133" t="s">
        <v>7637</v>
      </c>
      <c r="J2133" t="str">
        <f>HYPERLINK("http://vk.com/id594024745")</f>
        <v>http://vk.com/id594024745</v>
      </c>
      <c r="K2133">
        <v>21</v>
      </c>
      <c r="L2133" t="s">
        <v>121</v>
      </c>
      <c r="M2133">
        <v>65</v>
      </c>
      <c r="N2133" t="s">
        <v>122</v>
      </c>
      <c r="O2133" t="s">
        <v>7638</v>
      </c>
      <c r="P2133" t="str">
        <f>HYPERLINK("http://vk.com/club17568841")</f>
        <v>http://vk.com/club17568841</v>
      </c>
      <c r="Q2133">
        <v>510453</v>
      </c>
      <c r="R2133" t="s">
        <v>124</v>
      </c>
      <c r="S2133" t="s">
        <v>125</v>
      </c>
      <c r="T2133" t="s">
        <v>169</v>
      </c>
      <c r="U2133" t="s">
        <v>169</v>
      </c>
      <c r="AM2133" t="s">
        <v>129</v>
      </c>
      <c r="AN2133" t="s">
        <v>130</v>
      </c>
      <c r="AP2133" t="s">
        <v>41</v>
      </c>
      <c r="AZ2133" t="s">
        <v>51</v>
      </c>
      <c r="BA2133" t="s">
        <v>52</v>
      </c>
    </row>
    <row r="2134" spans="1:100" x14ac:dyDescent="0.2">
      <c r="A2134" t="s">
        <v>7613</v>
      </c>
      <c r="B2134" t="s">
        <v>2317</v>
      </c>
      <c r="C2134" t="s">
        <v>7639</v>
      </c>
      <c r="D2134" t="s">
        <v>7640</v>
      </c>
      <c r="E2134" t="s">
        <v>7641</v>
      </c>
      <c r="F2134" t="s">
        <v>118</v>
      </c>
      <c r="G2134" t="str">
        <f>HYPERLINK("https://vk.com/wall-61100487_218936?reply=218989")</f>
        <v>https://vk.com/wall-61100487_218936?reply=218989</v>
      </c>
      <c r="H2134" t="s">
        <v>181</v>
      </c>
      <c r="I2134" t="s">
        <v>7642</v>
      </c>
      <c r="J2134" t="str">
        <f>HYPERLINK("http://vk.com/id424907374")</f>
        <v>http://vk.com/id424907374</v>
      </c>
      <c r="K2134">
        <v>13</v>
      </c>
      <c r="L2134" t="s">
        <v>151</v>
      </c>
      <c r="N2134" t="s">
        <v>122</v>
      </c>
      <c r="O2134" t="s">
        <v>1825</v>
      </c>
      <c r="P2134" t="str">
        <f>HYPERLINK("http://vk.com/club61100487")</f>
        <v>http://vk.com/club61100487</v>
      </c>
      <c r="Q2134">
        <v>13290</v>
      </c>
      <c r="R2134" t="s">
        <v>124</v>
      </c>
      <c r="S2134" t="s">
        <v>125</v>
      </c>
      <c r="T2134" t="s">
        <v>487</v>
      </c>
      <c r="U2134" t="s">
        <v>488</v>
      </c>
      <c r="AM2134" t="s">
        <v>129</v>
      </c>
      <c r="AN2134" t="s">
        <v>130</v>
      </c>
      <c r="AP2134" t="s">
        <v>41</v>
      </c>
      <c r="AZ2134" t="s">
        <v>51</v>
      </c>
      <c r="BA2134" t="s">
        <v>52</v>
      </c>
    </row>
    <row r="2135" spans="1:100" x14ac:dyDescent="0.2">
      <c r="A2135" t="s">
        <v>7613</v>
      </c>
      <c r="B2135" t="s">
        <v>4601</v>
      </c>
      <c r="C2135" t="s">
        <v>7643</v>
      </c>
      <c r="D2135" t="s">
        <v>3829</v>
      </c>
      <c r="E2135" t="s">
        <v>7644</v>
      </c>
      <c r="F2135" t="s">
        <v>180</v>
      </c>
      <c r="G2135" t="str">
        <f>HYPERLINK("https://www.wildberries.ru/catalog/19433352/detail.aspx?targetUrl=ES#Comments")</f>
        <v>https://www.wildberries.ru/catalog/19433352/detail.aspx?targetUrl=ES#Comments</v>
      </c>
      <c r="H2135" t="s">
        <v>181</v>
      </c>
      <c r="I2135" t="s">
        <v>3934</v>
      </c>
      <c r="J2135" t="str">
        <f>HYPERLINK("https://www.wildberries.ru/profile/w7TDssOkw7PCu8KywrXCtcKxwrfCs8K2wrg=")</f>
        <v>https://www.wildberries.ru/profile/w7TDssOkw7PCu8KywrXCtcKxwrfCs8K2wrg=</v>
      </c>
      <c r="L2135" t="s">
        <v>121</v>
      </c>
      <c r="N2135" t="s">
        <v>534</v>
      </c>
      <c r="O2135" t="s">
        <v>3829</v>
      </c>
      <c r="P2135" t="str">
        <f>HYPERLINK("https://www.wildberries.ru/catalog/14417500/detail.aspx")</f>
        <v>https://www.wildberries.ru/catalog/14417500/detail.aspx</v>
      </c>
      <c r="R2135" t="s">
        <v>184</v>
      </c>
      <c r="S2135" t="s">
        <v>125</v>
      </c>
      <c r="W2135">
        <v>0</v>
      </c>
      <c r="X2135">
        <v>0</v>
      </c>
      <c r="AH2135">
        <v>5</v>
      </c>
      <c r="AM2135" t="s">
        <v>129</v>
      </c>
      <c r="AN2135" t="s">
        <v>130</v>
      </c>
      <c r="AP2135" t="s">
        <v>41</v>
      </c>
      <c r="AT2135" t="s">
        <v>45</v>
      </c>
      <c r="AZ2135" t="s">
        <v>51</v>
      </c>
      <c r="BB2135" t="s">
        <v>53</v>
      </c>
      <c r="BL2135" t="s">
        <v>63</v>
      </c>
    </row>
    <row r="2136" spans="1:100" x14ac:dyDescent="0.2">
      <c r="A2136" t="s">
        <v>7613</v>
      </c>
      <c r="B2136" t="s">
        <v>220</v>
      </c>
      <c r="C2136" t="s">
        <v>7645</v>
      </c>
      <c r="D2136" t="s">
        <v>3109</v>
      </c>
      <c r="E2136" t="s">
        <v>7646</v>
      </c>
      <c r="F2136" t="s">
        <v>180</v>
      </c>
      <c r="G2136" t="str">
        <f>HYPERLINK("https://market.yandex.ru/product/965124214/reviews?id=134582709")</f>
        <v>https://market.yandex.ru/product/965124214/reviews?id=134582709</v>
      </c>
      <c r="H2136" t="s">
        <v>181</v>
      </c>
      <c r="I2136" t="s">
        <v>7647</v>
      </c>
      <c r="J2136" t="str">
        <f>HYPERLINK("https://market.yandex.ru/user/qp6246zb51m7bbhw7tu7q4c9nr/reviews")</f>
        <v>https://market.yandex.ru/user/qp6246zb51m7bbhw7tu7q4c9nr/reviews</v>
      </c>
      <c r="L2136" t="s">
        <v>121</v>
      </c>
      <c r="N2136" t="s">
        <v>611</v>
      </c>
      <c r="O2136" t="s">
        <v>3109</v>
      </c>
      <c r="P2136" t="str">
        <f>HYPERLINK("https://market.yandex.ru/product/965124214")</f>
        <v>https://market.yandex.ru/product/965124214</v>
      </c>
      <c r="R2136" t="s">
        <v>184</v>
      </c>
      <c r="S2136" t="s">
        <v>125</v>
      </c>
      <c r="T2136" t="s">
        <v>1819</v>
      </c>
      <c r="U2136" t="s">
        <v>2175</v>
      </c>
      <c r="W2136">
        <v>0</v>
      </c>
      <c r="X2136">
        <v>0</v>
      </c>
      <c r="AH2136">
        <v>5</v>
      </c>
      <c r="AJ2136" t="s">
        <v>7648</v>
      </c>
      <c r="AK2136" t="s">
        <v>129</v>
      </c>
      <c r="AL2136" t="str">
        <f>HYPERLINK("https://avatars.mds.yandex.net/get-market-ugc/2268252/2a0000017aa6340249f89d3b6a4dd98260d0/1920-1920")</f>
        <v>https://avatars.mds.yandex.net/get-market-ugc/2268252/2a0000017aa6340249f89d3b6a4dd98260d0/1920-1920</v>
      </c>
      <c r="AM2136" t="s">
        <v>129</v>
      </c>
      <c r="AN2136" t="s">
        <v>130</v>
      </c>
      <c r="AP2136" t="s">
        <v>41</v>
      </c>
      <c r="AZ2136" t="s">
        <v>51</v>
      </c>
      <c r="BA2136" t="s">
        <v>52</v>
      </c>
      <c r="BL2136" t="s">
        <v>63</v>
      </c>
    </row>
    <row r="2137" spans="1:100" x14ac:dyDescent="0.2">
      <c r="A2137" t="s">
        <v>7613</v>
      </c>
      <c r="B2137" t="s">
        <v>1339</v>
      </c>
      <c r="C2137" t="s">
        <v>7649</v>
      </c>
      <c r="D2137" t="s">
        <v>5863</v>
      </c>
      <c r="E2137" t="s">
        <v>7650</v>
      </c>
      <c r="F2137" t="s">
        <v>118</v>
      </c>
      <c r="G2137" t="str">
        <f>HYPERLINK("https://vk.com/wall-27863223_291773?w=wall-27863223_291773_r291791")</f>
        <v>https://vk.com/wall-27863223_291773?w=wall-27863223_291773_r291791</v>
      </c>
      <c r="H2137" t="s">
        <v>228</v>
      </c>
      <c r="I2137" t="s">
        <v>5999</v>
      </c>
      <c r="J2137" t="str">
        <f>HYPERLINK("http://vk.com/id482384182")</f>
        <v>http://vk.com/id482384182</v>
      </c>
      <c r="K2137">
        <v>12</v>
      </c>
      <c r="L2137" t="s">
        <v>121</v>
      </c>
      <c r="M2137">
        <v>45</v>
      </c>
      <c r="N2137" t="s">
        <v>122</v>
      </c>
      <c r="O2137" t="s">
        <v>175</v>
      </c>
      <c r="P2137" t="str">
        <f>HYPERLINK("http://vk.com/club27863223")</f>
        <v>http://vk.com/club27863223</v>
      </c>
      <c r="Q2137">
        <v>134698</v>
      </c>
      <c r="R2137" t="s">
        <v>124</v>
      </c>
      <c r="S2137" t="s">
        <v>125</v>
      </c>
      <c r="T2137" t="s">
        <v>494</v>
      </c>
      <c r="U2137" t="s">
        <v>6000</v>
      </c>
      <c r="W2137">
        <v>0</v>
      </c>
      <c r="X2137">
        <v>0</v>
      </c>
      <c r="AM2137" t="s">
        <v>129</v>
      </c>
      <c r="AN2137" t="s">
        <v>130</v>
      </c>
      <c r="AP2137" t="s">
        <v>41</v>
      </c>
      <c r="AU2137" t="s">
        <v>46</v>
      </c>
      <c r="AZ2137" t="s">
        <v>51</v>
      </c>
      <c r="BA2137" t="s">
        <v>52</v>
      </c>
    </row>
    <row r="2138" spans="1:100" x14ac:dyDescent="0.2">
      <c r="A2138" t="s">
        <v>7613</v>
      </c>
      <c r="B2138" t="s">
        <v>4632</v>
      </c>
      <c r="C2138" t="s">
        <v>7649</v>
      </c>
      <c r="D2138" t="s">
        <v>7651</v>
      </c>
      <c r="E2138" t="s">
        <v>7652</v>
      </c>
      <c r="F2138" t="s">
        <v>118</v>
      </c>
      <c r="G2138" t="str">
        <f>HYPERLINK("https://vk.com/wall-22935147_368366?reply=368371")</f>
        <v>https://vk.com/wall-22935147_368366?reply=368371</v>
      </c>
      <c r="H2138" t="s">
        <v>119</v>
      </c>
      <c r="I2138" t="s">
        <v>6267</v>
      </c>
      <c r="J2138" t="str">
        <f>HYPERLINK("http://vk.com/id124014423")</f>
        <v>http://vk.com/id124014423</v>
      </c>
      <c r="K2138">
        <v>731</v>
      </c>
      <c r="L2138" t="s">
        <v>121</v>
      </c>
      <c r="M2138">
        <v>29</v>
      </c>
      <c r="N2138" t="s">
        <v>122</v>
      </c>
      <c r="O2138" t="s">
        <v>1093</v>
      </c>
      <c r="P2138" t="str">
        <f>HYPERLINK("http://vk.com/club22935147")</f>
        <v>http://vk.com/club22935147</v>
      </c>
      <c r="Q2138">
        <v>8943</v>
      </c>
      <c r="R2138" t="s">
        <v>124</v>
      </c>
      <c r="S2138" t="s">
        <v>125</v>
      </c>
      <c r="T2138" t="s">
        <v>6268</v>
      </c>
      <c r="U2138" t="s">
        <v>6269</v>
      </c>
      <c r="W2138">
        <v>0</v>
      </c>
      <c r="X2138">
        <v>0</v>
      </c>
      <c r="AM2138" t="s">
        <v>129</v>
      </c>
      <c r="AN2138" t="s">
        <v>130</v>
      </c>
      <c r="AP2138" t="s">
        <v>41</v>
      </c>
      <c r="AZ2138" t="s">
        <v>51</v>
      </c>
      <c r="BA2138" t="s">
        <v>52</v>
      </c>
      <c r="BL2138" t="s">
        <v>63</v>
      </c>
    </row>
    <row r="2139" spans="1:100" x14ac:dyDescent="0.2">
      <c r="A2139" t="s">
        <v>7613</v>
      </c>
      <c r="B2139" t="s">
        <v>5533</v>
      </c>
      <c r="C2139" t="s">
        <v>7653</v>
      </c>
      <c r="D2139" t="s">
        <v>5863</v>
      </c>
      <c r="E2139" t="s">
        <v>7654</v>
      </c>
      <c r="F2139" t="s">
        <v>118</v>
      </c>
      <c r="G2139" t="str">
        <f>HYPERLINK("https://vk.com/wall-27863223_291773?reply=291789&amp;thread=291785")</f>
        <v>https://vk.com/wall-27863223_291773?reply=291789&amp;thread=291785</v>
      </c>
      <c r="H2139" t="s">
        <v>228</v>
      </c>
      <c r="I2139" t="s">
        <v>5999</v>
      </c>
      <c r="J2139" t="str">
        <f>HYPERLINK("http://vk.com/id482384182")</f>
        <v>http://vk.com/id482384182</v>
      </c>
      <c r="K2139">
        <v>12</v>
      </c>
      <c r="L2139" t="s">
        <v>121</v>
      </c>
      <c r="M2139">
        <v>45</v>
      </c>
      <c r="N2139" t="s">
        <v>122</v>
      </c>
      <c r="O2139" t="s">
        <v>175</v>
      </c>
      <c r="P2139" t="str">
        <f>HYPERLINK("http://vk.com/club27863223")</f>
        <v>http://vk.com/club27863223</v>
      </c>
      <c r="Q2139">
        <v>134698</v>
      </c>
      <c r="R2139" t="s">
        <v>124</v>
      </c>
      <c r="S2139" t="s">
        <v>125</v>
      </c>
      <c r="T2139" t="s">
        <v>494</v>
      </c>
      <c r="U2139" t="s">
        <v>6000</v>
      </c>
      <c r="AM2139" t="s">
        <v>129</v>
      </c>
      <c r="AN2139" t="s">
        <v>130</v>
      </c>
      <c r="AP2139" t="s">
        <v>41</v>
      </c>
      <c r="AU2139" t="s">
        <v>46</v>
      </c>
      <c r="AZ2139" t="s">
        <v>51</v>
      </c>
      <c r="BA2139" t="s">
        <v>52</v>
      </c>
    </row>
    <row r="2140" spans="1:100" x14ac:dyDescent="0.2">
      <c r="A2140" t="s">
        <v>7613</v>
      </c>
      <c r="B2140" t="s">
        <v>2396</v>
      </c>
      <c r="C2140" t="s">
        <v>7655</v>
      </c>
      <c r="D2140" t="s">
        <v>7604</v>
      </c>
      <c r="E2140" t="s">
        <v>7656</v>
      </c>
      <c r="F2140" t="s">
        <v>118</v>
      </c>
      <c r="G2140" t="str">
        <f>HYPERLINK("https://vk.com/wall-86333561_1025915?reply=1025925&amp;thread=1025918")</f>
        <v>https://vk.com/wall-86333561_1025915?reply=1025925&amp;thread=1025918</v>
      </c>
      <c r="H2140" t="s">
        <v>119</v>
      </c>
      <c r="I2140" t="s">
        <v>7657</v>
      </c>
      <c r="J2140" t="str">
        <f>HYPERLINK("http://vk.com/id1998691")</f>
        <v>http://vk.com/id1998691</v>
      </c>
      <c r="L2140" t="s">
        <v>121</v>
      </c>
      <c r="N2140" t="s">
        <v>122</v>
      </c>
      <c r="O2140" t="s">
        <v>7607</v>
      </c>
      <c r="P2140" t="str">
        <f>HYPERLINK("http://vk.com/club86333561")</f>
        <v>http://vk.com/club86333561</v>
      </c>
      <c r="Q2140">
        <v>25862</v>
      </c>
      <c r="R2140" t="s">
        <v>124</v>
      </c>
      <c r="S2140" t="s">
        <v>125</v>
      </c>
      <c r="T2140" t="s">
        <v>169</v>
      </c>
      <c r="U2140" t="s">
        <v>169</v>
      </c>
      <c r="AM2140" t="s">
        <v>129</v>
      </c>
      <c r="AN2140" t="s">
        <v>130</v>
      </c>
      <c r="AP2140" t="s">
        <v>41</v>
      </c>
      <c r="AZ2140" t="s">
        <v>51</v>
      </c>
      <c r="BB2140" t="s">
        <v>53</v>
      </c>
    </row>
    <row r="2141" spans="1:100" x14ac:dyDescent="0.2">
      <c r="A2141" t="s">
        <v>7613</v>
      </c>
      <c r="B2141" t="s">
        <v>250</v>
      </c>
      <c r="C2141" t="s">
        <v>7658</v>
      </c>
      <c r="D2141" t="s">
        <v>7604</v>
      </c>
      <c r="E2141" t="s">
        <v>7659</v>
      </c>
      <c r="F2141" t="s">
        <v>118</v>
      </c>
      <c r="G2141" t="str">
        <f>HYPERLINK("https://vk.com/wall-86333561_1025915?reply=1025921")</f>
        <v>https://vk.com/wall-86333561_1025915?reply=1025921</v>
      </c>
      <c r="H2141" t="s">
        <v>119</v>
      </c>
      <c r="I2141" t="s">
        <v>7660</v>
      </c>
      <c r="J2141" t="str">
        <f>HYPERLINK("http://vk.com/id2095204")</f>
        <v>http://vk.com/id2095204</v>
      </c>
      <c r="K2141">
        <v>237</v>
      </c>
      <c r="L2141" t="s">
        <v>121</v>
      </c>
      <c r="N2141" t="s">
        <v>122</v>
      </c>
      <c r="O2141" t="s">
        <v>7607</v>
      </c>
      <c r="P2141" t="str">
        <f>HYPERLINK("http://vk.com/club86333561")</f>
        <v>http://vk.com/club86333561</v>
      </c>
      <c r="Q2141">
        <v>25862</v>
      </c>
      <c r="R2141" t="s">
        <v>124</v>
      </c>
      <c r="S2141" t="s">
        <v>125</v>
      </c>
      <c r="T2141" t="s">
        <v>169</v>
      </c>
      <c r="U2141" t="s">
        <v>169</v>
      </c>
      <c r="AM2141" t="s">
        <v>129</v>
      </c>
      <c r="AN2141" t="s">
        <v>130</v>
      </c>
      <c r="AP2141" t="s">
        <v>41</v>
      </c>
      <c r="AT2141" t="s">
        <v>45</v>
      </c>
      <c r="AZ2141" t="s">
        <v>51</v>
      </c>
      <c r="BA2141" t="s">
        <v>52</v>
      </c>
      <c r="BM2141" t="s">
        <v>64</v>
      </c>
    </row>
    <row r="2142" spans="1:100" x14ac:dyDescent="0.2">
      <c r="A2142" t="s">
        <v>7613</v>
      </c>
      <c r="B2142" t="s">
        <v>1381</v>
      </c>
      <c r="C2142" t="s">
        <v>7661</v>
      </c>
      <c r="D2142" t="s">
        <v>5863</v>
      </c>
      <c r="E2142" t="s">
        <v>7662</v>
      </c>
      <c r="F2142" t="s">
        <v>118</v>
      </c>
      <c r="G2142" t="str">
        <f>HYPERLINK("https://vk.com/wall-27863223_291773?w=wall-27863223_291773_r291787")</f>
        <v>https://vk.com/wall-27863223_291773?w=wall-27863223_291773_r291787</v>
      </c>
      <c r="H2142" t="s">
        <v>228</v>
      </c>
      <c r="I2142" t="s">
        <v>229</v>
      </c>
      <c r="J2142" t="str">
        <f>HYPERLINK("http://vk.com/id486109495")</f>
        <v>http://vk.com/id486109495</v>
      </c>
      <c r="K2142">
        <v>2</v>
      </c>
      <c r="L2142" t="s">
        <v>121</v>
      </c>
      <c r="N2142" t="s">
        <v>122</v>
      </c>
      <c r="O2142" t="s">
        <v>175</v>
      </c>
      <c r="P2142" t="str">
        <f>HYPERLINK("http://vk.com/club27863223")</f>
        <v>http://vk.com/club27863223</v>
      </c>
      <c r="Q2142">
        <v>134698</v>
      </c>
      <c r="R2142" t="s">
        <v>124</v>
      </c>
      <c r="S2142" t="s">
        <v>125</v>
      </c>
      <c r="T2142" t="s">
        <v>230</v>
      </c>
      <c r="U2142" t="s">
        <v>231</v>
      </c>
      <c r="W2142">
        <v>0</v>
      </c>
      <c r="X2142">
        <v>0</v>
      </c>
      <c r="AM2142" t="s">
        <v>129</v>
      </c>
      <c r="AN2142" t="s">
        <v>130</v>
      </c>
      <c r="AP2142" t="s">
        <v>41</v>
      </c>
      <c r="AY2142" t="s">
        <v>50</v>
      </c>
      <c r="AZ2142" t="s">
        <v>51</v>
      </c>
      <c r="BA2142" t="s">
        <v>52</v>
      </c>
    </row>
    <row r="2143" spans="1:100" x14ac:dyDescent="0.2">
      <c r="A2143" t="s">
        <v>7613</v>
      </c>
      <c r="B2143" t="s">
        <v>5565</v>
      </c>
      <c r="C2143" t="s">
        <v>7663</v>
      </c>
      <c r="D2143" t="s">
        <v>7179</v>
      </c>
      <c r="E2143" t="s">
        <v>7664</v>
      </c>
      <c r="F2143" t="s">
        <v>118</v>
      </c>
      <c r="G2143" t="str">
        <f>HYPERLINK("https://otzovik.com/review_12164109.html#89924503")</f>
        <v>https://otzovik.com/review_12164109.html#89924503</v>
      </c>
      <c r="H2143" t="s">
        <v>228</v>
      </c>
      <c r="I2143" t="s">
        <v>7443</v>
      </c>
      <c r="J2143" t="str">
        <f>HYPERLINK("http://otzovik.com/profile/natkash2005")</f>
        <v>http://otzovik.com/profile/natkash2005</v>
      </c>
      <c r="N2143" t="s">
        <v>390</v>
      </c>
      <c r="O2143" t="s">
        <v>7181</v>
      </c>
      <c r="P2143" t="str">
        <f>HYPERLINK("https://otzovik.com/reviews/sputnikoviy_resiver_general_satellite_u510_trikolor_tv/")</f>
        <v>https://otzovik.com/reviews/sputnikoviy_resiver_general_satellite_u510_trikolor_tv/</v>
      </c>
      <c r="R2143" t="s">
        <v>184</v>
      </c>
      <c r="S2143" t="s">
        <v>125</v>
      </c>
      <c r="AM2143" t="s">
        <v>129</v>
      </c>
      <c r="AN2143" t="s">
        <v>130</v>
      </c>
      <c r="AP2143" t="s">
        <v>41</v>
      </c>
      <c r="AT2143" t="s">
        <v>45</v>
      </c>
      <c r="AW2143" t="s">
        <v>48</v>
      </c>
      <c r="AY2143" t="s">
        <v>50</v>
      </c>
      <c r="AZ2143" t="s">
        <v>51</v>
      </c>
      <c r="BA2143" t="s">
        <v>52</v>
      </c>
      <c r="BL2143" t="s">
        <v>63</v>
      </c>
      <c r="CV2143" t="s">
        <v>99</v>
      </c>
    </row>
    <row r="2144" spans="1:100" x14ac:dyDescent="0.2">
      <c r="A2144" t="s">
        <v>7613</v>
      </c>
      <c r="B2144" t="s">
        <v>270</v>
      </c>
      <c r="C2144" t="s">
        <v>7393</v>
      </c>
      <c r="D2144" t="s">
        <v>7394</v>
      </c>
      <c r="E2144" t="s">
        <v>7665</v>
      </c>
      <c r="F2144" t="s">
        <v>180</v>
      </c>
      <c r="G2144" t="str">
        <f>HYPERLINK("https://www.wildberries.ru/catalog/27824475/detail.aspx?targetUrl=ES#Comments")</f>
        <v>https://www.wildberries.ru/catalog/27824475/detail.aspx?targetUrl=ES#Comments</v>
      </c>
      <c r="H2144" t="s">
        <v>119</v>
      </c>
      <c r="I2144" t="s">
        <v>7666</v>
      </c>
      <c r="J2144" t="str">
        <f>HYPERLINK("https://www.wildberries.ru/profile/w7TDssOkw7PCu8K1wrTCtcK5wrPCtsK1wrY=")</f>
        <v>https://www.wildberries.ru/profile/w7TDssOkw7PCu8K1wrTCtcK5wrPCtsK1wrY=</v>
      </c>
      <c r="L2144" t="s">
        <v>121</v>
      </c>
      <c r="N2144" t="s">
        <v>534</v>
      </c>
      <c r="O2144" t="s">
        <v>7394</v>
      </c>
      <c r="P2144" t="str">
        <f>HYPERLINK("https://www.wildberries.ru/catalog/20414642/detail.aspx")</f>
        <v>https://www.wildberries.ru/catalog/20414642/detail.aspx</v>
      </c>
      <c r="R2144" t="s">
        <v>184</v>
      </c>
      <c r="S2144" t="s">
        <v>125</v>
      </c>
      <c r="W2144">
        <v>0</v>
      </c>
      <c r="X2144">
        <v>0</v>
      </c>
      <c r="AH2144">
        <v>1</v>
      </c>
      <c r="AM2144" t="s">
        <v>129</v>
      </c>
      <c r="AN2144" t="s">
        <v>130</v>
      </c>
      <c r="AP2144" t="s">
        <v>41</v>
      </c>
      <c r="AT2144" t="s">
        <v>45</v>
      </c>
      <c r="AZ2144" t="s">
        <v>51</v>
      </c>
      <c r="BA2144" t="s">
        <v>52</v>
      </c>
    </row>
    <row r="2145" spans="1:77" x14ac:dyDescent="0.2">
      <c r="A2145" t="s">
        <v>7613</v>
      </c>
      <c r="B2145" t="s">
        <v>847</v>
      </c>
      <c r="C2145" t="s">
        <v>7667</v>
      </c>
      <c r="D2145" t="s">
        <v>5863</v>
      </c>
      <c r="E2145" t="s">
        <v>7668</v>
      </c>
      <c r="F2145" t="s">
        <v>118</v>
      </c>
      <c r="G2145" t="str">
        <f>HYPERLINK("https://vk.com/wall-27863223_291773?reply=291785")</f>
        <v>https://vk.com/wall-27863223_291773?reply=291785</v>
      </c>
      <c r="H2145" t="s">
        <v>228</v>
      </c>
      <c r="I2145" t="s">
        <v>5999</v>
      </c>
      <c r="J2145" t="str">
        <f>HYPERLINK("http://vk.com/id482384182")</f>
        <v>http://vk.com/id482384182</v>
      </c>
      <c r="K2145">
        <v>12</v>
      </c>
      <c r="L2145" t="s">
        <v>121</v>
      </c>
      <c r="M2145">
        <v>45</v>
      </c>
      <c r="N2145" t="s">
        <v>122</v>
      </c>
      <c r="O2145" t="s">
        <v>175</v>
      </c>
      <c r="P2145" t="str">
        <f>HYPERLINK("http://vk.com/club27863223")</f>
        <v>http://vk.com/club27863223</v>
      </c>
      <c r="Q2145">
        <v>134698</v>
      </c>
      <c r="R2145" t="s">
        <v>124</v>
      </c>
      <c r="S2145" t="s">
        <v>125</v>
      </c>
      <c r="T2145" t="s">
        <v>494</v>
      </c>
      <c r="U2145" t="s">
        <v>6000</v>
      </c>
      <c r="W2145">
        <v>0</v>
      </c>
      <c r="X2145">
        <v>0</v>
      </c>
      <c r="AM2145" t="s">
        <v>129</v>
      </c>
      <c r="AN2145" t="s">
        <v>130</v>
      </c>
      <c r="AP2145" t="s">
        <v>41</v>
      </c>
      <c r="AU2145" t="s">
        <v>46</v>
      </c>
      <c r="AW2145" t="s">
        <v>48</v>
      </c>
      <c r="AZ2145" t="s">
        <v>51</v>
      </c>
      <c r="BA2145" t="s">
        <v>52</v>
      </c>
    </row>
    <row r="2146" spans="1:77" x14ac:dyDescent="0.2">
      <c r="A2146" t="s">
        <v>7613</v>
      </c>
      <c r="B2146" t="s">
        <v>3670</v>
      </c>
      <c r="C2146" t="s">
        <v>7667</v>
      </c>
      <c r="D2146" t="s">
        <v>7669</v>
      </c>
      <c r="E2146" t="s">
        <v>7670</v>
      </c>
      <c r="F2146" t="s">
        <v>118</v>
      </c>
      <c r="G2146" t="str">
        <f>HYPERLINK("https://vk.com/wall-61101621_254653?reply=254660")</f>
        <v>https://vk.com/wall-61101621_254653?reply=254660</v>
      </c>
      <c r="H2146" t="s">
        <v>119</v>
      </c>
      <c r="I2146" t="s">
        <v>6407</v>
      </c>
      <c r="J2146" t="str">
        <f>HYPERLINK("http://vk.com/id7065324")</f>
        <v>http://vk.com/id7065324</v>
      </c>
      <c r="K2146">
        <v>83</v>
      </c>
      <c r="L2146" t="s">
        <v>121</v>
      </c>
      <c r="N2146" t="s">
        <v>122</v>
      </c>
      <c r="O2146" t="s">
        <v>160</v>
      </c>
      <c r="P2146" t="str">
        <f>HYPERLINK("http://vk.com/club61101621")</f>
        <v>http://vk.com/club61101621</v>
      </c>
      <c r="Q2146">
        <v>21119</v>
      </c>
      <c r="R2146" t="s">
        <v>124</v>
      </c>
      <c r="S2146" t="s">
        <v>125</v>
      </c>
      <c r="T2146" t="s">
        <v>2388</v>
      </c>
      <c r="U2146" t="s">
        <v>6408</v>
      </c>
      <c r="W2146">
        <v>0</v>
      </c>
      <c r="X2146">
        <v>0</v>
      </c>
      <c r="AM2146" t="s">
        <v>129</v>
      </c>
      <c r="AN2146" t="s">
        <v>130</v>
      </c>
      <c r="AP2146" t="s">
        <v>41</v>
      </c>
      <c r="AZ2146" t="s">
        <v>51</v>
      </c>
      <c r="BA2146" t="s">
        <v>52</v>
      </c>
      <c r="BL2146" t="s">
        <v>63</v>
      </c>
    </row>
    <row r="2147" spans="1:77" x14ac:dyDescent="0.2">
      <c r="A2147" t="s">
        <v>7613</v>
      </c>
      <c r="B2147" t="s">
        <v>6351</v>
      </c>
      <c r="C2147" t="s">
        <v>7671</v>
      </c>
      <c r="D2147" t="s">
        <v>7672</v>
      </c>
      <c r="E2147" t="s">
        <v>7673</v>
      </c>
      <c r="F2147" t="s">
        <v>118</v>
      </c>
      <c r="G2147" t="str">
        <f>HYPERLINK("https://vk.com/wall-22935147_368315?reply=368370&amp;thread=368325")</f>
        <v>https://vk.com/wall-22935147_368315?reply=368370&amp;thread=368325</v>
      </c>
      <c r="H2147" t="s">
        <v>119</v>
      </c>
      <c r="I2147" t="s">
        <v>1722</v>
      </c>
      <c r="J2147" t="str">
        <f>HYPERLINK("http://vk.com/id240644107")</f>
        <v>http://vk.com/id240644107</v>
      </c>
      <c r="K2147">
        <v>33</v>
      </c>
      <c r="L2147" t="s">
        <v>121</v>
      </c>
      <c r="N2147" t="s">
        <v>122</v>
      </c>
      <c r="O2147" t="s">
        <v>1093</v>
      </c>
      <c r="P2147" t="str">
        <f>HYPERLINK("http://vk.com/club22935147")</f>
        <v>http://vk.com/club22935147</v>
      </c>
      <c r="Q2147">
        <v>8943</v>
      </c>
      <c r="R2147" t="s">
        <v>124</v>
      </c>
      <c r="S2147" t="s">
        <v>125</v>
      </c>
      <c r="T2147" t="s">
        <v>169</v>
      </c>
      <c r="U2147" t="s">
        <v>169</v>
      </c>
      <c r="AM2147" t="s">
        <v>129</v>
      </c>
      <c r="AN2147" t="s">
        <v>130</v>
      </c>
      <c r="AP2147" t="s">
        <v>41</v>
      </c>
      <c r="AU2147" t="s">
        <v>46</v>
      </c>
      <c r="AZ2147" t="s">
        <v>51</v>
      </c>
      <c r="BA2147" t="s">
        <v>52</v>
      </c>
    </row>
    <row r="2148" spans="1:77" x14ac:dyDescent="0.2">
      <c r="A2148" t="s">
        <v>7613</v>
      </c>
      <c r="B2148" t="s">
        <v>7674</v>
      </c>
      <c r="C2148" t="s">
        <v>6454</v>
      </c>
      <c r="D2148" t="s">
        <v>1141</v>
      </c>
      <c r="E2148" t="s">
        <v>7675</v>
      </c>
      <c r="F2148" t="s">
        <v>180</v>
      </c>
      <c r="G2148" t="str">
        <f>HYPERLINK("https://www.ozon.ru/context/detail/id/240888980/#59463211")</f>
        <v>https://www.ozon.ru/context/detail/id/240888980/#59463211</v>
      </c>
      <c r="H2148" t="s">
        <v>181</v>
      </c>
      <c r="I2148" t="s">
        <v>7676</v>
      </c>
      <c r="J2148" t="str">
        <f>HYPERLINK("https://www.ozon.ru/context/client_opinion/ClientGuid/72ef0104-d83b-40f2-bfdb-e1b4913f87df/")</f>
        <v>https://www.ozon.ru/context/client_opinion/ClientGuid/72ef0104-d83b-40f2-bfdb-e1b4913f87df/</v>
      </c>
      <c r="L2148" t="s">
        <v>151</v>
      </c>
      <c r="N2148" t="s">
        <v>183</v>
      </c>
      <c r="O2148" t="s">
        <v>1141</v>
      </c>
      <c r="P2148" t="str">
        <f>HYPERLINK("https://www.ozon.ru/context/detail/id/240888980/")</f>
        <v>https://www.ozon.ru/context/detail/id/240888980/</v>
      </c>
      <c r="R2148" t="s">
        <v>184</v>
      </c>
      <c r="S2148" t="s">
        <v>125</v>
      </c>
      <c r="W2148">
        <v>0</v>
      </c>
      <c r="X2148">
        <v>0</v>
      </c>
      <c r="AH2148">
        <v>5</v>
      </c>
      <c r="AM2148" t="s">
        <v>129</v>
      </c>
      <c r="AN2148" t="s">
        <v>130</v>
      </c>
      <c r="AP2148" t="s">
        <v>41</v>
      </c>
      <c r="AZ2148" t="s">
        <v>51</v>
      </c>
      <c r="BA2148" t="s">
        <v>52</v>
      </c>
      <c r="BK2148" t="s">
        <v>62</v>
      </c>
      <c r="BL2148" t="s">
        <v>63</v>
      </c>
    </row>
    <row r="2149" spans="1:77" x14ac:dyDescent="0.2">
      <c r="A2149" t="s">
        <v>7613</v>
      </c>
      <c r="B2149" t="s">
        <v>4209</v>
      </c>
      <c r="C2149" t="s">
        <v>7677</v>
      </c>
      <c r="D2149" t="s">
        <v>5863</v>
      </c>
      <c r="E2149" t="s">
        <v>7678</v>
      </c>
      <c r="F2149" t="s">
        <v>118</v>
      </c>
      <c r="G2149" t="str">
        <f>HYPERLINK("https://vk.com/wall-27863223_291773?reply=291783")</f>
        <v>https://vk.com/wall-27863223_291773?reply=291783</v>
      </c>
      <c r="H2149" t="s">
        <v>119</v>
      </c>
      <c r="I2149" t="s">
        <v>254</v>
      </c>
      <c r="J2149" t="str">
        <f>HYPERLINK("http://vk.com/id286061518")</f>
        <v>http://vk.com/id286061518</v>
      </c>
      <c r="K2149">
        <v>5170</v>
      </c>
      <c r="L2149" t="s">
        <v>121</v>
      </c>
      <c r="M2149">
        <v>34</v>
      </c>
      <c r="N2149" t="s">
        <v>122</v>
      </c>
      <c r="O2149" t="s">
        <v>175</v>
      </c>
      <c r="P2149" t="str">
        <f>HYPERLINK("http://vk.com/club27863223")</f>
        <v>http://vk.com/club27863223</v>
      </c>
      <c r="Q2149">
        <v>134698</v>
      </c>
      <c r="R2149" t="s">
        <v>124</v>
      </c>
      <c r="S2149" t="s">
        <v>125</v>
      </c>
      <c r="T2149" t="s">
        <v>256</v>
      </c>
      <c r="U2149" t="s">
        <v>257</v>
      </c>
      <c r="W2149">
        <v>0</v>
      </c>
      <c r="X2149">
        <v>0</v>
      </c>
      <c r="AM2149" t="s">
        <v>129</v>
      </c>
      <c r="AN2149" t="s">
        <v>130</v>
      </c>
      <c r="AP2149" t="s">
        <v>41</v>
      </c>
      <c r="AU2149" t="s">
        <v>46</v>
      </c>
      <c r="BA2149" t="s">
        <v>52</v>
      </c>
      <c r="BE2149" t="s">
        <v>56</v>
      </c>
      <c r="BY2149" t="s">
        <v>76</v>
      </c>
    </row>
    <row r="2150" spans="1:77" x14ac:dyDescent="0.2">
      <c r="A2150" t="s">
        <v>7613</v>
      </c>
      <c r="B2150" t="s">
        <v>285</v>
      </c>
      <c r="C2150" t="s">
        <v>7679</v>
      </c>
      <c r="D2150" t="s">
        <v>6297</v>
      </c>
      <c r="E2150" t="s">
        <v>7680</v>
      </c>
      <c r="F2150" t="s">
        <v>118</v>
      </c>
      <c r="G2150" t="str">
        <f>HYPERLINK("https://vk.com/wall-1072740_167134?reply=167270")</f>
        <v>https://vk.com/wall-1072740_167134?reply=167270</v>
      </c>
      <c r="H2150" t="s">
        <v>119</v>
      </c>
      <c r="I2150" t="s">
        <v>6299</v>
      </c>
      <c r="J2150" t="str">
        <f>HYPERLINK("http://vk.com/id155393776")</f>
        <v>http://vk.com/id155393776</v>
      </c>
      <c r="K2150">
        <v>103</v>
      </c>
      <c r="L2150" t="s">
        <v>151</v>
      </c>
      <c r="N2150" t="s">
        <v>122</v>
      </c>
      <c r="O2150" t="s">
        <v>6300</v>
      </c>
      <c r="P2150" t="str">
        <f>HYPERLINK("http://vk.com/club1072740")</f>
        <v>http://vk.com/club1072740</v>
      </c>
      <c r="Q2150">
        <v>15812</v>
      </c>
      <c r="R2150" t="s">
        <v>124</v>
      </c>
      <c r="S2150" t="s">
        <v>125</v>
      </c>
      <c r="T2150" t="s">
        <v>137</v>
      </c>
      <c r="U2150" t="s">
        <v>137</v>
      </c>
      <c r="AM2150" t="s">
        <v>129</v>
      </c>
      <c r="AN2150" t="s">
        <v>130</v>
      </c>
      <c r="AP2150" t="s">
        <v>41</v>
      </c>
      <c r="AU2150" t="s">
        <v>46</v>
      </c>
      <c r="AZ2150" t="s">
        <v>51</v>
      </c>
      <c r="BA2150" t="s">
        <v>52</v>
      </c>
      <c r="BL2150" t="s">
        <v>63</v>
      </c>
      <c r="BM2150" t="s">
        <v>64</v>
      </c>
    </row>
    <row r="2151" spans="1:77" x14ac:dyDescent="0.2">
      <c r="A2151" t="s">
        <v>7613</v>
      </c>
      <c r="B2151" t="s">
        <v>285</v>
      </c>
      <c r="C2151" t="s">
        <v>7679</v>
      </c>
      <c r="D2151" t="s">
        <v>7681</v>
      </c>
      <c r="E2151" t="s">
        <v>7682</v>
      </c>
      <c r="F2151" t="s">
        <v>118</v>
      </c>
      <c r="G2151" t="str">
        <f>HYPERLINK("https://vk.com/wall-80120571_74097?reply=74150&amp;thread=74115")</f>
        <v>https://vk.com/wall-80120571_74097?reply=74150&amp;thread=74115</v>
      </c>
      <c r="H2151" t="s">
        <v>181</v>
      </c>
      <c r="I2151" t="s">
        <v>7683</v>
      </c>
      <c r="J2151" t="str">
        <f>HYPERLINK("http://vk.com/id12016887")</f>
        <v>http://vk.com/id12016887</v>
      </c>
      <c r="K2151">
        <v>335</v>
      </c>
      <c r="L2151" t="s">
        <v>121</v>
      </c>
      <c r="M2151">
        <v>49</v>
      </c>
      <c r="N2151" t="s">
        <v>122</v>
      </c>
      <c r="O2151" t="s">
        <v>7684</v>
      </c>
      <c r="P2151" t="str">
        <f>HYPERLINK("http://vk.com/club80120571")</f>
        <v>http://vk.com/club80120571</v>
      </c>
      <c r="Q2151">
        <v>7392</v>
      </c>
      <c r="R2151" t="s">
        <v>124</v>
      </c>
      <c r="S2151" t="s">
        <v>125</v>
      </c>
      <c r="T2151" t="s">
        <v>828</v>
      </c>
      <c r="U2151" t="s">
        <v>7685</v>
      </c>
      <c r="AM2151" t="s">
        <v>129</v>
      </c>
      <c r="AN2151" t="s">
        <v>130</v>
      </c>
      <c r="AP2151" t="s">
        <v>41</v>
      </c>
      <c r="AY2151" t="s">
        <v>50</v>
      </c>
      <c r="AZ2151" t="s">
        <v>51</v>
      </c>
      <c r="BA2151" t="s">
        <v>52</v>
      </c>
    </row>
    <row r="2152" spans="1:77" x14ac:dyDescent="0.2">
      <c r="A2152" t="s">
        <v>7613</v>
      </c>
      <c r="B2152" t="s">
        <v>3693</v>
      </c>
      <c r="C2152" t="s">
        <v>7686</v>
      </c>
      <c r="D2152" t="s">
        <v>7436</v>
      </c>
      <c r="E2152" t="s">
        <v>7687</v>
      </c>
      <c r="F2152" t="s">
        <v>118</v>
      </c>
      <c r="G2152" t="str">
        <f>HYPERLINK("https://vk.com/wall-28270_93607?reply=93626&amp;thread=93620")</f>
        <v>https://vk.com/wall-28270_93607?reply=93626&amp;thread=93620</v>
      </c>
      <c r="H2152" t="s">
        <v>119</v>
      </c>
      <c r="I2152" t="s">
        <v>7688</v>
      </c>
      <c r="J2152" t="str">
        <f>HYPERLINK("http://vk.com/id392022")</f>
        <v>http://vk.com/id392022</v>
      </c>
      <c r="K2152">
        <v>630</v>
      </c>
      <c r="L2152" t="s">
        <v>151</v>
      </c>
      <c r="N2152" t="s">
        <v>122</v>
      </c>
      <c r="O2152" t="s">
        <v>7439</v>
      </c>
      <c r="P2152" t="str">
        <f>HYPERLINK("http://vk.com/club28270")</f>
        <v>http://vk.com/club28270</v>
      </c>
      <c r="Q2152">
        <v>4898</v>
      </c>
      <c r="R2152" t="s">
        <v>124</v>
      </c>
      <c r="S2152" t="s">
        <v>125</v>
      </c>
      <c r="T2152" t="s">
        <v>137</v>
      </c>
      <c r="U2152" t="s">
        <v>137</v>
      </c>
      <c r="AM2152" t="s">
        <v>129</v>
      </c>
      <c r="AN2152" t="s">
        <v>130</v>
      </c>
      <c r="AP2152" t="s">
        <v>41</v>
      </c>
      <c r="AT2152" t="s">
        <v>45</v>
      </c>
      <c r="AZ2152" t="s">
        <v>51</v>
      </c>
      <c r="BA2152" t="s">
        <v>52</v>
      </c>
    </row>
    <row r="2153" spans="1:77" x14ac:dyDescent="0.2">
      <c r="A2153" t="s">
        <v>7613</v>
      </c>
      <c r="B2153" t="s">
        <v>288</v>
      </c>
      <c r="C2153" t="s">
        <v>7689</v>
      </c>
      <c r="D2153" t="s">
        <v>7690</v>
      </c>
      <c r="E2153" t="s">
        <v>7691</v>
      </c>
      <c r="F2153" t="s">
        <v>118</v>
      </c>
      <c r="G2153" t="str">
        <f>HYPERLINK("https://vk.com/wall-27863223_291722?w=wall-27863223_291722_r291780")</f>
        <v>https://vk.com/wall-27863223_291722?w=wall-27863223_291722_r291780</v>
      </c>
      <c r="H2153" t="s">
        <v>228</v>
      </c>
      <c r="I2153" t="s">
        <v>7692</v>
      </c>
      <c r="J2153" t="str">
        <f>HYPERLINK("http://vk.com/id32543192")</f>
        <v>http://vk.com/id32543192</v>
      </c>
      <c r="K2153">
        <v>103</v>
      </c>
      <c r="L2153" t="s">
        <v>121</v>
      </c>
      <c r="M2153">
        <v>37</v>
      </c>
      <c r="N2153" t="s">
        <v>122</v>
      </c>
      <c r="O2153" t="s">
        <v>175</v>
      </c>
      <c r="P2153" t="str">
        <f>HYPERLINK("http://vk.com/club27863223")</f>
        <v>http://vk.com/club27863223</v>
      </c>
      <c r="Q2153">
        <v>134698</v>
      </c>
      <c r="R2153" t="s">
        <v>124</v>
      </c>
      <c r="S2153" t="s">
        <v>125</v>
      </c>
      <c r="T2153" t="s">
        <v>189</v>
      </c>
      <c r="U2153" t="s">
        <v>190</v>
      </c>
      <c r="W2153">
        <v>0</v>
      </c>
      <c r="X2153">
        <v>0</v>
      </c>
      <c r="AM2153" t="s">
        <v>129</v>
      </c>
      <c r="AN2153" t="s">
        <v>130</v>
      </c>
      <c r="AP2153" t="s">
        <v>41</v>
      </c>
      <c r="AY2153" t="s">
        <v>50</v>
      </c>
      <c r="AZ2153" t="s">
        <v>51</v>
      </c>
      <c r="BA2153" t="s">
        <v>52</v>
      </c>
    </row>
    <row r="2154" spans="1:77" x14ac:dyDescent="0.2">
      <c r="A2154" t="s">
        <v>7613</v>
      </c>
      <c r="B2154" t="s">
        <v>5982</v>
      </c>
      <c r="C2154" t="s">
        <v>7689</v>
      </c>
      <c r="D2154" t="s">
        <v>7651</v>
      </c>
      <c r="E2154" t="s">
        <v>7693</v>
      </c>
      <c r="F2154" t="s">
        <v>118</v>
      </c>
      <c r="G2154" t="str">
        <f>HYPERLINK("https://vk.com/wall-22935147_368366?reply=368368")</f>
        <v>https://vk.com/wall-22935147_368366?reply=368368</v>
      </c>
      <c r="H2154" t="s">
        <v>119</v>
      </c>
      <c r="I2154" t="s">
        <v>4987</v>
      </c>
      <c r="J2154" t="str">
        <f>HYPERLINK("http://vk.com/id2397772")</f>
        <v>http://vk.com/id2397772</v>
      </c>
      <c r="K2154">
        <v>99</v>
      </c>
      <c r="L2154" t="s">
        <v>121</v>
      </c>
      <c r="N2154" t="s">
        <v>122</v>
      </c>
      <c r="O2154" t="s">
        <v>1093</v>
      </c>
      <c r="P2154" t="str">
        <f>HYPERLINK("http://vk.com/club22935147")</f>
        <v>http://vk.com/club22935147</v>
      </c>
      <c r="Q2154">
        <v>8943</v>
      </c>
      <c r="R2154" t="s">
        <v>124</v>
      </c>
      <c r="S2154" t="s">
        <v>125</v>
      </c>
      <c r="T2154" t="s">
        <v>2225</v>
      </c>
      <c r="U2154" t="s">
        <v>2861</v>
      </c>
      <c r="W2154">
        <v>0</v>
      </c>
      <c r="X2154">
        <v>0</v>
      </c>
      <c r="AM2154" t="s">
        <v>129</v>
      </c>
      <c r="AN2154" t="s">
        <v>130</v>
      </c>
      <c r="AP2154" t="s">
        <v>41</v>
      </c>
      <c r="AU2154" t="s">
        <v>46</v>
      </c>
      <c r="AW2154" t="s">
        <v>48</v>
      </c>
      <c r="AZ2154" t="s">
        <v>51</v>
      </c>
      <c r="BA2154" t="s">
        <v>52</v>
      </c>
    </row>
    <row r="2155" spans="1:77" x14ac:dyDescent="0.2">
      <c r="A2155" t="s">
        <v>7613</v>
      </c>
      <c r="B2155" t="s">
        <v>877</v>
      </c>
      <c r="C2155" t="s">
        <v>7689</v>
      </c>
      <c r="D2155" t="s">
        <v>7651</v>
      </c>
      <c r="E2155" t="s">
        <v>7694</v>
      </c>
      <c r="F2155" t="s">
        <v>118</v>
      </c>
      <c r="G2155" t="str">
        <f>HYPERLINK("https://vk.com/wall-22935147_368366?reply=368367")</f>
        <v>https://vk.com/wall-22935147_368366?reply=368367</v>
      </c>
      <c r="H2155" t="s">
        <v>119</v>
      </c>
      <c r="I2155" t="s">
        <v>7695</v>
      </c>
      <c r="J2155" t="str">
        <f>HYPERLINK("http://vk.com/id297323241")</f>
        <v>http://vk.com/id297323241</v>
      </c>
      <c r="K2155">
        <v>620</v>
      </c>
      <c r="L2155" t="s">
        <v>121</v>
      </c>
      <c r="N2155" t="s">
        <v>122</v>
      </c>
      <c r="O2155" t="s">
        <v>1093</v>
      </c>
      <c r="P2155" t="str">
        <f>HYPERLINK("http://vk.com/club22935147")</f>
        <v>http://vk.com/club22935147</v>
      </c>
      <c r="Q2155">
        <v>8943</v>
      </c>
      <c r="R2155" t="s">
        <v>124</v>
      </c>
      <c r="S2155" t="s">
        <v>125</v>
      </c>
      <c r="T2155" t="s">
        <v>169</v>
      </c>
      <c r="U2155" t="s">
        <v>169</v>
      </c>
      <c r="W2155">
        <v>1</v>
      </c>
      <c r="X2155">
        <v>1</v>
      </c>
      <c r="AM2155" t="s">
        <v>129</v>
      </c>
      <c r="AN2155" t="s">
        <v>130</v>
      </c>
      <c r="AP2155" t="s">
        <v>41</v>
      </c>
      <c r="AU2155" t="s">
        <v>46</v>
      </c>
      <c r="AW2155" t="s">
        <v>48</v>
      </c>
      <c r="AZ2155" t="s">
        <v>51</v>
      </c>
      <c r="BA2155" t="s">
        <v>52</v>
      </c>
      <c r="BL2155" t="s">
        <v>63</v>
      </c>
    </row>
    <row r="2156" spans="1:77" x14ac:dyDescent="0.2">
      <c r="A2156" t="s">
        <v>7613</v>
      </c>
      <c r="B2156" t="s">
        <v>7696</v>
      </c>
      <c r="C2156" t="s">
        <v>5345</v>
      </c>
      <c r="D2156" t="s">
        <v>381</v>
      </c>
      <c r="E2156" t="s">
        <v>7697</v>
      </c>
      <c r="F2156" t="s">
        <v>180</v>
      </c>
      <c r="G2156" t="str">
        <f>HYPERLINK("https://www.ozon.ru/context/detail/id/220479377/#59456144")</f>
        <v>https://www.ozon.ru/context/detail/id/220479377/#59456144</v>
      </c>
      <c r="H2156" t="s">
        <v>181</v>
      </c>
      <c r="I2156" t="s">
        <v>7698</v>
      </c>
      <c r="J2156" t="str">
        <f>HYPERLINK("https://www.ozon.ru/context/client_opinion/ClientGuid/b199a409-14b3-4b98-93f8-a11218081db4/")</f>
        <v>https://www.ozon.ru/context/client_opinion/ClientGuid/b199a409-14b3-4b98-93f8-a11218081db4/</v>
      </c>
      <c r="L2156" t="s">
        <v>121</v>
      </c>
      <c r="N2156" t="s">
        <v>183</v>
      </c>
      <c r="O2156" t="s">
        <v>384</v>
      </c>
      <c r="P2156" t="str">
        <f>HYPERLINK("https://www.ozon.ru/context/detail/id/220479377/")</f>
        <v>https://www.ozon.ru/context/detail/id/220479377/</v>
      </c>
      <c r="R2156" t="s">
        <v>184</v>
      </c>
      <c r="S2156" t="s">
        <v>125</v>
      </c>
      <c r="W2156">
        <v>0</v>
      </c>
      <c r="X2156">
        <v>0</v>
      </c>
      <c r="AH2156">
        <v>5</v>
      </c>
      <c r="AM2156" t="s">
        <v>129</v>
      </c>
      <c r="AN2156" t="s">
        <v>130</v>
      </c>
      <c r="AP2156" t="s">
        <v>41</v>
      </c>
      <c r="AT2156" t="s">
        <v>45</v>
      </c>
      <c r="AW2156" t="s">
        <v>48</v>
      </c>
      <c r="AZ2156" t="s">
        <v>51</v>
      </c>
      <c r="BA2156" t="s">
        <v>52</v>
      </c>
    </row>
    <row r="2157" spans="1:77" x14ac:dyDescent="0.2">
      <c r="A2157" t="s">
        <v>7613</v>
      </c>
      <c r="B2157" t="s">
        <v>296</v>
      </c>
      <c r="C2157" t="s">
        <v>7699</v>
      </c>
      <c r="D2157" t="s">
        <v>7436</v>
      </c>
      <c r="E2157" t="s">
        <v>7700</v>
      </c>
      <c r="F2157" t="s">
        <v>118</v>
      </c>
      <c r="G2157" t="str">
        <f>HYPERLINK("https://vk.com/wall-28270_93607?reply=93620")</f>
        <v>https://vk.com/wall-28270_93607?reply=93620</v>
      </c>
      <c r="H2157" t="s">
        <v>119</v>
      </c>
      <c r="I2157" t="s">
        <v>7701</v>
      </c>
      <c r="J2157" t="str">
        <f>HYPERLINK("http://vk.com/id611857083")</f>
        <v>http://vk.com/id611857083</v>
      </c>
      <c r="L2157" t="s">
        <v>151</v>
      </c>
      <c r="M2157">
        <v>38</v>
      </c>
      <c r="N2157" t="s">
        <v>122</v>
      </c>
      <c r="O2157" t="s">
        <v>7439</v>
      </c>
      <c r="P2157" t="str">
        <f>HYPERLINK("http://vk.com/club28270")</f>
        <v>http://vk.com/club28270</v>
      </c>
      <c r="Q2157">
        <v>4898</v>
      </c>
      <c r="R2157" t="s">
        <v>124</v>
      </c>
      <c r="S2157" t="s">
        <v>125</v>
      </c>
      <c r="T2157" t="s">
        <v>137</v>
      </c>
      <c r="U2157" t="s">
        <v>137</v>
      </c>
      <c r="AM2157" t="s">
        <v>129</v>
      </c>
      <c r="AN2157" t="s">
        <v>130</v>
      </c>
      <c r="AP2157" t="s">
        <v>41</v>
      </c>
      <c r="AT2157" t="s">
        <v>45</v>
      </c>
      <c r="AZ2157" t="s">
        <v>51</v>
      </c>
      <c r="BA2157" t="s">
        <v>52</v>
      </c>
    </row>
    <row r="2158" spans="1:77" x14ac:dyDescent="0.2">
      <c r="A2158" t="s">
        <v>7613</v>
      </c>
      <c r="B2158" t="s">
        <v>3718</v>
      </c>
      <c r="C2158" t="s">
        <v>7702</v>
      </c>
      <c r="D2158" t="s">
        <v>7436</v>
      </c>
      <c r="E2158" t="s">
        <v>7703</v>
      </c>
      <c r="F2158" t="s">
        <v>118</v>
      </c>
      <c r="G2158" t="str">
        <f>HYPERLINK("https://vk.com/wall-28270_93607?reply=93618")</f>
        <v>https://vk.com/wall-28270_93607?reply=93618</v>
      </c>
      <c r="H2158" t="s">
        <v>119</v>
      </c>
      <c r="I2158" t="s">
        <v>7704</v>
      </c>
      <c r="J2158" t="str">
        <f>HYPERLINK("http://vk.com/id50665543")</f>
        <v>http://vk.com/id50665543</v>
      </c>
      <c r="K2158">
        <v>499</v>
      </c>
      <c r="L2158" t="s">
        <v>121</v>
      </c>
      <c r="M2158">
        <v>34</v>
      </c>
      <c r="N2158" t="s">
        <v>122</v>
      </c>
      <c r="O2158" t="s">
        <v>7439</v>
      </c>
      <c r="P2158" t="str">
        <f>HYPERLINK("http://vk.com/club28270")</f>
        <v>http://vk.com/club28270</v>
      </c>
      <c r="Q2158">
        <v>4898</v>
      </c>
      <c r="R2158" t="s">
        <v>124</v>
      </c>
      <c r="S2158" t="s">
        <v>125</v>
      </c>
      <c r="T2158" t="s">
        <v>137</v>
      </c>
      <c r="U2158" t="s">
        <v>137</v>
      </c>
      <c r="AM2158" t="s">
        <v>129</v>
      </c>
      <c r="AN2158" t="s">
        <v>130</v>
      </c>
      <c r="AP2158" t="s">
        <v>41</v>
      </c>
      <c r="AT2158" t="s">
        <v>45</v>
      </c>
      <c r="AZ2158" t="s">
        <v>51</v>
      </c>
      <c r="BA2158" t="s">
        <v>52</v>
      </c>
      <c r="BL2158" t="s">
        <v>63</v>
      </c>
    </row>
    <row r="2159" spans="1:77" x14ac:dyDescent="0.2">
      <c r="A2159" t="s">
        <v>7613</v>
      </c>
      <c r="B2159" t="s">
        <v>300</v>
      </c>
      <c r="C2159" t="s">
        <v>7705</v>
      </c>
      <c r="D2159" t="s">
        <v>129</v>
      </c>
      <c r="E2159" t="s">
        <v>7706</v>
      </c>
      <c r="F2159" t="s">
        <v>180</v>
      </c>
      <c r="G2159" t="str">
        <f>HYPERLINK("https://vk.com/wall-22935147_368366")</f>
        <v>https://vk.com/wall-22935147_368366</v>
      </c>
      <c r="H2159" t="s">
        <v>119</v>
      </c>
      <c r="I2159" t="s">
        <v>7707</v>
      </c>
      <c r="J2159" t="str">
        <f>HYPERLINK("http://vk.com/id45840466")</f>
        <v>http://vk.com/id45840466</v>
      </c>
      <c r="K2159">
        <v>91</v>
      </c>
      <c r="L2159" t="s">
        <v>121</v>
      </c>
      <c r="M2159">
        <v>45</v>
      </c>
      <c r="N2159" t="s">
        <v>122</v>
      </c>
      <c r="O2159" t="s">
        <v>1093</v>
      </c>
      <c r="P2159" t="str">
        <f>HYPERLINK("http://vk.com/club22935147")</f>
        <v>http://vk.com/club22935147</v>
      </c>
      <c r="Q2159">
        <v>8943</v>
      </c>
      <c r="R2159" t="s">
        <v>124</v>
      </c>
      <c r="S2159" t="s">
        <v>125</v>
      </c>
      <c r="W2159">
        <v>6</v>
      </c>
      <c r="X2159">
        <v>6</v>
      </c>
      <c r="AE2159">
        <v>3</v>
      </c>
      <c r="AF2159">
        <v>0</v>
      </c>
      <c r="AG2159">
        <v>1737</v>
      </c>
      <c r="AM2159" t="s">
        <v>129</v>
      </c>
      <c r="AN2159" t="s">
        <v>130</v>
      </c>
      <c r="AP2159" t="s">
        <v>41</v>
      </c>
      <c r="AU2159" t="s">
        <v>46</v>
      </c>
      <c r="BA2159" t="s">
        <v>52</v>
      </c>
      <c r="BE2159" t="s">
        <v>56</v>
      </c>
      <c r="BL2159" t="s">
        <v>63</v>
      </c>
    </row>
    <row r="2160" spans="1:77" x14ac:dyDescent="0.2">
      <c r="A2160" t="s">
        <v>7613</v>
      </c>
      <c r="B2160" t="s">
        <v>2982</v>
      </c>
      <c r="C2160" t="s">
        <v>7708</v>
      </c>
      <c r="D2160" t="s">
        <v>7709</v>
      </c>
      <c r="E2160" t="s">
        <v>7710</v>
      </c>
      <c r="F2160" t="s">
        <v>118</v>
      </c>
      <c r="G2160" t="str">
        <f>HYPERLINK("https://vk.com/wall-173720121_9026?reply=9038")</f>
        <v>https://vk.com/wall-173720121_9026?reply=9038</v>
      </c>
      <c r="H2160" t="s">
        <v>119</v>
      </c>
      <c r="I2160" t="s">
        <v>7711</v>
      </c>
      <c r="J2160" t="str">
        <f>HYPERLINK("http://vk.com/id171541859")</f>
        <v>http://vk.com/id171541859</v>
      </c>
      <c r="K2160">
        <v>124</v>
      </c>
      <c r="L2160" t="s">
        <v>151</v>
      </c>
      <c r="N2160" t="s">
        <v>122</v>
      </c>
      <c r="O2160" t="s">
        <v>7712</v>
      </c>
      <c r="P2160" t="str">
        <f>HYPERLINK("http://vk.com/club173720121")</f>
        <v>http://vk.com/club173720121</v>
      </c>
      <c r="Q2160">
        <v>2841</v>
      </c>
      <c r="R2160" t="s">
        <v>124</v>
      </c>
      <c r="S2160" t="s">
        <v>125</v>
      </c>
      <c r="T2160" t="s">
        <v>2166</v>
      </c>
      <c r="U2160" t="s">
        <v>2167</v>
      </c>
      <c r="AM2160" t="s">
        <v>129</v>
      </c>
      <c r="AN2160" t="s">
        <v>130</v>
      </c>
      <c r="AP2160" t="s">
        <v>41</v>
      </c>
      <c r="AZ2160" t="s">
        <v>51</v>
      </c>
      <c r="BA2160" t="s">
        <v>52</v>
      </c>
    </row>
    <row r="2161" spans="1:65" x14ac:dyDescent="0.2">
      <c r="A2161" t="s">
        <v>7613</v>
      </c>
      <c r="B2161" t="s">
        <v>337</v>
      </c>
      <c r="C2161" t="s">
        <v>7713</v>
      </c>
      <c r="D2161" t="s">
        <v>129</v>
      </c>
      <c r="E2161" t="s">
        <v>7714</v>
      </c>
      <c r="F2161" t="s">
        <v>118</v>
      </c>
      <c r="G2161" t="str">
        <f>HYPERLINK("https://twitter.com/214393776/status/1415325410548752385")</f>
        <v>https://twitter.com/214393776/status/1415325410548752385</v>
      </c>
      <c r="H2161" t="s">
        <v>119</v>
      </c>
      <c r="I2161" t="s">
        <v>7715</v>
      </c>
      <c r="J2161" t="str">
        <f>HYPERLINK("http://twitter.com/Alyonu6ka_k")</f>
        <v>http://twitter.com/Alyonu6ka_k</v>
      </c>
      <c r="K2161">
        <v>2593</v>
      </c>
      <c r="N2161" t="s">
        <v>350</v>
      </c>
      <c r="R2161" t="s">
        <v>124</v>
      </c>
      <c r="S2161" t="s">
        <v>125</v>
      </c>
      <c r="T2161" t="s">
        <v>2455</v>
      </c>
      <c r="U2161" t="s">
        <v>2456</v>
      </c>
      <c r="W2161">
        <v>1</v>
      </c>
      <c r="X2161">
        <v>1</v>
      </c>
      <c r="AE2161">
        <v>1</v>
      </c>
      <c r="AF2161">
        <v>0</v>
      </c>
      <c r="AM2161" t="s">
        <v>129</v>
      </c>
      <c r="AN2161" t="s">
        <v>130</v>
      </c>
      <c r="AP2161" t="s">
        <v>41</v>
      </c>
      <c r="AT2161" t="s">
        <v>45</v>
      </c>
      <c r="AZ2161" t="s">
        <v>51</v>
      </c>
      <c r="BA2161" t="s">
        <v>52</v>
      </c>
      <c r="BL2161" t="s">
        <v>63</v>
      </c>
    </row>
    <row r="2162" spans="1:65" x14ac:dyDescent="0.2">
      <c r="A2162" t="s">
        <v>7613</v>
      </c>
      <c r="B2162" t="s">
        <v>1458</v>
      </c>
      <c r="C2162" t="s">
        <v>7716</v>
      </c>
      <c r="D2162" t="s">
        <v>7717</v>
      </c>
      <c r="E2162" t="s">
        <v>7718</v>
      </c>
      <c r="F2162" t="s">
        <v>118</v>
      </c>
      <c r="G2162" t="str">
        <f>HYPERLINK("https://vk.com/wall-61101621_254438?reply=254659")</f>
        <v>https://vk.com/wall-61101621_254438?reply=254659</v>
      </c>
      <c r="H2162" t="s">
        <v>119</v>
      </c>
      <c r="I2162" t="s">
        <v>7719</v>
      </c>
      <c r="J2162" t="str">
        <f>HYPERLINK("http://vk.com/id177725282")</f>
        <v>http://vk.com/id177725282</v>
      </c>
      <c r="K2162">
        <v>353</v>
      </c>
      <c r="L2162" t="s">
        <v>151</v>
      </c>
      <c r="N2162" t="s">
        <v>122</v>
      </c>
      <c r="O2162" t="s">
        <v>160</v>
      </c>
      <c r="P2162" t="str">
        <f>HYPERLINK("http://vk.com/club61101621")</f>
        <v>http://vk.com/club61101621</v>
      </c>
      <c r="Q2162">
        <v>21119</v>
      </c>
      <c r="R2162" t="s">
        <v>124</v>
      </c>
      <c r="S2162" t="s">
        <v>125</v>
      </c>
      <c r="T2162" t="s">
        <v>627</v>
      </c>
      <c r="U2162" t="s">
        <v>7720</v>
      </c>
      <c r="W2162">
        <v>0</v>
      </c>
      <c r="X2162">
        <v>0</v>
      </c>
      <c r="AM2162" t="s">
        <v>129</v>
      </c>
      <c r="AN2162" t="s">
        <v>130</v>
      </c>
      <c r="AP2162" t="s">
        <v>41</v>
      </c>
      <c r="AU2162" t="s">
        <v>46</v>
      </c>
      <c r="AZ2162" t="s">
        <v>51</v>
      </c>
      <c r="BA2162" t="s">
        <v>52</v>
      </c>
    </row>
    <row r="2163" spans="1:65" x14ac:dyDescent="0.2">
      <c r="A2163" t="s">
        <v>7613</v>
      </c>
      <c r="B2163" t="s">
        <v>5633</v>
      </c>
      <c r="C2163" t="s">
        <v>7721</v>
      </c>
      <c r="D2163" t="s">
        <v>129</v>
      </c>
      <c r="E2163" t="s">
        <v>7722</v>
      </c>
      <c r="F2163" t="s">
        <v>180</v>
      </c>
      <c r="G2163" t="str">
        <f>HYPERLINK("https://vk.com/wall-28270_93607")</f>
        <v>https://vk.com/wall-28270_93607</v>
      </c>
      <c r="H2163" t="s">
        <v>119</v>
      </c>
      <c r="I2163" t="s">
        <v>7688</v>
      </c>
      <c r="J2163" t="str">
        <f>HYPERLINK("http://vk.com/id392022")</f>
        <v>http://vk.com/id392022</v>
      </c>
      <c r="K2163">
        <v>630</v>
      </c>
      <c r="L2163" t="s">
        <v>151</v>
      </c>
      <c r="N2163" t="s">
        <v>122</v>
      </c>
      <c r="O2163" t="s">
        <v>7439</v>
      </c>
      <c r="P2163" t="str">
        <f>HYPERLINK("http://vk.com/club28270")</f>
        <v>http://vk.com/club28270</v>
      </c>
      <c r="Q2163">
        <v>4898</v>
      </c>
      <c r="R2163" t="s">
        <v>124</v>
      </c>
      <c r="S2163" t="s">
        <v>125</v>
      </c>
      <c r="T2163" t="s">
        <v>137</v>
      </c>
      <c r="U2163" t="s">
        <v>137</v>
      </c>
      <c r="W2163">
        <v>4</v>
      </c>
      <c r="X2163">
        <v>4</v>
      </c>
      <c r="AE2163">
        <v>20</v>
      </c>
      <c r="AF2163">
        <v>12</v>
      </c>
      <c r="AM2163" t="s">
        <v>129</v>
      </c>
      <c r="AN2163" t="s">
        <v>130</v>
      </c>
      <c r="AP2163" t="s">
        <v>41</v>
      </c>
      <c r="AT2163" t="s">
        <v>45</v>
      </c>
      <c r="AZ2163" t="s">
        <v>51</v>
      </c>
      <c r="BA2163" t="s">
        <v>52</v>
      </c>
      <c r="BL2163" t="s">
        <v>63</v>
      </c>
    </row>
    <row r="2164" spans="1:65" x14ac:dyDescent="0.2">
      <c r="A2164" t="s">
        <v>7613</v>
      </c>
      <c r="B2164" t="s">
        <v>2484</v>
      </c>
      <c r="C2164" t="s">
        <v>7723</v>
      </c>
      <c r="D2164" t="s">
        <v>7724</v>
      </c>
      <c r="E2164" t="s">
        <v>7725</v>
      </c>
      <c r="F2164" t="s">
        <v>180</v>
      </c>
      <c r="G2164" t="str">
        <f>HYPERLINK("https://www.tadviser.ru/a/363284")</f>
        <v>https://www.tadviser.ru/a/363284</v>
      </c>
      <c r="H2164" t="s">
        <v>119</v>
      </c>
      <c r="N2164" t="s">
        <v>7138</v>
      </c>
      <c r="R2164" t="s">
        <v>785</v>
      </c>
      <c r="S2164" t="s">
        <v>125</v>
      </c>
      <c r="AJ2164" t="s">
        <v>7726</v>
      </c>
      <c r="AK2164" t="s">
        <v>7727</v>
      </c>
      <c r="AL2164" t="str">
        <f>HYPERLINK("https://tadviser.ru/images/5/58/Thumbnail_1626273022.jpg")</f>
        <v>https://tadviser.ru/images/5/58/Thumbnail_1626273022.jpg</v>
      </c>
      <c r="AM2164" t="s">
        <v>129</v>
      </c>
      <c r="AN2164" t="s">
        <v>130</v>
      </c>
      <c r="AV2164" t="s">
        <v>47</v>
      </c>
    </row>
    <row r="2165" spans="1:65" x14ac:dyDescent="0.2">
      <c r="A2165" t="s">
        <v>7613</v>
      </c>
      <c r="B2165" t="s">
        <v>1482</v>
      </c>
      <c r="C2165" t="s">
        <v>7728</v>
      </c>
      <c r="D2165" t="s">
        <v>7690</v>
      </c>
      <c r="E2165" t="s">
        <v>7729</v>
      </c>
      <c r="F2165" t="s">
        <v>118</v>
      </c>
      <c r="G2165" t="str">
        <f>HYPERLINK("https://vk.com/wall-27863223_291722?reply=291776")</f>
        <v>https://vk.com/wall-27863223_291722?reply=291776</v>
      </c>
      <c r="H2165" t="s">
        <v>119</v>
      </c>
      <c r="I2165" t="s">
        <v>7692</v>
      </c>
      <c r="J2165" t="str">
        <f>HYPERLINK("http://vk.com/id32543192")</f>
        <v>http://vk.com/id32543192</v>
      </c>
      <c r="K2165">
        <v>103</v>
      </c>
      <c r="L2165" t="s">
        <v>121</v>
      </c>
      <c r="M2165">
        <v>37</v>
      </c>
      <c r="N2165" t="s">
        <v>122</v>
      </c>
      <c r="O2165" t="s">
        <v>175</v>
      </c>
      <c r="P2165" t="str">
        <f>HYPERLINK("http://vk.com/club27863223")</f>
        <v>http://vk.com/club27863223</v>
      </c>
      <c r="Q2165">
        <v>134698</v>
      </c>
      <c r="R2165" t="s">
        <v>124</v>
      </c>
      <c r="S2165" t="s">
        <v>125</v>
      </c>
      <c r="T2165" t="s">
        <v>189</v>
      </c>
      <c r="U2165" t="s">
        <v>190</v>
      </c>
      <c r="W2165">
        <v>0</v>
      </c>
      <c r="X2165">
        <v>0</v>
      </c>
      <c r="AM2165" t="s">
        <v>129</v>
      </c>
      <c r="AN2165" t="s">
        <v>130</v>
      </c>
      <c r="AP2165" t="s">
        <v>41</v>
      </c>
      <c r="AU2165" t="s">
        <v>46</v>
      </c>
      <c r="AY2165" t="s">
        <v>50</v>
      </c>
      <c r="AZ2165" t="s">
        <v>51</v>
      </c>
      <c r="BA2165" t="s">
        <v>52</v>
      </c>
    </row>
    <row r="2166" spans="1:65" x14ac:dyDescent="0.2">
      <c r="A2166" t="s">
        <v>7613</v>
      </c>
      <c r="B2166" t="s">
        <v>7730</v>
      </c>
      <c r="C2166" t="s">
        <v>7731</v>
      </c>
      <c r="D2166" t="s">
        <v>7732</v>
      </c>
      <c r="E2166" t="s">
        <v>7733</v>
      </c>
      <c r="F2166" t="s">
        <v>118</v>
      </c>
      <c r="G2166" t="str">
        <f>HYPERLINK("https://vk.com/wall-22935147_368361?reply=368365")</f>
        <v>https://vk.com/wall-22935147_368361?reply=368365</v>
      </c>
      <c r="H2166" t="s">
        <v>119</v>
      </c>
      <c r="I2166" t="s">
        <v>757</v>
      </c>
      <c r="J2166" t="str">
        <f>HYPERLINK("http://vk.com/id93124237")</f>
        <v>http://vk.com/id93124237</v>
      </c>
      <c r="K2166">
        <v>87</v>
      </c>
      <c r="L2166" t="s">
        <v>121</v>
      </c>
      <c r="N2166" t="s">
        <v>122</v>
      </c>
      <c r="O2166" t="s">
        <v>1093</v>
      </c>
      <c r="P2166" t="str">
        <f>HYPERLINK("http://vk.com/club22935147")</f>
        <v>http://vk.com/club22935147</v>
      </c>
      <c r="Q2166">
        <v>8943</v>
      </c>
      <c r="R2166" t="s">
        <v>124</v>
      </c>
      <c r="S2166" t="s">
        <v>125</v>
      </c>
      <c r="AM2166" t="s">
        <v>129</v>
      </c>
      <c r="AN2166" t="s">
        <v>130</v>
      </c>
      <c r="AP2166" t="s">
        <v>41</v>
      </c>
      <c r="AU2166" t="s">
        <v>46</v>
      </c>
      <c r="AZ2166" t="s">
        <v>51</v>
      </c>
      <c r="BA2166" t="s">
        <v>52</v>
      </c>
    </row>
    <row r="2167" spans="1:65" x14ac:dyDescent="0.2">
      <c r="A2167" t="s">
        <v>7613</v>
      </c>
      <c r="B2167" t="s">
        <v>3778</v>
      </c>
      <c r="C2167" t="s">
        <v>5594</v>
      </c>
      <c r="D2167" t="s">
        <v>7284</v>
      </c>
      <c r="E2167" t="s">
        <v>7734</v>
      </c>
      <c r="F2167" t="s">
        <v>180</v>
      </c>
      <c r="G2167" t="str">
        <f>HYPERLINK("https://www.ozon.ru/context/detail/id/223364699/#59434072")</f>
        <v>https://www.ozon.ru/context/detail/id/223364699/#59434072</v>
      </c>
      <c r="H2167" t="s">
        <v>181</v>
      </c>
      <c r="I2167" t="s">
        <v>7735</v>
      </c>
      <c r="J2167" t="str">
        <f>HYPERLINK("https://www.ozon.ru/context/client_opinion/ClientGuid/04899419-85a6-4317-b7c1-c3949c41a463/")</f>
        <v>https://www.ozon.ru/context/client_opinion/ClientGuid/04899419-85a6-4317-b7c1-c3949c41a463/</v>
      </c>
      <c r="L2167" t="s">
        <v>121</v>
      </c>
      <c r="N2167" t="s">
        <v>183</v>
      </c>
      <c r="O2167" t="s">
        <v>7287</v>
      </c>
      <c r="P2167" t="str">
        <f>HYPERLINK("https://www.ozon.ru/context/detail/id/223364699/")</f>
        <v>https://www.ozon.ru/context/detail/id/223364699/</v>
      </c>
      <c r="R2167" t="s">
        <v>184</v>
      </c>
      <c r="S2167" t="s">
        <v>125</v>
      </c>
      <c r="W2167">
        <v>0</v>
      </c>
      <c r="X2167">
        <v>0</v>
      </c>
      <c r="AH2167">
        <v>5</v>
      </c>
      <c r="AM2167" t="s">
        <v>129</v>
      </c>
      <c r="AN2167" t="s">
        <v>130</v>
      </c>
      <c r="AP2167" t="s">
        <v>41</v>
      </c>
      <c r="AT2167" t="s">
        <v>45</v>
      </c>
      <c r="AZ2167" t="s">
        <v>51</v>
      </c>
      <c r="BA2167" t="s">
        <v>52</v>
      </c>
    </row>
    <row r="2168" spans="1:65" x14ac:dyDescent="0.2">
      <c r="A2168" t="s">
        <v>7613</v>
      </c>
      <c r="B2168" t="s">
        <v>6028</v>
      </c>
      <c r="C2168" t="s">
        <v>7736</v>
      </c>
      <c r="D2168" t="s">
        <v>7737</v>
      </c>
      <c r="E2168" t="s">
        <v>7738</v>
      </c>
      <c r="F2168" t="s">
        <v>118</v>
      </c>
      <c r="G2168" t="str">
        <f>HYPERLINK("https://vk.com/wall-66719212_55014?reply=55038&amp;thread=55017")</f>
        <v>https://vk.com/wall-66719212_55014?reply=55038&amp;thread=55017</v>
      </c>
      <c r="H2168" t="s">
        <v>181</v>
      </c>
      <c r="I2168" t="s">
        <v>7739</v>
      </c>
      <c r="J2168" t="str">
        <f>HYPERLINK("http://vk.com/id245970431")</f>
        <v>http://vk.com/id245970431</v>
      </c>
      <c r="K2168">
        <v>100</v>
      </c>
      <c r="L2168" t="s">
        <v>151</v>
      </c>
      <c r="N2168" t="s">
        <v>122</v>
      </c>
      <c r="O2168" t="s">
        <v>7740</v>
      </c>
      <c r="P2168" t="str">
        <f>HYPERLINK("http://vk.com/club66719212")</f>
        <v>http://vk.com/club66719212</v>
      </c>
      <c r="Q2168">
        <v>792</v>
      </c>
      <c r="R2168" t="s">
        <v>124</v>
      </c>
      <c r="S2168" t="s">
        <v>125</v>
      </c>
      <c r="T2168" t="s">
        <v>1103</v>
      </c>
      <c r="U2168" t="s">
        <v>1104</v>
      </c>
      <c r="AM2168" t="s">
        <v>129</v>
      </c>
      <c r="AN2168" t="s">
        <v>130</v>
      </c>
      <c r="AP2168" t="s">
        <v>41</v>
      </c>
      <c r="AZ2168" t="s">
        <v>51</v>
      </c>
      <c r="BB2168" t="s">
        <v>53</v>
      </c>
    </row>
    <row r="2169" spans="1:65" x14ac:dyDescent="0.2">
      <c r="A2169" t="s">
        <v>7613</v>
      </c>
      <c r="B2169" t="s">
        <v>6028</v>
      </c>
      <c r="C2169" t="s">
        <v>7736</v>
      </c>
      <c r="D2169" t="s">
        <v>6297</v>
      </c>
      <c r="E2169" t="s">
        <v>7741</v>
      </c>
      <c r="F2169" t="s">
        <v>118</v>
      </c>
      <c r="G2169" t="str">
        <f>HYPERLINK("https://vk.com/wall-1072740_167134?reply=167244")</f>
        <v>https://vk.com/wall-1072740_167134?reply=167244</v>
      </c>
      <c r="H2169" t="s">
        <v>119</v>
      </c>
      <c r="I2169" t="s">
        <v>7742</v>
      </c>
      <c r="J2169" t="str">
        <f>HYPERLINK("http://vk.com/id28817418")</f>
        <v>http://vk.com/id28817418</v>
      </c>
      <c r="K2169">
        <v>1263</v>
      </c>
      <c r="L2169" t="s">
        <v>121</v>
      </c>
      <c r="M2169">
        <v>30</v>
      </c>
      <c r="N2169" t="s">
        <v>122</v>
      </c>
      <c r="O2169" t="s">
        <v>6300</v>
      </c>
      <c r="P2169" t="str">
        <f>HYPERLINK("http://vk.com/club1072740")</f>
        <v>http://vk.com/club1072740</v>
      </c>
      <c r="Q2169">
        <v>15812</v>
      </c>
      <c r="R2169" t="s">
        <v>124</v>
      </c>
      <c r="S2169" t="s">
        <v>125</v>
      </c>
      <c r="T2169" t="s">
        <v>137</v>
      </c>
      <c r="U2169" t="s">
        <v>137</v>
      </c>
      <c r="AM2169" t="s">
        <v>129</v>
      </c>
      <c r="AN2169" t="s">
        <v>130</v>
      </c>
      <c r="AP2169" t="s">
        <v>41</v>
      </c>
      <c r="AT2169" t="s">
        <v>45</v>
      </c>
      <c r="AY2169" t="s">
        <v>50</v>
      </c>
      <c r="AZ2169" t="s">
        <v>51</v>
      </c>
      <c r="BB2169" t="s">
        <v>53</v>
      </c>
      <c r="BM2169" t="s">
        <v>64</v>
      </c>
    </row>
    <row r="2170" spans="1:65" x14ac:dyDescent="0.2">
      <c r="A2170" t="s">
        <v>7613</v>
      </c>
      <c r="B2170" t="s">
        <v>3063</v>
      </c>
      <c r="C2170" t="s">
        <v>5594</v>
      </c>
      <c r="D2170" t="s">
        <v>3516</v>
      </c>
      <c r="E2170" t="s">
        <v>7743</v>
      </c>
      <c r="F2170" t="s">
        <v>180</v>
      </c>
      <c r="G2170" t="str">
        <f>HYPERLINK("https://www.ozon.ru/context/detail/id/220478025/#59425670")</f>
        <v>https://www.ozon.ru/context/detail/id/220478025/#59425670</v>
      </c>
      <c r="H2170" t="s">
        <v>181</v>
      </c>
      <c r="I2170" t="s">
        <v>4864</v>
      </c>
      <c r="J2170" t="str">
        <f>HYPERLINK("https://www.ozon.ru/context/client_opinion/ClientGuid/45a69adf-e53a-4cc2-92f1-2c91a26d3ac1/")</f>
        <v>https://www.ozon.ru/context/client_opinion/ClientGuid/45a69adf-e53a-4cc2-92f1-2c91a26d3ac1/</v>
      </c>
      <c r="L2170" t="s">
        <v>121</v>
      </c>
      <c r="N2170" t="s">
        <v>183</v>
      </c>
      <c r="O2170" t="s">
        <v>3516</v>
      </c>
      <c r="P2170" t="str">
        <f>HYPERLINK("https://www.ozon.ru/context/detail/id/220478025/")</f>
        <v>https://www.ozon.ru/context/detail/id/220478025/</v>
      </c>
      <c r="R2170" t="s">
        <v>184</v>
      </c>
      <c r="S2170" t="s">
        <v>125</v>
      </c>
      <c r="W2170">
        <v>1</v>
      </c>
      <c r="X2170">
        <v>1</v>
      </c>
      <c r="AH2170">
        <v>5</v>
      </c>
      <c r="AM2170" t="s">
        <v>129</v>
      </c>
      <c r="AN2170" t="s">
        <v>130</v>
      </c>
      <c r="AP2170" t="s">
        <v>41</v>
      </c>
      <c r="AT2170" t="s">
        <v>45</v>
      </c>
      <c r="AZ2170" t="s">
        <v>51</v>
      </c>
      <c r="BA2170" t="s">
        <v>52</v>
      </c>
    </row>
    <row r="2171" spans="1:65" x14ac:dyDescent="0.2">
      <c r="A2171" t="s">
        <v>7613</v>
      </c>
      <c r="B2171" t="s">
        <v>3072</v>
      </c>
      <c r="C2171" t="s">
        <v>7744</v>
      </c>
      <c r="D2171" t="s">
        <v>2953</v>
      </c>
      <c r="E2171" t="s">
        <v>7745</v>
      </c>
      <c r="F2171" t="s">
        <v>118</v>
      </c>
      <c r="G2171" t="str">
        <f>HYPERLINK("https://vk.com/wall-61101621_254612?reply=254657")</f>
        <v>https://vk.com/wall-61101621_254612?reply=254657</v>
      </c>
      <c r="H2171" t="s">
        <v>119</v>
      </c>
      <c r="I2171" t="s">
        <v>7746</v>
      </c>
      <c r="J2171" t="str">
        <f>HYPERLINK("http://vk.com/id482478183")</f>
        <v>http://vk.com/id482478183</v>
      </c>
      <c r="M2171">
        <v>44</v>
      </c>
      <c r="N2171" t="s">
        <v>122</v>
      </c>
      <c r="O2171" t="s">
        <v>160</v>
      </c>
      <c r="P2171" t="str">
        <f>HYPERLINK("http://vk.com/club61101621")</f>
        <v>http://vk.com/club61101621</v>
      </c>
      <c r="Q2171">
        <v>21119</v>
      </c>
      <c r="R2171" t="s">
        <v>124</v>
      </c>
      <c r="S2171" t="s">
        <v>125</v>
      </c>
      <c r="T2171" t="s">
        <v>153</v>
      </c>
      <c r="U2171" t="s">
        <v>6581</v>
      </c>
      <c r="W2171">
        <v>0</v>
      </c>
      <c r="X2171">
        <v>0</v>
      </c>
      <c r="AM2171" t="s">
        <v>129</v>
      </c>
      <c r="AN2171" t="s">
        <v>130</v>
      </c>
      <c r="AP2171" t="s">
        <v>41</v>
      </c>
      <c r="AZ2171" t="s">
        <v>51</v>
      </c>
      <c r="BA2171" t="s">
        <v>52</v>
      </c>
      <c r="BL2171" t="s">
        <v>63</v>
      </c>
    </row>
    <row r="2172" spans="1:65" x14ac:dyDescent="0.2">
      <c r="A2172" t="s">
        <v>7613</v>
      </c>
      <c r="B2172" t="s">
        <v>3076</v>
      </c>
      <c r="C2172" t="s">
        <v>7747</v>
      </c>
      <c r="D2172" t="s">
        <v>7512</v>
      </c>
      <c r="E2172" t="s">
        <v>7748</v>
      </c>
      <c r="F2172" t="s">
        <v>118</v>
      </c>
      <c r="G2172" t="str">
        <f>HYPERLINK("https://ok.ru/group/52172741083275/topic/153800758578059#MTYyNjI2ODMwMTA1NzotMTM0NDc6MTYyNjI2ODMwMTA1NzoxNTM4MDA3NTg1NzgwNTk6MQ==")</f>
        <v>https://ok.ru/group/52172741083275/topic/153800758578059#MTYyNjI2ODMwMTA1NzotMTM0NDc6MTYyNjI2ODMwMTA1NzoxNTM4MDA3NTg1NzgwNTk6MQ==</v>
      </c>
      <c r="H2172" t="s">
        <v>119</v>
      </c>
      <c r="I2172" t="s">
        <v>7749</v>
      </c>
      <c r="J2172" t="str">
        <f>HYPERLINK("https://ok.ru/profile/574402780498")</f>
        <v>https://ok.ru/profile/574402780498</v>
      </c>
      <c r="K2172">
        <v>17</v>
      </c>
      <c r="L2172" t="s">
        <v>151</v>
      </c>
      <c r="M2172">
        <v>39</v>
      </c>
      <c r="N2172" t="s">
        <v>347</v>
      </c>
      <c r="O2172" t="s">
        <v>4687</v>
      </c>
      <c r="P2172" t="str">
        <f>HYPERLINK("https://ok.ru/group/52172741083275")</f>
        <v>https://ok.ru/group/52172741083275</v>
      </c>
      <c r="Q2172">
        <v>27667</v>
      </c>
      <c r="R2172" t="s">
        <v>124</v>
      </c>
      <c r="S2172" t="s">
        <v>125</v>
      </c>
      <c r="T2172" t="s">
        <v>2566</v>
      </c>
      <c r="U2172" t="s">
        <v>3647</v>
      </c>
      <c r="W2172">
        <v>0</v>
      </c>
      <c r="X2172">
        <v>0</v>
      </c>
      <c r="AM2172" t="s">
        <v>129</v>
      </c>
      <c r="AN2172" t="s">
        <v>130</v>
      </c>
      <c r="AP2172" t="s">
        <v>41</v>
      </c>
      <c r="AZ2172" t="s">
        <v>51</v>
      </c>
      <c r="BA2172" t="s">
        <v>52</v>
      </c>
      <c r="BM2172" t="s">
        <v>64</v>
      </c>
    </row>
    <row r="2173" spans="1:65" x14ac:dyDescent="0.2">
      <c r="A2173" t="s">
        <v>7613</v>
      </c>
      <c r="B2173" t="s">
        <v>7750</v>
      </c>
      <c r="C2173" t="s">
        <v>7751</v>
      </c>
      <c r="D2173" t="s">
        <v>6297</v>
      </c>
      <c r="E2173" t="s">
        <v>7752</v>
      </c>
      <c r="F2173" t="s">
        <v>118</v>
      </c>
      <c r="G2173" t="str">
        <f>HYPERLINK("https://vk.com/wall-1072740_167134?reply=167233&amp;thread=167139")</f>
        <v>https://vk.com/wall-1072740_167134?reply=167233&amp;thread=167139</v>
      </c>
      <c r="H2173" t="s">
        <v>119</v>
      </c>
      <c r="I2173" t="s">
        <v>7753</v>
      </c>
      <c r="J2173" t="str">
        <f>HYPERLINK("http://vk.com/id5811925")</f>
        <v>http://vk.com/id5811925</v>
      </c>
      <c r="K2173">
        <v>245</v>
      </c>
      <c r="L2173" t="s">
        <v>151</v>
      </c>
      <c r="N2173" t="s">
        <v>122</v>
      </c>
      <c r="O2173" t="s">
        <v>6300</v>
      </c>
      <c r="P2173" t="str">
        <f>HYPERLINK("http://vk.com/club1072740")</f>
        <v>http://vk.com/club1072740</v>
      </c>
      <c r="Q2173">
        <v>15812</v>
      </c>
      <c r="R2173" t="s">
        <v>124</v>
      </c>
      <c r="S2173" t="s">
        <v>125</v>
      </c>
      <c r="T2173" t="s">
        <v>137</v>
      </c>
      <c r="U2173" t="s">
        <v>137</v>
      </c>
      <c r="AM2173" t="s">
        <v>129</v>
      </c>
      <c r="AN2173" t="s">
        <v>130</v>
      </c>
      <c r="AP2173" t="s">
        <v>41</v>
      </c>
      <c r="AW2173" t="s">
        <v>48</v>
      </c>
      <c r="AZ2173" t="s">
        <v>51</v>
      </c>
      <c r="BA2173" t="s">
        <v>52</v>
      </c>
    </row>
    <row r="2174" spans="1:65" x14ac:dyDescent="0.2">
      <c r="A2174" t="s">
        <v>7613</v>
      </c>
      <c r="B2174" t="s">
        <v>7754</v>
      </c>
      <c r="C2174" t="s">
        <v>7755</v>
      </c>
      <c r="D2174" t="s">
        <v>2953</v>
      </c>
      <c r="E2174" t="s">
        <v>7756</v>
      </c>
      <c r="F2174" t="s">
        <v>118</v>
      </c>
      <c r="G2174" t="str">
        <f>HYPERLINK("https://vk.com/wall-61101621_254612?w=wall-61101621_254612_r254656")</f>
        <v>https://vk.com/wall-61101621_254612?w=wall-61101621_254612_r254656</v>
      </c>
      <c r="H2174" t="s">
        <v>119</v>
      </c>
      <c r="I2174" t="s">
        <v>564</v>
      </c>
      <c r="J2174" t="str">
        <f>HYPERLINK("http://vk.com/id362607601")</f>
        <v>http://vk.com/id362607601</v>
      </c>
      <c r="K2174">
        <v>266</v>
      </c>
      <c r="L2174" t="s">
        <v>121</v>
      </c>
      <c r="N2174" t="s">
        <v>122</v>
      </c>
      <c r="O2174" t="s">
        <v>160</v>
      </c>
      <c r="P2174" t="str">
        <f>HYPERLINK("http://vk.com/club61101621")</f>
        <v>http://vk.com/club61101621</v>
      </c>
      <c r="Q2174">
        <v>21119</v>
      </c>
      <c r="R2174" t="s">
        <v>124</v>
      </c>
      <c r="S2174" t="s">
        <v>125</v>
      </c>
      <c r="T2174" t="s">
        <v>169</v>
      </c>
      <c r="U2174" t="s">
        <v>169</v>
      </c>
      <c r="W2174">
        <v>0</v>
      </c>
      <c r="X2174">
        <v>0</v>
      </c>
      <c r="AM2174" t="s">
        <v>129</v>
      </c>
      <c r="AN2174" t="s">
        <v>130</v>
      </c>
      <c r="AP2174" t="s">
        <v>41</v>
      </c>
      <c r="AW2174" t="s">
        <v>48</v>
      </c>
      <c r="AZ2174" t="s">
        <v>51</v>
      </c>
      <c r="BA2174" t="s">
        <v>52</v>
      </c>
      <c r="BM2174" t="s">
        <v>64</v>
      </c>
    </row>
    <row r="2175" spans="1:65" x14ac:dyDescent="0.2">
      <c r="A2175" t="s">
        <v>7613</v>
      </c>
      <c r="B2175" t="s">
        <v>4749</v>
      </c>
      <c r="C2175" t="s">
        <v>7757</v>
      </c>
      <c r="D2175" t="s">
        <v>7758</v>
      </c>
      <c r="E2175" t="s">
        <v>7759</v>
      </c>
      <c r="F2175" t="s">
        <v>180</v>
      </c>
      <c r="G2175" t="str">
        <f>HYPERLINK("https://forum.auto.ru/audiovideo/295041/#post-295066")</f>
        <v>https://forum.auto.ru/audiovideo/295041/#post-295066</v>
      </c>
      <c r="H2175" t="s">
        <v>119</v>
      </c>
      <c r="I2175" t="s">
        <v>4533</v>
      </c>
      <c r="J2175" t="str">
        <f>HYPERLINK("https://auto.ru/profile/9114/")</f>
        <v>https://auto.ru/profile/9114/</v>
      </c>
      <c r="N2175" t="s">
        <v>4534</v>
      </c>
      <c r="O2175" t="s">
        <v>7760</v>
      </c>
      <c r="P2175" t="str">
        <f>HYPERLINK("https://forum.auto.ru/audiovideo/")</f>
        <v>https://forum.auto.ru/audiovideo/</v>
      </c>
      <c r="R2175" t="s">
        <v>295</v>
      </c>
      <c r="S2175" t="s">
        <v>125</v>
      </c>
      <c r="AM2175" t="s">
        <v>129</v>
      </c>
      <c r="AN2175" t="s">
        <v>130</v>
      </c>
      <c r="AP2175" t="s">
        <v>41</v>
      </c>
      <c r="AT2175" t="s">
        <v>45</v>
      </c>
      <c r="AZ2175" t="s">
        <v>51</v>
      </c>
      <c r="BA2175" t="s">
        <v>52</v>
      </c>
    </row>
    <row r="2176" spans="1:65" x14ac:dyDescent="0.2">
      <c r="A2176" t="s">
        <v>7613</v>
      </c>
      <c r="B2176" t="s">
        <v>2023</v>
      </c>
      <c r="C2176" t="s">
        <v>7747</v>
      </c>
      <c r="D2176" t="s">
        <v>7512</v>
      </c>
      <c r="E2176" t="s">
        <v>7761</v>
      </c>
      <c r="F2176" t="s">
        <v>118</v>
      </c>
      <c r="G2176" t="str">
        <f>HYPERLINK("https://ok.ru/group/52172741083275/topic/153800758578059#MTYyNjI2NzEzOTM2MTotMTMyMTM6MTYyNjI2NzEzOTM2MToxNTM4MDA3NTg1NzgwNTk6MQ==")</f>
        <v>https://ok.ru/group/52172741083275/topic/153800758578059#MTYyNjI2NzEzOTM2MTotMTMyMTM6MTYyNjI2NzEzOTM2MToxNTM4MDA3NTg1NzgwNTk6MQ==</v>
      </c>
      <c r="H2176" t="s">
        <v>119</v>
      </c>
      <c r="I2176" t="s">
        <v>7762</v>
      </c>
      <c r="J2176" t="str">
        <f>HYPERLINK("https://ok.ru/profile/588676837129")</f>
        <v>https://ok.ru/profile/588676837129</v>
      </c>
      <c r="K2176">
        <v>22</v>
      </c>
      <c r="L2176" t="s">
        <v>151</v>
      </c>
      <c r="M2176">
        <v>44</v>
      </c>
      <c r="N2176" t="s">
        <v>347</v>
      </c>
      <c r="O2176" t="s">
        <v>4687</v>
      </c>
      <c r="P2176" t="str">
        <f>HYPERLINK("https://ok.ru/group/52172741083275")</f>
        <v>https://ok.ru/group/52172741083275</v>
      </c>
      <c r="Q2176">
        <v>27667</v>
      </c>
      <c r="R2176" t="s">
        <v>124</v>
      </c>
      <c r="S2176" t="s">
        <v>125</v>
      </c>
      <c r="T2176" t="s">
        <v>230</v>
      </c>
      <c r="U2176" t="s">
        <v>231</v>
      </c>
      <c r="W2176">
        <v>0</v>
      </c>
      <c r="X2176">
        <v>0</v>
      </c>
      <c r="AM2176" t="s">
        <v>129</v>
      </c>
      <c r="AN2176" t="s">
        <v>130</v>
      </c>
      <c r="AP2176" t="s">
        <v>41</v>
      </c>
      <c r="AZ2176" t="s">
        <v>51</v>
      </c>
      <c r="BA2176" t="s">
        <v>52</v>
      </c>
      <c r="BL2176" t="s">
        <v>63</v>
      </c>
    </row>
    <row r="2177" spans="1:65" x14ac:dyDescent="0.2">
      <c r="A2177" t="s">
        <v>7613</v>
      </c>
      <c r="B2177" t="s">
        <v>2023</v>
      </c>
      <c r="C2177" t="s">
        <v>7393</v>
      </c>
      <c r="D2177" t="s">
        <v>7394</v>
      </c>
      <c r="E2177" t="s">
        <v>7763</v>
      </c>
      <c r="F2177" t="s">
        <v>180</v>
      </c>
      <c r="G2177" t="str">
        <f>HYPERLINK("https://www.wildberries.ru/catalog/27824475/detail.aspx?targetUrl=ES#Comments")</f>
        <v>https://www.wildberries.ru/catalog/27824475/detail.aspx?targetUrl=ES#Comments</v>
      </c>
      <c r="H2177" t="s">
        <v>181</v>
      </c>
      <c r="I2177" t="s">
        <v>7764</v>
      </c>
      <c r="J2177" t="str">
        <f>HYPERLINK("https://www.wildberries.ru/profile/w7TDssOkw7PCu8KzwrjCs8K5wrDCssKxwrU=")</f>
        <v>https://www.wildberries.ru/profile/w7TDssOkw7PCu8KzwrjCs8K5wrDCssKxwrU=</v>
      </c>
      <c r="L2177" t="s">
        <v>121</v>
      </c>
      <c r="N2177" t="s">
        <v>534</v>
      </c>
      <c r="O2177" t="s">
        <v>7394</v>
      </c>
      <c r="P2177" t="str">
        <f>HYPERLINK("https://www.wildberries.ru/catalog/20414642/detail.aspx")</f>
        <v>https://www.wildberries.ru/catalog/20414642/detail.aspx</v>
      </c>
      <c r="R2177" t="s">
        <v>184</v>
      </c>
      <c r="S2177" t="s">
        <v>125</v>
      </c>
      <c r="W2177">
        <v>0</v>
      </c>
      <c r="X2177">
        <v>0</v>
      </c>
      <c r="AH2177">
        <v>5</v>
      </c>
      <c r="AM2177" t="s">
        <v>129</v>
      </c>
      <c r="AN2177" t="s">
        <v>130</v>
      </c>
      <c r="AP2177" t="s">
        <v>41</v>
      </c>
      <c r="AZ2177" t="s">
        <v>51</v>
      </c>
      <c r="BA2177" t="s">
        <v>52</v>
      </c>
      <c r="BL2177" t="s">
        <v>63</v>
      </c>
    </row>
    <row r="2178" spans="1:65" x14ac:dyDescent="0.2">
      <c r="A2178" t="s">
        <v>7613</v>
      </c>
      <c r="B2178" t="s">
        <v>2028</v>
      </c>
      <c r="C2178" t="s">
        <v>5598</v>
      </c>
      <c r="D2178" t="s">
        <v>3482</v>
      </c>
      <c r="E2178" t="s">
        <v>7765</v>
      </c>
      <c r="F2178" t="s">
        <v>180</v>
      </c>
      <c r="G2178" t="str">
        <f>HYPERLINK("https://www.ozon.ru/context/detail/id/177837462/#59413685")</f>
        <v>https://www.ozon.ru/context/detail/id/177837462/#59413685</v>
      </c>
      <c r="H2178" t="s">
        <v>181</v>
      </c>
      <c r="I2178" t="s">
        <v>7766</v>
      </c>
      <c r="J2178" t="str">
        <f>HYPERLINK("https://www.ozon.ru/context/client_opinion/ClientGuid/1363ae67-24ee-488a-a2ac-ce8faf65681c/")</f>
        <v>https://www.ozon.ru/context/client_opinion/ClientGuid/1363ae67-24ee-488a-a2ac-ce8faf65681c/</v>
      </c>
      <c r="L2178" t="s">
        <v>151</v>
      </c>
      <c r="N2178" t="s">
        <v>183</v>
      </c>
      <c r="O2178" t="s">
        <v>3482</v>
      </c>
      <c r="P2178" t="str">
        <f>HYPERLINK("https://www.ozon.ru/context/detail/id/177837462/")</f>
        <v>https://www.ozon.ru/context/detail/id/177837462/</v>
      </c>
      <c r="R2178" t="s">
        <v>184</v>
      </c>
      <c r="S2178" t="s">
        <v>125</v>
      </c>
      <c r="W2178">
        <v>0</v>
      </c>
      <c r="X2178">
        <v>0</v>
      </c>
      <c r="AH2178">
        <v>5</v>
      </c>
      <c r="AM2178" t="s">
        <v>129</v>
      </c>
      <c r="AN2178" t="s">
        <v>130</v>
      </c>
      <c r="AP2178" t="s">
        <v>41</v>
      </c>
      <c r="AZ2178" t="s">
        <v>51</v>
      </c>
      <c r="BA2178" t="s">
        <v>52</v>
      </c>
      <c r="BK2178" t="s">
        <v>62</v>
      </c>
      <c r="BL2178" t="s">
        <v>63</v>
      </c>
    </row>
    <row r="2179" spans="1:65" x14ac:dyDescent="0.2">
      <c r="A2179" t="s">
        <v>7613</v>
      </c>
      <c r="B2179" t="s">
        <v>969</v>
      </c>
      <c r="C2179" t="s">
        <v>7767</v>
      </c>
      <c r="D2179" t="s">
        <v>7768</v>
      </c>
      <c r="E2179" t="s">
        <v>7769</v>
      </c>
      <c r="F2179" t="s">
        <v>118</v>
      </c>
      <c r="G2179" t="str">
        <f>HYPERLINK("https://vk.com/wall-81532215_1646206?reply=1646360&amp;thread=1646209")</f>
        <v>https://vk.com/wall-81532215_1646206?reply=1646360&amp;thread=1646209</v>
      </c>
      <c r="H2179" t="s">
        <v>119</v>
      </c>
      <c r="I2179" t="s">
        <v>7770</v>
      </c>
      <c r="J2179" t="str">
        <f>HYPERLINK("http://vk.com/id204570061")</f>
        <v>http://vk.com/id204570061</v>
      </c>
      <c r="K2179">
        <v>248</v>
      </c>
      <c r="L2179" t="s">
        <v>121</v>
      </c>
      <c r="M2179">
        <v>43</v>
      </c>
      <c r="N2179" t="s">
        <v>122</v>
      </c>
      <c r="O2179" t="s">
        <v>7771</v>
      </c>
      <c r="P2179" t="str">
        <f>HYPERLINK("http://vk.com/club81532215")</f>
        <v>http://vk.com/club81532215</v>
      </c>
      <c r="Q2179">
        <v>173102</v>
      </c>
      <c r="R2179" t="s">
        <v>124</v>
      </c>
      <c r="S2179" t="s">
        <v>125</v>
      </c>
      <c r="T2179" t="s">
        <v>767</v>
      </c>
      <c r="U2179" t="s">
        <v>4408</v>
      </c>
      <c r="AM2179" t="s">
        <v>129</v>
      </c>
      <c r="AN2179" t="s">
        <v>130</v>
      </c>
      <c r="AP2179" t="s">
        <v>41</v>
      </c>
      <c r="AU2179" t="s">
        <v>46</v>
      </c>
      <c r="AY2179" t="s">
        <v>50</v>
      </c>
      <c r="AZ2179" t="s">
        <v>51</v>
      </c>
      <c r="BA2179" t="s">
        <v>52</v>
      </c>
      <c r="BM2179" t="s">
        <v>64</v>
      </c>
    </row>
    <row r="2180" spans="1:65" x14ac:dyDescent="0.2">
      <c r="A2180" t="s">
        <v>7613</v>
      </c>
      <c r="B2180" t="s">
        <v>436</v>
      </c>
      <c r="C2180" t="s">
        <v>7772</v>
      </c>
      <c r="D2180" t="s">
        <v>7773</v>
      </c>
      <c r="E2180" t="s">
        <v>7774</v>
      </c>
      <c r="F2180" t="s">
        <v>180</v>
      </c>
      <c r="G2180" t="str">
        <f>HYPERLINK("https://www.tadviser.ru/a/349295")</f>
        <v>https://www.tadviser.ru/a/349295</v>
      </c>
      <c r="H2180" t="s">
        <v>119</v>
      </c>
      <c r="N2180" t="s">
        <v>7138</v>
      </c>
      <c r="R2180" t="s">
        <v>785</v>
      </c>
      <c r="S2180" t="s">
        <v>125</v>
      </c>
      <c r="AJ2180" t="s">
        <v>7775</v>
      </c>
      <c r="AK2180" t="s">
        <v>129</v>
      </c>
      <c r="AL2180" t="str">
        <f>HYPERLINK("https://tadviser.ru/images/b/b9/240Depositphotos_241844990_s-2019.jpg")</f>
        <v>https://tadviser.ru/images/b/b9/240Depositphotos_241844990_s-2019.jpg</v>
      </c>
      <c r="AM2180" t="s">
        <v>129</v>
      </c>
      <c r="AN2180" t="s">
        <v>130</v>
      </c>
      <c r="AV2180" t="s">
        <v>47</v>
      </c>
    </row>
    <row r="2181" spans="1:65" x14ac:dyDescent="0.2">
      <c r="A2181" t="s">
        <v>7613</v>
      </c>
      <c r="B2181" t="s">
        <v>442</v>
      </c>
      <c r="C2181" t="s">
        <v>7776</v>
      </c>
      <c r="D2181" t="s">
        <v>1326</v>
      </c>
      <c r="E2181" t="s">
        <v>7777</v>
      </c>
      <c r="F2181" t="s">
        <v>118</v>
      </c>
      <c r="G2181" t="str">
        <f>HYPERLINK("https://vk.com/topic-124657642_39299589?post=4875")</f>
        <v>https://vk.com/topic-124657642_39299589?post=4875</v>
      </c>
      <c r="H2181" t="s">
        <v>119</v>
      </c>
      <c r="I2181" t="s">
        <v>7778</v>
      </c>
      <c r="J2181" t="str">
        <f>HYPERLINK("http://vk.com/id614674622")</f>
        <v>http://vk.com/id614674622</v>
      </c>
      <c r="K2181">
        <v>5</v>
      </c>
      <c r="L2181" t="s">
        <v>151</v>
      </c>
      <c r="M2181">
        <v>14</v>
      </c>
      <c r="N2181" t="s">
        <v>122</v>
      </c>
      <c r="O2181" t="s">
        <v>427</v>
      </c>
      <c r="P2181" t="str">
        <f>HYPERLINK("http://vk.com/club124657642")</f>
        <v>http://vk.com/club124657642</v>
      </c>
      <c r="Q2181">
        <v>15373</v>
      </c>
      <c r="R2181" t="s">
        <v>124</v>
      </c>
      <c r="S2181" t="s">
        <v>125</v>
      </c>
      <c r="T2181" t="s">
        <v>137</v>
      </c>
      <c r="U2181" t="s">
        <v>137</v>
      </c>
      <c r="AM2181" t="s">
        <v>129</v>
      </c>
      <c r="AN2181" t="s">
        <v>130</v>
      </c>
      <c r="AP2181" t="s">
        <v>41</v>
      </c>
      <c r="AY2181" t="s">
        <v>50</v>
      </c>
      <c r="BA2181" t="s">
        <v>52</v>
      </c>
      <c r="BE2181" t="s">
        <v>56</v>
      </c>
    </row>
    <row r="2182" spans="1:65" x14ac:dyDescent="0.2">
      <c r="A2182" t="s">
        <v>7613</v>
      </c>
      <c r="B2182" t="s">
        <v>3805</v>
      </c>
      <c r="C2182" t="s">
        <v>7779</v>
      </c>
      <c r="D2182" t="s">
        <v>1326</v>
      </c>
      <c r="E2182" t="s">
        <v>7780</v>
      </c>
      <c r="F2182" t="s">
        <v>118</v>
      </c>
      <c r="G2182" t="str">
        <f>HYPERLINK("https://vk.com/topic-124657642_39299589?post=4874")</f>
        <v>https://vk.com/topic-124657642_39299589?post=4874</v>
      </c>
      <c r="H2182" t="s">
        <v>119</v>
      </c>
      <c r="I2182" t="s">
        <v>7778</v>
      </c>
      <c r="J2182" t="str">
        <f>HYPERLINK("http://vk.com/id614674622")</f>
        <v>http://vk.com/id614674622</v>
      </c>
      <c r="K2182">
        <v>5</v>
      </c>
      <c r="L2182" t="s">
        <v>151</v>
      </c>
      <c r="M2182">
        <v>14</v>
      </c>
      <c r="N2182" t="s">
        <v>122</v>
      </c>
      <c r="O2182" t="s">
        <v>427</v>
      </c>
      <c r="P2182" t="str">
        <f>HYPERLINK("http://vk.com/club124657642")</f>
        <v>http://vk.com/club124657642</v>
      </c>
      <c r="Q2182">
        <v>15373</v>
      </c>
      <c r="R2182" t="s">
        <v>124</v>
      </c>
      <c r="S2182" t="s">
        <v>125</v>
      </c>
      <c r="T2182" t="s">
        <v>137</v>
      </c>
      <c r="U2182" t="s">
        <v>137</v>
      </c>
      <c r="AM2182" t="s">
        <v>129</v>
      </c>
      <c r="AN2182" t="s">
        <v>130</v>
      </c>
      <c r="AP2182" t="s">
        <v>41</v>
      </c>
      <c r="AY2182" t="s">
        <v>50</v>
      </c>
      <c r="BA2182" t="s">
        <v>52</v>
      </c>
      <c r="BE2182" t="s">
        <v>56</v>
      </c>
    </row>
    <row r="2183" spans="1:65" x14ac:dyDescent="0.2">
      <c r="A2183" t="s">
        <v>7613</v>
      </c>
      <c r="B2183" t="s">
        <v>5684</v>
      </c>
      <c r="C2183" t="s">
        <v>7779</v>
      </c>
      <c r="D2183" t="s">
        <v>1326</v>
      </c>
      <c r="E2183" t="s">
        <v>7781</v>
      </c>
      <c r="F2183" t="s">
        <v>118</v>
      </c>
      <c r="G2183" t="str">
        <f>HYPERLINK("https://vk.com/topic-124657642_39299589?post=4872")</f>
        <v>https://vk.com/topic-124657642_39299589?post=4872</v>
      </c>
      <c r="H2183" t="s">
        <v>119</v>
      </c>
      <c r="I2183" t="s">
        <v>7778</v>
      </c>
      <c r="J2183" t="str">
        <f>HYPERLINK("http://vk.com/id614674622")</f>
        <v>http://vk.com/id614674622</v>
      </c>
      <c r="K2183">
        <v>5</v>
      </c>
      <c r="L2183" t="s">
        <v>151</v>
      </c>
      <c r="M2183">
        <v>14</v>
      </c>
      <c r="N2183" t="s">
        <v>122</v>
      </c>
      <c r="O2183" t="s">
        <v>427</v>
      </c>
      <c r="P2183" t="str">
        <f>HYPERLINK("http://vk.com/club124657642")</f>
        <v>http://vk.com/club124657642</v>
      </c>
      <c r="Q2183">
        <v>15373</v>
      </c>
      <c r="R2183" t="s">
        <v>124</v>
      </c>
      <c r="S2183" t="s">
        <v>125</v>
      </c>
      <c r="T2183" t="s">
        <v>137</v>
      </c>
      <c r="U2183" t="s">
        <v>137</v>
      </c>
      <c r="AM2183" t="s">
        <v>129</v>
      </c>
      <c r="AN2183" t="s">
        <v>130</v>
      </c>
      <c r="AP2183" t="s">
        <v>41</v>
      </c>
      <c r="AY2183" t="s">
        <v>50</v>
      </c>
      <c r="BA2183" t="s">
        <v>52</v>
      </c>
      <c r="BE2183" t="s">
        <v>56</v>
      </c>
    </row>
    <row r="2184" spans="1:65" x14ac:dyDescent="0.2">
      <c r="A2184" t="s">
        <v>7613</v>
      </c>
      <c r="B2184" t="s">
        <v>3088</v>
      </c>
      <c r="C2184" t="s">
        <v>7782</v>
      </c>
      <c r="D2184" t="s">
        <v>1326</v>
      </c>
      <c r="E2184" t="s">
        <v>7783</v>
      </c>
      <c r="F2184" t="s">
        <v>118</v>
      </c>
      <c r="G2184" t="str">
        <f>HYPERLINK("https://vk.com/topic-124657642_39299589?post=4871")</f>
        <v>https://vk.com/topic-124657642_39299589?post=4871</v>
      </c>
      <c r="H2184" t="s">
        <v>119</v>
      </c>
      <c r="I2184" t="s">
        <v>7778</v>
      </c>
      <c r="J2184" t="str">
        <f>HYPERLINK("http://vk.com/id614674622")</f>
        <v>http://vk.com/id614674622</v>
      </c>
      <c r="K2184">
        <v>5</v>
      </c>
      <c r="L2184" t="s">
        <v>151</v>
      </c>
      <c r="M2184">
        <v>14</v>
      </c>
      <c r="N2184" t="s">
        <v>122</v>
      </c>
      <c r="O2184" t="s">
        <v>427</v>
      </c>
      <c r="P2184" t="str">
        <f>HYPERLINK("http://vk.com/club124657642")</f>
        <v>http://vk.com/club124657642</v>
      </c>
      <c r="Q2184">
        <v>15373</v>
      </c>
      <c r="R2184" t="s">
        <v>124</v>
      </c>
      <c r="S2184" t="s">
        <v>125</v>
      </c>
      <c r="T2184" t="s">
        <v>137</v>
      </c>
      <c r="U2184" t="s">
        <v>137</v>
      </c>
      <c r="AM2184" t="s">
        <v>129</v>
      </c>
      <c r="AN2184" t="s">
        <v>130</v>
      </c>
      <c r="AP2184" t="s">
        <v>41</v>
      </c>
      <c r="AY2184" t="s">
        <v>50</v>
      </c>
      <c r="BA2184" t="s">
        <v>52</v>
      </c>
      <c r="BE2184" t="s">
        <v>56</v>
      </c>
    </row>
    <row r="2185" spans="1:65" x14ac:dyDescent="0.2">
      <c r="A2185" t="s">
        <v>7613</v>
      </c>
      <c r="B2185" t="s">
        <v>2032</v>
      </c>
      <c r="C2185" t="s">
        <v>5601</v>
      </c>
      <c r="D2185" t="s">
        <v>4132</v>
      </c>
      <c r="E2185" t="s">
        <v>7784</v>
      </c>
      <c r="F2185" t="s">
        <v>180</v>
      </c>
      <c r="G2185" t="str">
        <f>HYPERLINK("https://www.ozon.ru/context/detail/id/247515750/#59408626")</f>
        <v>https://www.ozon.ru/context/detail/id/247515750/#59408626</v>
      </c>
      <c r="H2185" t="s">
        <v>181</v>
      </c>
      <c r="I2185" t="s">
        <v>7785</v>
      </c>
      <c r="J2185" t="str">
        <f>HYPERLINK("https://www.ozon.ru/context/client_opinion/ClientGuid/bdbce45c-a811-4476-99f1-8b0aa3f8d8f0/")</f>
        <v>https://www.ozon.ru/context/client_opinion/ClientGuid/bdbce45c-a811-4476-99f1-8b0aa3f8d8f0/</v>
      </c>
      <c r="L2185" t="s">
        <v>121</v>
      </c>
      <c r="N2185" t="s">
        <v>183</v>
      </c>
      <c r="O2185" t="s">
        <v>4132</v>
      </c>
      <c r="P2185" t="str">
        <f>HYPERLINK("https://www.ozon.ru/context/detail/id/247515750/")</f>
        <v>https://www.ozon.ru/context/detail/id/247515750/</v>
      </c>
      <c r="R2185" t="s">
        <v>184</v>
      </c>
      <c r="S2185" t="s">
        <v>125</v>
      </c>
      <c r="W2185">
        <v>0</v>
      </c>
      <c r="X2185">
        <v>0</v>
      </c>
      <c r="AH2185">
        <v>5</v>
      </c>
      <c r="AM2185" t="s">
        <v>129</v>
      </c>
      <c r="AN2185" t="s">
        <v>130</v>
      </c>
      <c r="AP2185" t="s">
        <v>41</v>
      </c>
      <c r="AT2185" t="s">
        <v>45</v>
      </c>
      <c r="AZ2185" t="s">
        <v>51</v>
      </c>
      <c r="BA2185" t="s">
        <v>52</v>
      </c>
      <c r="BL2185" t="s">
        <v>63</v>
      </c>
    </row>
    <row r="2186" spans="1:65" x14ac:dyDescent="0.2">
      <c r="A2186" t="s">
        <v>7613</v>
      </c>
      <c r="B2186" t="s">
        <v>1540</v>
      </c>
      <c r="C2186" t="s">
        <v>7786</v>
      </c>
      <c r="D2186" t="s">
        <v>7787</v>
      </c>
      <c r="E2186" t="s">
        <v>7788</v>
      </c>
      <c r="F2186" t="s">
        <v>180</v>
      </c>
      <c r="G2186" t="str">
        <f>HYPERLINK("https://www.ozon.ru/context/detail/id/220369466/#59404785")</f>
        <v>https://www.ozon.ru/context/detail/id/220369466/#59404785</v>
      </c>
      <c r="H2186" t="s">
        <v>119</v>
      </c>
      <c r="I2186" t="s">
        <v>7789</v>
      </c>
      <c r="J2186" t="str">
        <f>HYPERLINK("https://www.ozon.ru/context/client_opinion/ClientGuid/548022e1-7742-46f2-a92d-11f02496ce2e/")</f>
        <v>https://www.ozon.ru/context/client_opinion/ClientGuid/548022e1-7742-46f2-a92d-11f02496ce2e/</v>
      </c>
      <c r="L2186" t="s">
        <v>151</v>
      </c>
      <c r="N2186" t="s">
        <v>183</v>
      </c>
      <c r="O2186" t="s">
        <v>7787</v>
      </c>
      <c r="P2186" t="str">
        <f>HYPERLINK("https://www.ozon.ru/context/detail/id/220369466/")</f>
        <v>https://www.ozon.ru/context/detail/id/220369466/</v>
      </c>
      <c r="R2186" t="s">
        <v>184</v>
      </c>
      <c r="S2186" t="s">
        <v>125</v>
      </c>
      <c r="W2186">
        <v>0</v>
      </c>
      <c r="X2186">
        <v>0</v>
      </c>
      <c r="AH2186">
        <v>1</v>
      </c>
      <c r="AM2186" t="s">
        <v>129</v>
      </c>
      <c r="AN2186" t="s">
        <v>130</v>
      </c>
      <c r="AP2186" t="s">
        <v>41</v>
      </c>
      <c r="AZ2186" t="s">
        <v>51</v>
      </c>
      <c r="BA2186" t="s">
        <v>52</v>
      </c>
      <c r="BK2186" t="s">
        <v>62</v>
      </c>
    </row>
    <row r="2187" spans="1:65" x14ac:dyDescent="0.2">
      <c r="A2187" t="s">
        <v>7613</v>
      </c>
      <c r="B2187" t="s">
        <v>6786</v>
      </c>
      <c r="C2187" t="s">
        <v>7790</v>
      </c>
      <c r="D2187" t="s">
        <v>7791</v>
      </c>
      <c r="E2187" t="s">
        <v>7792</v>
      </c>
      <c r="F2187" t="s">
        <v>118</v>
      </c>
      <c r="G2187" t="str">
        <f>HYPERLINK("https://vk.com/wall-27863223_291278?reply=291774")</f>
        <v>https://vk.com/wall-27863223_291278?reply=291774</v>
      </c>
      <c r="H2187" t="s">
        <v>119</v>
      </c>
      <c r="I2187" t="s">
        <v>7793</v>
      </c>
      <c r="J2187" t="str">
        <f>HYPERLINK("http://vk.com/id463949086")</f>
        <v>http://vk.com/id463949086</v>
      </c>
      <c r="K2187">
        <v>860</v>
      </c>
      <c r="L2187" t="s">
        <v>121</v>
      </c>
      <c r="M2187">
        <v>31</v>
      </c>
      <c r="N2187" t="s">
        <v>122</v>
      </c>
      <c r="O2187" t="s">
        <v>175</v>
      </c>
      <c r="P2187" t="str">
        <f>HYPERLINK("http://vk.com/club27863223")</f>
        <v>http://vk.com/club27863223</v>
      </c>
      <c r="Q2187">
        <v>134698</v>
      </c>
      <c r="R2187" t="s">
        <v>124</v>
      </c>
      <c r="S2187" t="s">
        <v>125</v>
      </c>
      <c r="W2187">
        <v>0</v>
      </c>
      <c r="X2187">
        <v>0</v>
      </c>
      <c r="AM2187" t="s">
        <v>129</v>
      </c>
      <c r="AN2187" t="s">
        <v>130</v>
      </c>
      <c r="AP2187" t="s">
        <v>41</v>
      </c>
      <c r="AU2187" t="s">
        <v>46</v>
      </c>
      <c r="BA2187" t="s">
        <v>52</v>
      </c>
      <c r="BE2187" t="s">
        <v>56</v>
      </c>
    </row>
    <row r="2188" spans="1:65" x14ac:dyDescent="0.2">
      <c r="A2188" t="s">
        <v>7613</v>
      </c>
      <c r="B2188" t="s">
        <v>3126</v>
      </c>
      <c r="C2188" t="s">
        <v>7794</v>
      </c>
      <c r="D2188" t="s">
        <v>129</v>
      </c>
      <c r="E2188" t="s">
        <v>7669</v>
      </c>
      <c r="F2188" t="s">
        <v>180</v>
      </c>
      <c r="G2188" t="str">
        <f>HYPERLINK("https://vk.com/wall-61101621_254653")</f>
        <v>https://vk.com/wall-61101621_254653</v>
      </c>
      <c r="H2188" t="s">
        <v>119</v>
      </c>
      <c r="I2188" t="s">
        <v>7795</v>
      </c>
      <c r="J2188" t="str">
        <f>HYPERLINK("http://vk.com/id455271124")</f>
        <v>http://vk.com/id455271124</v>
      </c>
      <c r="K2188">
        <v>109</v>
      </c>
      <c r="L2188" t="s">
        <v>121</v>
      </c>
      <c r="M2188">
        <v>35</v>
      </c>
      <c r="N2188" t="s">
        <v>122</v>
      </c>
      <c r="O2188" t="s">
        <v>160</v>
      </c>
      <c r="P2188" t="str">
        <f>HYPERLINK("http://vk.com/club61101621")</f>
        <v>http://vk.com/club61101621</v>
      </c>
      <c r="Q2188">
        <v>21119</v>
      </c>
      <c r="R2188" t="s">
        <v>124</v>
      </c>
      <c r="S2188" t="s">
        <v>125</v>
      </c>
      <c r="T2188" t="s">
        <v>169</v>
      </c>
      <c r="U2188" t="s">
        <v>169</v>
      </c>
      <c r="W2188">
        <v>5</v>
      </c>
      <c r="X2188">
        <v>5</v>
      </c>
      <c r="AE2188">
        <v>5</v>
      </c>
      <c r="AF2188">
        <v>0</v>
      </c>
      <c r="AG2188">
        <v>2186</v>
      </c>
      <c r="AM2188" t="s">
        <v>129</v>
      </c>
      <c r="AN2188" t="s">
        <v>130</v>
      </c>
      <c r="AP2188" t="s">
        <v>41</v>
      </c>
      <c r="AU2188" t="s">
        <v>46</v>
      </c>
      <c r="AW2188" t="s">
        <v>48</v>
      </c>
      <c r="AZ2188" t="s">
        <v>51</v>
      </c>
      <c r="BA2188" t="s">
        <v>52</v>
      </c>
    </row>
    <row r="2189" spans="1:65" x14ac:dyDescent="0.2">
      <c r="A2189" t="s">
        <v>7613</v>
      </c>
      <c r="B2189" t="s">
        <v>7796</v>
      </c>
      <c r="C2189" t="s">
        <v>7797</v>
      </c>
      <c r="D2189" t="s">
        <v>7798</v>
      </c>
      <c r="E2189" t="s">
        <v>7799</v>
      </c>
      <c r="F2189" t="s">
        <v>118</v>
      </c>
      <c r="G2189" t="str">
        <f>HYPERLINK("https://vk.com/topic-49381792_34501097?post=29749")</f>
        <v>https://vk.com/topic-49381792_34501097?post=29749</v>
      </c>
      <c r="H2189" t="s">
        <v>119</v>
      </c>
      <c r="I2189" t="s">
        <v>7800</v>
      </c>
      <c r="J2189" t="str">
        <f>HYPERLINK("http://vk.com/id250679203")</f>
        <v>http://vk.com/id250679203</v>
      </c>
      <c r="K2189">
        <v>259</v>
      </c>
      <c r="L2189" t="s">
        <v>121</v>
      </c>
      <c r="N2189" t="s">
        <v>122</v>
      </c>
      <c r="O2189" t="s">
        <v>7801</v>
      </c>
      <c r="P2189" t="str">
        <f>HYPERLINK("http://vk.com/club49381792")</f>
        <v>http://vk.com/club49381792</v>
      </c>
      <c r="Q2189">
        <v>20931</v>
      </c>
      <c r="R2189" t="s">
        <v>124</v>
      </c>
      <c r="S2189" t="s">
        <v>125</v>
      </c>
      <c r="T2189" t="s">
        <v>1045</v>
      </c>
      <c r="U2189" t="s">
        <v>3843</v>
      </c>
      <c r="AM2189" t="s">
        <v>129</v>
      </c>
      <c r="AN2189" t="s">
        <v>130</v>
      </c>
      <c r="AP2189" t="s">
        <v>41</v>
      </c>
      <c r="AU2189" t="s">
        <v>46</v>
      </c>
      <c r="AZ2189" t="s">
        <v>51</v>
      </c>
      <c r="BA2189" t="s">
        <v>52</v>
      </c>
    </row>
    <row r="2190" spans="1:65" x14ac:dyDescent="0.2">
      <c r="A2190" t="s">
        <v>7613</v>
      </c>
      <c r="B2190" t="s">
        <v>1588</v>
      </c>
      <c r="C2190" t="s">
        <v>7802</v>
      </c>
      <c r="D2190" t="s">
        <v>7179</v>
      </c>
      <c r="E2190" t="s">
        <v>7803</v>
      </c>
      <c r="F2190" t="s">
        <v>118</v>
      </c>
      <c r="G2190" t="str">
        <f>HYPERLINK("https://otzovik.com/review_12164109.html#89920955")</f>
        <v>https://otzovik.com/review_12164109.html#89920955</v>
      </c>
      <c r="H2190" t="s">
        <v>181</v>
      </c>
      <c r="I2190" t="s">
        <v>7804</v>
      </c>
      <c r="J2190" t="str">
        <f>HYPERLINK("http://otzovik.com/profile/20Анжелика20")</f>
        <v>http://otzovik.com/profile/20Анжелика20</v>
      </c>
      <c r="N2190" t="s">
        <v>390</v>
      </c>
      <c r="O2190" t="s">
        <v>7181</v>
      </c>
      <c r="P2190" t="str">
        <f>HYPERLINK("https://otzovik.com/reviews/sputnikoviy_resiver_general_satellite_u510_trikolor_tv/")</f>
        <v>https://otzovik.com/reviews/sputnikoviy_resiver_general_satellite_u510_trikolor_tv/</v>
      </c>
      <c r="R2190" t="s">
        <v>184</v>
      </c>
      <c r="S2190" t="s">
        <v>125</v>
      </c>
      <c r="AM2190" t="s">
        <v>129</v>
      </c>
      <c r="AN2190" t="s">
        <v>130</v>
      </c>
      <c r="AP2190" t="s">
        <v>41</v>
      </c>
      <c r="AZ2190" t="s">
        <v>51</v>
      </c>
      <c r="BA2190" t="s">
        <v>52</v>
      </c>
      <c r="BL2190" t="s">
        <v>63</v>
      </c>
    </row>
    <row r="2191" spans="1:65" x14ac:dyDescent="0.2">
      <c r="A2191" t="s">
        <v>7613</v>
      </c>
      <c r="B2191" t="s">
        <v>2604</v>
      </c>
      <c r="C2191" t="s">
        <v>7805</v>
      </c>
      <c r="D2191" t="s">
        <v>7806</v>
      </c>
      <c r="E2191" t="s">
        <v>7807</v>
      </c>
      <c r="F2191" t="s">
        <v>118</v>
      </c>
      <c r="G2191" t="str">
        <f>HYPERLINK("https://vk.com/wall-90623832_1960591?reply=1960610")</f>
        <v>https://vk.com/wall-90623832_1960591?reply=1960610</v>
      </c>
      <c r="H2191" t="s">
        <v>181</v>
      </c>
      <c r="I2191" t="s">
        <v>7808</v>
      </c>
      <c r="J2191" t="str">
        <f>HYPERLINK("http://vk.com/id79580937")</f>
        <v>http://vk.com/id79580937</v>
      </c>
      <c r="K2191">
        <v>140</v>
      </c>
      <c r="L2191" t="s">
        <v>121</v>
      </c>
      <c r="N2191" t="s">
        <v>122</v>
      </c>
      <c r="O2191" t="s">
        <v>4963</v>
      </c>
      <c r="P2191" t="str">
        <f>HYPERLINK("http://vk.com/club90623832")</f>
        <v>http://vk.com/club90623832</v>
      </c>
      <c r="Q2191">
        <v>60464</v>
      </c>
      <c r="R2191" t="s">
        <v>124</v>
      </c>
      <c r="S2191" t="s">
        <v>125</v>
      </c>
      <c r="T2191" t="s">
        <v>1229</v>
      </c>
      <c r="U2191" t="s">
        <v>4964</v>
      </c>
      <c r="AM2191" t="s">
        <v>129</v>
      </c>
      <c r="AN2191" t="s">
        <v>130</v>
      </c>
      <c r="AP2191" t="s">
        <v>41</v>
      </c>
      <c r="AZ2191" t="s">
        <v>51</v>
      </c>
      <c r="BA2191" t="s">
        <v>52</v>
      </c>
    </row>
    <row r="2192" spans="1:65" x14ac:dyDescent="0.2">
      <c r="A2192" t="s">
        <v>7613</v>
      </c>
      <c r="B2192" t="s">
        <v>2611</v>
      </c>
      <c r="C2192" t="s">
        <v>7809</v>
      </c>
      <c r="D2192" t="s">
        <v>6297</v>
      </c>
      <c r="E2192" t="s">
        <v>7810</v>
      </c>
      <c r="F2192" t="s">
        <v>118</v>
      </c>
      <c r="G2192" t="str">
        <f>HYPERLINK("https://vk.com/wall-1072740_167134?reply=167207&amp;thread=167139")</f>
        <v>https://vk.com/wall-1072740_167134?reply=167207&amp;thread=167139</v>
      </c>
      <c r="H2192" t="s">
        <v>228</v>
      </c>
      <c r="I2192" t="s">
        <v>7811</v>
      </c>
      <c r="J2192" t="str">
        <f>HYPERLINK("http://vk.com/id1029518")</f>
        <v>http://vk.com/id1029518</v>
      </c>
      <c r="K2192">
        <v>968</v>
      </c>
      <c r="L2192" t="s">
        <v>151</v>
      </c>
      <c r="N2192" t="s">
        <v>122</v>
      </c>
      <c r="O2192" t="s">
        <v>6300</v>
      </c>
      <c r="P2192" t="str">
        <f>HYPERLINK("http://vk.com/club1072740")</f>
        <v>http://vk.com/club1072740</v>
      </c>
      <c r="Q2192">
        <v>15812</v>
      </c>
      <c r="R2192" t="s">
        <v>124</v>
      </c>
      <c r="S2192" t="s">
        <v>125</v>
      </c>
      <c r="T2192" t="s">
        <v>137</v>
      </c>
      <c r="U2192" t="s">
        <v>137</v>
      </c>
      <c r="AM2192" t="s">
        <v>129</v>
      </c>
      <c r="AN2192" t="s">
        <v>130</v>
      </c>
      <c r="AP2192" t="s">
        <v>41</v>
      </c>
      <c r="AW2192" t="s">
        <v>48</v>
      </c>
      <c r="AY2192" t="s">
        <v>50</v>
      </c>
      <c r="AZ2192" t="s">
        <v>51</v>
      </c>
      <c r="BA2192" t="s">
        <v>52</v>
      </c>
      <c r="BM2192" t="s">
        <v>64</v>
      </c>
    </row>
    <row r="2193" spans="1:93" x14ac:dyDescent="0.2">
      <c r="A2193" t="s">
        <v>7613</v>
      </c>
      <c r="B2193" t="s">
        <v>2084</v>
      </c>
      <c r="C2193" t="s">
        <v>7812</v>
      </c>
      <c r="D2193" t="s">
        <v>2953</v>
      </c>
      <c r="E2193" t="s">
        <v>7813</v>
      </c>
      <c r="F2193" t="s">
        <v>118</v>
      </c>
      <c r="G2193" t="str">
        <f>HYPERLINK("https://vk.com/wall-61101621_254612?w=wall-61101621_254612_r254647")</f>
        <v>https://vk.com/wall-61101621_254612?w=wall-61101621_254612_r254647</v>
      </c>
      <c r="H2193" t="s">
        <v>119</v>
      </c>
      <c r="I2193" t="s">
        <v>3037</v>
      </c>
      <c r="J2193" t="str">
        <f>HYPERLINK("http://vk.com/id147080630")</f>
        <v>http://vk.com/id147080630</v>
      </c>
      <c r="K2193">
        <v>94</v>
      </c>
      <c r="L2193" t="s">
        <v>121</v>
      </c>
      <c r="N2193" t="s">
        <v>122</v>
      </c>
      <c r="O2193" t="s">
        <v>160</v>
      </c>
      <c r="P2193" t="str">
        <f>HYPERLINK("http://vk.com/club61101621")</f>
        <v>http://vk.com/club61101621</v>
      </c>
      <c r="Q2193">
        <v>21119</v>
      </c>
      <c r="R2193" t="s">
        <v>124</v>
      </c>
      <c r="S2193" t="s">
        <v>125</v>
      </c>
      <c r="W2193">
        <v>0</v>
      </c>
      <c r="X2193">
        <v>0</v>
      </c>
      <c r="AM2193" t="s">
        <v>129</v>
      </c>
      <c r="AN2193" t="s">
        <v>130</v>
      </c>
      <c r="AP2193" t="s">
        <v>41</v>
      </c>
      <c r="AU2193" t="s">
        <v>46</v>
      </c>
      <c r="AZ2193" t="s">
        <v>51</v>
      </c>
      <c r="BA2193" t="s">
        <v>52</v>
      </c>
    </row>
    <row r="2194" spans="1:93" x14ac:dyDescent="0.2">
      <c r="A2194" t="s">
        <v>7613</v>
      </c>
      <c r="B2194" t="s">
        <v>489</v>
      </c>
      <c r="C2194" t="s">
        <v>7812</v>
      </c>
      <c r="D2194" t="s">
        <v>2953</v>
      </c>
      <c r="E2194" t="s">
        <v>7814</v>
      </c>
      <c r="F2194" t="s">
        <v>118</v>
      </c>
      <c r="G2194" t="str">
        <f>HYPERLINK("https://vk.com/wall-61101621_254612?w=wall-61101621_254612_r254646")</f>
        <v>https://vk.com/wall-61101621_254612?w=wall-61101621_254612_r254646</v>
      </c>
      <c r="H2194" t="s">
        <v>119</v>
      </c>
      <c r="I2194" t="s">
        <v>549</v>
      </c>
      <c r="J2194" t="str">
        <f>HYPERLINK("http://vk.com/id9850745")</f>
        <v>http://vk.com/id9850745</v>
      </c>
      <c r="K2194">
        <v>70</v>
      </c>
      <c r="L2194" t="s">
        <v>121</v>
      </c>
      <c r="M2194">
        <v>42</v>
      </c>
      <c r="N2194" t="s">
        <v>122</v>
      </c>
      <c r="O2194" t="s">
        <v>160</v>
      </c>
      <c r="P2194" t="str">
        <f>HYPERLINK("http://vk.com/club61101621")</f>
        <v>http://vk.com/club61101621</v>
      </c>
      <c r="Q2194">
        <v>21119</v>
      </c>
      <c r="R2194" t="s">
        <v>124</v>
      </c>
      <c r="S2194" t="s">
        <v>125</v>
      </c>
      <c r="W2194">
        <v>0</v>
      </c>
      <c r="X2194">
        <v>0</v>
      </c>
      <c r="AM2194" t="s">
        <v>129</v>
      </c>
      <c r="AN2194" t="s">
        <v>130</v>
      </c>
      <c r="AP2194" t="s">
        <v>41</v>
      </c>
      <c r="AU2194" t="s">
        <v>46</v>
      </c>
      <c r="AY2194" t="s">
        <v>50</v>
      </c>
      <c r="AZ2194" t="s">
        <v>51</v>
      </c>
      <c r="BA2194" t="s">
        <v>52</v>
      </c>
    </row>
    <row r="2195" spans="1:93" x14ac:dyDescent="0.2">
      <c r="A2195" t="s">
        <v>7613</v>
      </c>
      <c r="B2195" t="s">
        <v>2621</v>
      </c>
      <c r="C2195" t="s">
        <v>7812</v>
      </c>
      <c r="D2195" t="s">
        <v>7374</v>
      </c>
      <c r="E2195" t="s">
        <v>7815</v>
      </c>
      <c r="F2195" t="s">
        <v>118</v>
      </c>
      <c r="G2195" t="str">
        <f>HYPERLINK("https://vk.com/wall-27863223_291691?w=wall-27863223_291691_r291770")</f>
        <v>https://vk.com/wall-27863223_291691?w=wall-27863223_291691_r291770</v>
      </c>
      <c r="H2195" t="s">
        <v>119</v>
      </c>
      <c r="I2195" t="s">
        <v>7816</v>
      </c>
      <c r="J2195" t="str">
        <f>HYPERLINK("http://vk.com/id44588109")</f>
        <v>http://vk.com/id44588109</v>
      </c>
      <c r="K2195">
        <v>411</v>
      </c>
      <c r="L2195" t="s">
        <v>151</v>
      </c>
      <c r="N2195" t="s">
        <v>122</v>
      </c>
      <c r="O2195" t="s">
        <v>175</v>
      </c>
      <c r="P2195" t="str">
        <f>HYPERLINK("http://vk.com/club27863223")</f>
        <v>http://vk.com/club27863223</v>
      </c>
      <c r="Q2195">
        <v>134698</v>
      </c>
      <c r="R2195" t="s">
        <v>124</v>
      </c>
      <c r="S2195" t="s">
        <v>125</v>
      </c>
      <c r="T2195" t="s">
        <v>612</v>
      </c>
      <c r="U2195" t="s">
        <v>942</v>
      </c>
      <c r="W2195">
        <v>1</v>
      </c>
      <c r="X2195">
        <v>1</v>
      </c>
      <c r="AM2195" t="s">
        <v>129</v>
      </c>
      <c r="AN2195" t="s">
        <v>130</v>
      </c>
      <c r="AP2195" t="s">
        <v>41</v>
      </c>
      <c r="AZ2195" t="s">
        <v>51</v>
      </c>
      <c r="BA2195" t="s">
        <v>52</v>
      </c>
      <c r="BS2195" t="s">
        <v>70</v>
      </c>
    </row>
    <row r="2196" spans="1:93" x14ac:dyDescent="0.2">
      <c r="A2196" t="s">
        <v>7613</v>
      </c>
      <c r="B2196" t="s">
        <v>2622</v>
      </c>
      <c r="C2196" t="s">
        <v>7817</v>
      </c>
      <c r="D2196" t="s">
        <v>567</v>
      </c>
      <c r="E2196" t="s">
        <v>7818</v>
      </c>
      <c r="F2196" t="s">
        <v>118</v>
      </c>
      <c r="G2196" t="str">
        <f>HYPERLINK("https://vk.com/topic-27863223_35936941?post=115912")</f>
        <v>https://vk.com/topic-27863223_35936941?post=115912</v>
      </c>
      <c r="H2196" t="s">
        <v>119</v>
      </c>
      <c r="I2196" t="s">
        <v>7819</v>
      </c>
      <c r="J2196" t="str">
        <f>HYPERLINK("http://vk.com/id5972601")</f>
        <v>http://vk.com/id5972601</v>
      </c>
      <c r="K2196">
        <v>356</v>
      </c>
      <c r="L2196" t="s">
        <v>151</v>
      </c>
      <c r="N2196" t="s">
        <v>122</v>
      </c>
      <c r="O2196" t="s">
        <v>175</v>
      </c>
      <c r="P2196" t="str">
        <f>HYPERLINK("http://vk.com/club27863223")</f>
        <v>http://vk.com/club27863223</v>
      </c>
      <c r="Q2196">
        <v>134698</v>
      </c>
      <c r="R2196" t="s">
        <v>124</v>
      </c>
      <c r="S2196" t="s">
        <v>125</v>
      </c>
      <c r="T2196" t="s">
        <v>137</v>
      </c>
      <c r="U2196" t="s">
        <v>137</v>
      </c>
      <c r="AM2196" t="s">
        <v>129</v>
      </c>
      <c r="AN2196" t="s">
        <v>130</v>
      </c>
      <c r="AP2196" t="s">
        <v>41</v>
      </c>
      <c r="AW2196" t="s">
        <v>48</v>
      </c>
      <c r="AZ2196" t="s">
        <v>51</v>
      </c>
      <c r="BA2196" t="s">
        <v>52</v>
      </c>
      <c r="BL2196" t="s">
        <v>63</v>
      </c>
    </row>
    <row r="2197" spans="1:93" x14ac:dyDescent="0.2">
      <c r="A2197" t="s">
        <v>7613</v>
      </c>
      <c r="B2197" t="s">
        <v>5761</v>
      </c>
      <c r="C2197" t="s">
        <v>7812</v>
      </c>
      <c r="D2197" t="s">
        <v>7374</v>
      </c>
      <c r="E2197" t="s">
        <v>7820</v>
      </c>
      <c r="F2197" t="s">
        <v>118</v>
      </c>
      <c r="G2197" t="str">
        <f>HYPERLINK("https://vk.com/wall-27863223_291691?reply=291769")</f>
        <v>https://vk.com/wall-27863223_291691?reply=291769</v>
      </c>
      <c r="H2197" t="s">
        <v>119</v>
      </c>
      <c r="I2197" t="s">
        <v>7816</v>
      </c>
      <c r="J2197" t="str">
        <f>HYPERLINK("http://vk.com/id44588109")</f>
        <v>http://vk.com/id44588109</v>
      </c>
      <c r="K2197">
        <v>411</v>
      </c>
      <c r="L2197" t="s">
        <v>151</v>
      </c>
      <c r="N2197" t="s">
        <v>122</v>
      </c>
      <c r="O2197" t="s">
        <v>175</v>
      </c>
      <c r="P2197" t="str">
        <f>HYPERLINK("http://vk.com/club27863223")</f>
        <v>http://vk.com/club27863223</v>
      </c>
      <c r="Q2197">
        <v>134698</v>
      </c>
      <c r="R2197" t="s">
        <v>124</v>
      </c>
      <c r="S2197" t="s">
        <v>125</v>
      </c>
      <c r="T2197" t="s">
        <v>612</v>
      </c>
      <c r="U2197" t="s">
        <v>942</v>
      </c>
      <c r="W2197">
        <v>1</v>
      </c>
      <c r="X2197">
        <v>1</v>
      </c>
      <c r="AM2197" t="s">
        <v>129</v>
      </c>
      <c r="AN2197" t="s">
        <v>130</v>
      </c>
      <c r="AP2197" t="s">
        <v>41</v>
      </c>
      <c r="AW2197" t="s">
        <v>48</v>
      </c>
      <c r="AZ2197" t="s">
        <v>51</v>
      </c>
      <c r="BA2197" t="s">
        <v>52</v>
      </c>
      <c r="BL2197" t="s">
        <v>63</v>
      </c>
      <c r="CO2197" t="s">
        <v>92</v>
      </c>
    </row>
    <row r="2198" spans="1:93" x14ac:dyDescent="0.2">
      <c r="A2198" t="s">
        <v>7613</v>
      </c>
      <c r="B2198" t="s">
        <v>500</v>
      </c>
      <c r="C2198" t="s">
        <v>7821</v>
      </c>
      <c r="D2198" t="s">
        <v>7512</v>
      </c>
      <c r="E2198" t="s">
        <v>7822</v>
      </c>
      <c r="F2198" t="s">
        <v>118</v>
      </c>
      <c r="G2198" t="str">
        <f>HYPERLINK("https://ok.ru/group/52172741083275/topic/153800758578059#MTYyNjI1ODI1MjYwMTotNTIxMzoxNjI2MjU4MjUyNjAxOjE1MzgwMDc1ODU3ODA1OTox")</f>
        <v>https://ok.ru/group/52172741083275/topic/153800758578059#MTYyNjI1ODI1MjYwMTotNTIxMzoxNjI2MjU4MjUyNjAxOjE1MzgwMDc1ODU3ODA1OTox</v>
      </c>
      <c r="H2198" t="s">
        <v>228</v>
      </c>
      <c r="I2198" t="s">
        <v>7823</v>
      </c>
      <c r="J2198" t="str">
        <f>HYPERLINK("https://ok.ru/profile/525047554979")</f>
        <v>https://ok.ru/profile/525047554979</v>
      </c>
      <c r="K2198">
        <v>284</v>
      </c>
      <c r="L2198" t="s">
        <v>151</v>
      </c>
      <c r="N2198" t="s">
        <v>347</v>
      </c>
      <c r="O2198" t="s">
        <v>4687</v>
      </c>
      <c r="P2198" t="str">
        <f>HYPERLINK("https://ok.ru/group/52172741083275")</f>
        <v>https://ok.ru/group/52172741083275</v>
      </c>
      <c r="Q2198">
        <v>27667</v>
      </c>
      <c r="R2198" t="s">
        <v>124</v>
      </c>
      <c r="S2198" t="s">
        <v>125</v>
      </c>
      <c r="T2198" t="s">
        <v>2566</v>
      </c>
      <c r="U2198" t="s">
        <v>4688</v>
      </c>
      <c r="W2198">
        <v>0</v>
      </c>
      <c r="X2198">
        <v>0</v>
      </c>
      <c r="AM2198" t="s">
        <v>129</v>
      </c>
      <c r="AN2198" t="s">
        <v>130</v>
      </c>
      <c r="AP2198" t="s">
        <v>41</v>
      </c>
      <c r="AW2198" t="s">
        <v>48</v>
      </c>
      <c r="AZ2198" t="s">
        <v>51</v>
      </c>
      <c r="BA2198" t="s">
        <v>52</v>
      </c>
    </row>
    <row r="2199" spans="1:93" x14ac:dyDescent="0.2">
      <c r="A2199" t="s">
        <v>7613</v>
      </c>
      <c r="B2199" t="s">
        <v>500</v>
      </c>
      <c r="C2199" t="s">
        <v>7824</v>
      </c>
      <c r="D2199" t="s">
        <v>2953</v>
      </c>
      <c r="E2199" t="s">
        <v>7825</v>
      </c>
      <c r="F2199" t="s">
        <v>118</v>
      </c>
      <c r="G2199" t="str">
        <f>HYPERLINK("https://vk.com/wall-61101621_254612?w=wall-61101621_254612_r254645")</f>
        <v>https://vk.com/wall-61101621_254612?w=wall-61101621_254612_r254645</v>
      </c>
      <c r="H2199" t="s">
        <v>119</v>
      </c>
      <c r="I2199" t="s">
        <v>3037</v>
      </c>
      <c r="J2199" t="str">
        <f>HYPERLINK("http://vk.com/id147080630")</f>
        <v>http://vk.com/id147080630</v>
      </c>
      <c r="K2199">
        <v>94</v>
      </c>
      <c r="L2199" t="s">
        <v>121</v>
      </c>
      <c r="N2199" t="s">
        <v>122</v>
      </c>
      <c r="O2199" t="s">
        <v>160</v>
      </c>
      <c r="P2199" t="str">
        <f>HYPERLINK("http://vk.com/club61101621")</f>
        <v>http://vk.com/club61101621</v>
      </c>
      <c r="Q2199">
        <v>21119</v>
      </c>
      <c r="R2199" t="s">
        <v>124</v>
      </c>
      <c r="S2199" t="s">
        <v>125</v>
      </c>
      <c r="W2199">
        <v>0</v>
      </c>
      <c r="X2199">
        <v>0</v>
      </c>
      <c r="AJ2199" t="s">
        <v>7826</v>
      </c>
      <c r="AK2199" t="s">
        <v>129</v>
      </c>
      <c r="AL2199" t="str">
        <f>HYPERLINK("https://sun9-23.userapi.com/impg/vokau8muLHfsENOsQkNXrgOvcx53JxBrYcFmeA/y39Une8hKd8.jpg?size=972x2160&amp;quality=96&amp;sign=e651f667b1fe699af4c423ec30e305d1&amp;c_uniq_tag=HIamEFRJcOU_xLJJV1-CB9EZAOoCe3f0-37oW1nibdc&amp;type=album")</f>
        <v>https://sun9-23.userapi.com/impg/vokau8muLHfsENOsQkNXrgOvcx53JxBrYcFmeA/y39Une8hKd8.jpg?size=972x2160&amp;quality=96&amp;sign=e651f667b1fe699af4c423ec30e305d1&amp;c_uniq_tag=HIamEFRJcOU_xLJJV1-CB9EZAOoCe3f0-37oW1nibdc&amp;type=album</v>
      </c>
      <c r="AM2199" t="s">
        <v>129</v>
      </c>
      <c r="AN2199" t="s">
        <v>130</v>
      </c>
      <c r="AP2199" t="s">
        <v>41</v>
      </c>
      <c r="AU2199" t="s">
        <v>46</v>
      </c>
      <c r="AY2199" t="s">
        <v>50</v>
      </c>
      <c r="AZ2199" t="s">
        <v>51</v>
      </c>
      <c r="BA2199" t="s">
        <v>52</v>
      </c>
    </row>
    <row r="2200" spans="1:93" x14ac:dyDescent="0.2">
      <c r="A2200" t="s">
        <v>7613</v>
      </c>
      <c r="B2200" t="s">
        <v>1085</v>
      </c>
      <c r="C2200" t="s">
        <v>7827</v>
      </c>
      <c r="D2200" t="s">
        <v>7828</v>
      </c>
      <c r="E2200" t="s">
        <v>7829</v>
      </c>
      <c r="F2200" t="s">
        <v>118</v>
      </c>
      <c r="G2200" t="str">
        <f>HYPERLINK("https://www.youtube.com/watch?v=xdY13Gdo2VM&amp;lc=Ugw7RVHaHTPZvcyYQpJ4AaABAg")</f>
        <v>https://www.youtube.com/watch?v=xdY13Gdo2VM&amp;lc=Ugw7RVHaHTPZvcyYQpJ4AaABAg</v>
      </c>
      <c r="H2200" t="s">
        <v>228</v>
      </c>
      <c r="I2200" t="s">
        <v>7830</v>
      </c>
      <c r="J2200" t="str">
        <f>HYPERLINK("https://www.youtube.com/channel/UClcr4C-QA948hY7zOBQc9ZQ")</f>
        <v>https://www.youtube.com/channel/UClcr4C-QA948hY7zOBQc9ZQ</v>
      </c>
      <c r="K2200">
        <v>8</v>
      </c>
      <c r="N2200" t="s">
        <v>248</v>
      </c>
      <c r="O2200" t="s">
        <v>7831</v>
      </c>
      <c r="P2200" t="str">
        <f>HYPERLINK("https://www.youtube.com/channel/UCNBR-cPlJdqlYE0E0n4xwJA")</f>
        <v>https://www.youtube.com/channel/UCNBR-cPlJdqlYE0E0n4xwJA</v>
      </c>
      <c r="Q2200">
        <v>237000</v>
      </c>
      <c r="R2200" t="s">
        <v>124</v>
      </c>
      <c r="S2200" t="s">
        <v>125</v>
      </c>
      <c r="W2200">
        <v>0</v>
      </c>
      <c r="X2200">
        <v>0</v>
      </c>
      <c r="AE2200">
        <v>0</v>
      </c>
      <c r="AM2200" t="s">
        <v>129</v>
      </c>
      <c r="AN2200" t="s">
        <v>130</v>
      </c>
      <c r="AP2200" t="s">
        <v>41</v>
      </c>
      <c r="AU2200" t="s">
        <v>46</v>
      </c>
      <c r="AZ2200" t="s">
        <v>51</v>
      </c>
      <c r="BB2200" t="s">
        <v>53</v>
      </c>
    </row>
    <row r="2201" spans="1:93" x14ac:dyDescent="0.2">
      <c r="A2201" t="s">
        <v>7613</v>
      </c>
      <c r="B2201" t="s">
        <v>535</v>
      </c>
      <c r="C2201" t="s">
        <v>7832</v>
      </c>
      <c r="D2201" t="s">
        <v>204</v>
      </c>
      <c r="E2201" t="s">
        <v>7833</v>
      </c>
      <c r="F2201" t="s">
        <v>180</v>
      </c>
      <c r="G2201" t="str">
        <f>HYPERLINK("https://play.google.com/store/apps/details?id=ru.iflex.android.a3colortv&amp;reviewId=gp:AOqpTOGd_ZVqETNBVBq67lrljmJqu24hekjGDqwdRf7mzHnxoBzcZoMSsGpsTmM638E_Dqb4VvIyRdLrL9T9CQ")</f>
        <v>https://play.google.com/store/apps/details?id=ru.iflex.android.a3colortv&amp;reviewId=gp:AOqpTOGd_ZVqETNBVBq67lrljmJqu24hekjGDqwdRf7mzHnxoBzcZoMSsGpsTmM638E_Dqb4VvIyRdLrL9T9CQ</v>
      </c>
      <c r="H2201" t="s">
        <v>181</v>
      </c>
      <c r="I2201" t="s">
        <v>7834</v>
      </c>
      <c r="J2201" t="str">
        <f>HYPERLINK("https://plus.google.com/116829071570268235420")</f>
        <v>https://plus.google.com/116829071570268235420</v>
      </c>
      <c r="L2201" t="s">
        <v>151</v>
      </c>
      <c r="N2201" t="s">
        <v>207</v>
      </c>
      <c r="O2201" t="s">
        <v>204</v>
      </c>
      <c r="P2201" t="str">
        <f>HYPERLINK("https://play.google.com/store/apps/details?id=ru.iflex.android.a3colortv&amp;hl=ru")</f>
        <v>https://play.google.com/store/apps/details?id=ru.iflex.android.a3colortv&amp;hl=ru</v>
      </c>
      <c r="R2201" t="s">
        <v>184</v>
      </c>
      <c r="S2201" t="s">
        <v>125</v>
      </c>
      <c r="W2201">
        <v>0</v>
      </c>
      <c r="X2201">
        <v>0</v>
      </c>
      <c r="AH2201">
        <v>5</v>
      </c>
      <c r="AM2201" t="s">
        <v>129</v>
      </c>
      <c r="AN2201" t="s">
        <v>130</v>
      </c>
      <c r="AP2201" t="s">
        <v>41</v>
      </c>
      <c r="AZ2201" t="s">
        <v>51</v>
      </c>
      <c r="BA2201" t="s">
        <v>52</v>
      </c>
      <c r="BQ2201" t="s">
        <v>68</v>
      </c>
    </row>
    <row r="2202" spans="1:93" x14ac:dyDescent="0.2">
      <c r="A2202" t="s">
        <v>7613</v>
      </c>
      <c r="B2202" t="s">
        <v>7835</v>
      </c>
      <c r="C2202" t="s">
        <v>7836</v>
      </c>
      <c r="D2202" t="s">
        <v>6297</v>
      </c>
      <c r="E2202" t="s">
        <v>7837</v>
      </c>
      <c r="F2202" t="s">
        <v>118</v>
      </c>
      <c r="G2202" t="str">
        <f>HYPERLINK("https://vk.com/wall-1072740_167134?reply=167194")</f>
        <v>https://vk.com/wall-1072740_167134?reply=167194</v>
      </c>
      <c r="H2202" t="s">
        <v>119</v>
      </c>
      <c r="I2202" t="s">
        <v>7838</v>
      </c>
      <c r="J2202" t="str">
        <f>HYPERLINK("http://vk.com/id223829819")</f>
        <v>http://vk.com/id223829819</v>
      </c>
      <c r="L2202" t="s">
        <v>151</v>
      </c>
      <c r="N2202" t="s">
        <v>122</v>
      </c>
      <c r="O2202" t="s">
        <v>6300</v>
      </c>
      <c r="P2202" t="str">
        <f>HYPERLINK("http://vk.com/club1072740")</f>
        <v>http://vk.com/club1072740</v>
      </c>
      <c r="Q2202">
        <v>15812</v>
      </c>
      <c r="R2202" t="s">
        <v>124</v>
      </c>
      <c r="S2202" t="s">
        <v>125</v>
      </c>
      <c r="T2202" t="s">
        <v>2388</v>
      </c>
      <c r="U2202" t="s">
        <v>7160</v>
      </c>
      <c r="AM2202" t="s">
        <v>129</v>
      </c>
      <c r="AN2202" t="s">
        <v>130</v>
      </c>
      <c r="AP2202" t="s">
        <v>41</v>
      </c>
      <c r="AZ2202" t="s">
        <v>51</v>
      </c>
      <c r="BA2202" t="s">
        <v>52</v>
      </c>
      <c r="BM2202" t="s">
        <v>64</v>
      </c>
    </row>
    <row r="2203" spans="1:93" x14ac:dyDescent="0.2">
      <c r="A2203" t="s">
        <v>7613</v>
      </c>
      <c r="B2203" t="s">
        <v>1094</v>
      </c>
      <c r="C2203" t="s">
        <v>6688</v>
      </c>
      <c r="D2203" t="s">
        <v>2169</v>
      </c>
      <c r="E2203" t="s">
        <v>7839</v>
      </c>
      <c r="F2203" t="s">
        <v>180</v>
      </c>
      <c r="G2203" t="str">
        <f>HYPERLINK("https://www.ozon.ru/context/detail/id/172324122/#59356040")</f>
        <v>https://www.ozon.ru/context/detail/id/172324122/#59356040</v>
      </c>
      <c r="H2203" t="s">
        <v>181</v>
      </c>
      <c r="I2203" t="s">
        <v>7840</v>
      </c>
      <c r="J2203" t="str">
        <f>HYPERLINK("https://www.ozon.ru/context/client_opinion/ClientGuid/91ee5ace-73c2-4ece-8e99-3b60fe0c2798/")</f>
        <v>https://www.ozon.ru/context/client_opinion/ClientGuid/91ee5ace-73c2-4ece-8e99-3b60fe0c2798/</v>
      </c>
      <c r="L2203" t="s">
        <v>151</v>
      </c>
      <c r="N2203" t="s">
        <v>183</v>
      </c>
      <c r="O2203" t="s">
        <v>2169</v>
      </c>
      <c r="P2203" t="str">
        <f>HYPERLINK("https://www.ozon.ru/context/detail/id/172324122/")</f>
        <v>https://www.ozon.ru/context/detail/id/172324122/</v>
      </c>
      <c r="R2203" t="s">
        <v>184</v>
      </c>
      <c r="S2203" t="s">
        <v>125</v>
      </c>
      <c r="W2203">
        <v>0</v>
      </c>
      <c r="X2203">
        <v>0</v>
      </c>
      <c r="AH2203">
        <v>5</v>
      </c>
      <c r="AM2203" t="s">
        <v>129</v>
      </c>
      <c r="AN2203" t="s">
        <v>130</v>
      </c>
      <c r="AP2203" t="s">
        <v>41</v>
      </c>
      <c r="AT2203" t="s">
        <v>45</v>
      </c>
      <c r="AZ2203" t="s">
        <v>51</v>
      </c>
      <c r="BA2203" t="s">
        <v>52</v>
      </c>
      <c r="BL2203" t="s">
        <v>63</v>
      </c>
    </row>
    <row r="2204" spans="1:93" x14ac:dyDescent="0.2">
      <c r="A2204" t="s">
        <v>7613</v>
      </c>
      <c r="B2204" t="s">
        <v>7841</v>
      </c>
      <c r="C2204" t="s">
        <v>7842</v>
      </c>
      <c r="D2204" t="s">
        <v>7843</v>
      </c>
      <c r="E2204" t="s">
        <v>7844</v>
      </c>
      <c r="F2204" t="s">
        <v>180</v>
      </c>
      <c r="G2204" t="str">
        <f>HYPERLINK("https://www.ozon.ru/context/detail/id/168732587/#59352625")</f>
        <v>https://www.ozon.ru/context/detail/id/168732587/#59352625</v>
      </c>
      <c r="H2204" t="s">
        <v>119</v>
      </c>
      <c r="I2204" t="s">
        <v>512</v>
      </c>
      <c r="J2204" t="str">
        <f>HYPERLINK("https://www.ozon.ru/context/client_opinion/ClientGuid//")</f>
        <v>https://www.ozon.ru/context/client_opinion/ClientGuid//</v>
      </c>
      <c r="N2204" t="s">
        <v>183</v>
      </c>
      <c r="O2204" t="s">
        <v>7845</v>
      </c>
      <c r="P2204" t="str">
        <f>HYPERLINK("https://www.ozon.ru/context/detail/id/168732587/")</f>
        <v>https://www.ozon.ru/context/detail/id/168732587/</v>
      </c>
      <c r="R2204" t="s">
        <v>184</v>
      </c>
      <c r="S2204" t="s">
        <v>125</v>
      </c>
      <c r="W2204">
        <v>0</v>
      </c>
      <c r="X2204">
        <v>0</v>
      </c>
      <c r="AH2204">
        <v>4</v>
      </c>
      <c r="AM2204" t="s">
        <v>129</v>
      </c>
      <c r="AN2204" t="s">
        <v>130</v>
      </c>
      <c r="AP2204" t="s">
        <v>41</v>
      </c>
      <c r="AT2204" t="s">
        <v>45</v>
      </c>
      <c r="AZ2204" t="s">
        <v>51</v>
      </c>
      <c r="BA2204" t="s">
        <v>52</v>
      </c>
      <c r="BL2204" t="s">
        <v>63</v>
      </c>
    </row>
    <row r="2205" spans="1:93" x14ac:dyDescent="0.2">
      <c r="A2205" t="s">
        <v>7613</v>
      </c>
      <c r="B2205" t="s">
        <v>7846</v>
      </c>
      <c r="C2205" t="s">
        <v>7847</v>
      </c>
      <c r="D2205" t="s">
        <v>6297</v>
      </c>
      <c r="E2205" t="s">
        <v>7848</v>
      </c>
      <c r="F2205" t="s">
        <v>118</v>
      </c>
      <c r="G2205" t="str">
        <f>HYPERLINK("https://vk.com/wall-1072740_167134?reply=167180&amp;thread=167178")</f>
        <v>https://vk.com/wall-1072740_167134?reply=167180&amp;thread=167178</v>
      </c>
      <c r="H2205" t="s">
        <v>119</v>
      </c>
      <c r="I2205" t="s">
        <v>6477</v>
      </c>
      <c r="J2205" t="str">
        <f>HYPERLINK("http://vk.com/id396190163")</f>
        <v>http://vk.com/id396190163</v>
      </c>
      <c r="K2205">
        <v>20</v>
      </c>
      <c r="L2205" t="s">
        <v>151</v>
      </c>
      <c r="N2205" t="s">
        <v>122</v>
      </c>
      <c r="O2205" t="s">
        <v>6300</v>
      </c>
      <c r="P2205" t="str">
        <f>HYPERLINK("http://vk.com/club1072740")</f>
        <v>http://vk.com/club1072740</v>
      </c>
      <c r="Q2205">
        <v>15812</v>
      </c>
      <c r="R2205" t="s">
        <v>124</v>
      </c>
      <c r="S2205" t="s">
        <v>125</v>
      </c>
      <c r="T2205" t="s">
        <v>137</v>
      </c>
      <c r="U2205" t="s">
        <v>137</v>
      </c>
      <c r="AM2205" t="s">
        <v>129</v>
      </c>
      <c r="AN2205" t="s">
        <v>130</v>
      </c>
      <c r="AP2205" t="s">
        <v>41</v>
      </c>
      <c r="AZ2205" t="s">
        <v>51</v>
      </c>
      <c r="BA2205" t="s">
        <v>52</v>
      </c>
      <c r="BM2205" t="s">
        <v>64</v>
      </c>
    </row>
    <row r="2206" spans="1:93" x14ac:dyDescent="0.2">
      <c r="A2206" t="s">
        <v>7613</v>
      </c>
      <c r="B2206" t="s">
        <v>7849</v>
      </c>
      <c r="C2206" t="s">
        <v>7850</v>
      </c>
      <c r="D2206" t="s">
        <v>7374</v>
      </c>
      <c r="E2206" t="s">
        <v>7851</v>
      </c>
      <c r="F2206" t="s">
        <v>118</v>
      </c>
      <c r="G2206" t="str">
        <f>HYPERLINK("https://vk.com/wall-27863223_291691?w=wall-27863223_291691_r291765")</f>
        <v>https://vk.com/wall-27863223_291691?w=wall-27863223_291691_r291765</v>
      </c>
      <c r="H2206" t="s">
        <v>119</v>
      </c>
      <c r="I2206" t="s">
        <v>7852</v>
      </c>
      <c r="J2206" t="str">
        <f>HYPERLINK("http://vk.com/id200976612")</f>
        <v>http://vk.com/id200976612</v>
      </c>
      <c r="K2206">
        <v>1378</v>
      </c>
      <c r="L2206" t="s">
        <v>121</v>
      </c>
      <c r="M2206">
        <v>31</v>
      </c>
      <c r="N2206" t="s">
        <v>122</v>
      </c>
      <c r="O2206" t="s">
        <v>175</v>
      </c>
      <c r="P2206" t="str">
        <f>HYPERLINK("http://vk.com/club27863223")</f>
        <v>http://vk.com/club27863223</v>
      </c>
      <c r="Q2206">
        <v>134698</v>
      </c>
      <c r="R2206" t="s">
        <v>124</v>
      </c>
      <c r="S2206" t="s">
        <v>125</v>
      </c>
      <c r="W2206">
        <v>0</v>
      </c>
      <c r="X2206">
        <v>0</v>
      </c>
      <c r="AM2206" t="s">
        <v>129</v>
      </c>
      <c r="AN2206" t="s">
        <v>130</v>
      </c>
      <c r="AP2206" t="s">
        <v>41</v>
      </c>
      <c r="AZ2206" t="s">
        <v>51</v>
      </c>
      <c r="BA2206" t="s">
        <v>52</v>
      </c>
    </row>
    <row r="2207" spans="1:93" x14ac:dyDescent="0.2">
      <c r="A2207" t="s">
        <v>7613</v>
      </c>
      <c r="B2207" t="s">
        <v>2713</v>
      </c>
      <c r="C2207" t="s">
        <v>7853</v>
      </c>
      <c r="D2207" t="s">
        <v>567</v>
      </c>
      <c r="E2207" t="s">
        <v>7854</v>
      </c>
      <c r="F2207" t="s">
        <v>118</v>
      </c>
      <c r="G2207" t="str">
        <f>HYPERLINK("https://vk.com/topic-27863223_35936941?post=115905")</f>
        <v>https://vk.com/topic-27863223_35936941?post=115905</v>
      </c>
      <c r="H2207" t="s">
        <v>119</v>
      </c>
      <c r="I2207" t="s">
        <v>7852</v>
      </c>
      <c r="J2207" t="str">
        <f>HYPERLINK("http://vk.com/id200976612")</f>
        <v>http://vk.com/id200976612</v>
      </c>
      <c r="K2207">
        <v>1378</v>
      </c>
      <c r="L2207" t="s">
        <v>121</v>
      </c>
      <c r="M2207">
        <v>31</v>
      </c>
      <c r="N2207" t="s">
        <v>122</v>
      </c>
      <c r="O2207" t="s">
        <v>175</v>
      </c>
      <c r="P2207" t="str">
        <f>HYPERLINK("http://vk.com/club27863223")</f>
        <v>http://vk.com/club27863223</v>
      </c>
      <c r="Q2207">
        <v>134698</v>
      </c>
      <c r="R2207" t="s">
        <v>124</v>
      </c>
      <c r="S2207" t="s">
        <v>125</v>
      </c>
      <c r="AM2207" t="s">
        <v>129</v>
      </c>
      <c r="AN2207" t="s">
        <v>130</v>
      </c>
      <c r="AP2207" t="s">
        <v>41</v>
      </c>
      <c r="AW2207" t="s">
        <v>48</v>
      </c>
      <c r="AZ2207" t="s">
        <v>51</v>
      </c>
      <c r="BA2207" t="s">
        <v>52</v>
      </c>
    </row>
    <row r="2208" spans="1:93" x14ac:dyDescent="0.2">
      <c r="A2208" t="s">
        <v>7613</v>
      </c>
      <c r="B2208" t="s">
        <v>6495</v>
      </c>
      <c r="C2208" t="s">
        <v>7855</v>
      </c>
      <c r="D2208" t="s">
        <v>6297</v>
      </c>
      <c r="E2208" t="s">
        <v>7856</v>
      </c>
      <c r="F2208" t="s">
        <v>118</v>
      </c>
      <c r="G2208" t="str">
        <f>HYPERLINK("https://vk.com/wall-1072740_167134?reply=167178")</f>
        <v>https://vk.com/wall-1072740_167134?reply=167178</v>
      </c>
      <c r="H2208" t="s">
        <v>119</v>
      </c>
      <c r="I2208" t="s">
        <v>7857</v>
      </c>
      <c r="J2208" t="str">
        <f>HYPERLINK("http://vk.com/id340912447")</f>
        <v>http://vk.com/id340912447</v>
      </c>
      <c r="K2208">
        <v>60</v>
      </c>
      <c r="L2208" t="s">
        <v>151</v>
      </c>
      <c r="M2208">
        <v>64</v>
      </c>
      <c r="N2208" t="s">
        <v>122</v>
      </c>
      <c r="O2208" t="s">
        <v>6300</v>
      </c>
      <c r="P2208" t="str">
        <f>HYPERLINK("http://vk.com/club1072740")</f>
        <v>http://vk.com/club1072740</v>
      </c>
      <c r="Q2208">
        <v>15812</v>
      </c>
      <c r="R2208" t="s">
        <v>124</v>
      </c>
      <c r="S2208" t="s">
        <v>125</v>
      </c>
      <c r="T2208" t="s">
        <v>137</v>
      </c>
      <c r="U2208" t="s">
        <v>137</v>
      </c>
      <c r="AM2208" t="s">
        <v>129</v>
      </c>
      <c r="AN2208" t="s">
        <v>130</v>
      </c>
      <c r="AP2208" t="s">
        <v>41</v>
      </c>
      <c r="AU2208" t="s">
        <v>46</v>
      </c>
      <c r="AY2208" t="s">
        <v>50</v>
      </c>
      <c r="AZ2208" t="s">
        <v>51</v>
      </c>
      <c r="BB2208" t="s">
        <v>53</v>
      </c>
    </row>
    <row r="2209" spans="1:75" x14ac:dyDescent="0.2">
      <c r="A2209" t="s">
        <v>7613</v>
      </c>
      <c r="B2209" t="s">
        <v>1700</v>
      </c>
      <c r="C2209" t="s">
        <v>7850</v>
      </c>
      <c r="D2209" t="s">
        <v>7374</v>
      </c>
      <c r="E2209" t="s">
        <v>7858</v>
      </c>
      <c r="F2209" t="s">
        <v>118</v>
      </c>
      <c r="G2209" t="str">
        <f>HYPERLINK("https://vk.com/wall-27863223_291691?w=wall-27863223_291691_r291764")</f>
        <v>https://vk.com/wall-27863223_291691?w=wall-27863223_291691_r291764</v>
      </c>
      <c r="H2209" t="s">
        <v>119</v>
      </c>
      <c r="I2209" t="s">
        <v>7852</v>
      </c>
      <c r="J2209" t="str">
        <f>HYPERLINK("http://vk.com/id200976612")</f>
        <v>http://vk.com/id200976612</v>
      </c>
      <c r="K2209">
        <v>1378</v>
      </c>
      <c r="L2209" t="s">
        <v>121</v>
      </c>
      <c r="M2209">
        <v>31</v>
      </c>
      <c r="N2209" t="s">
        <v>122</v>
      </c>
      <c r="O2209" t="s">
        <v>175</v>
      </c>
      <c r="P2209" t="str">
        <f>HYPERLINK("http://vk.com/club27863223")</f>
        <v>http://vk.com/club27863223</v>
      </c>
      <c r="Q2209">
        <v>134698</v>
      </c>
      <c r="R2209" t="s">
        <v>124</v>
      </c>
      <c r="S2209" t="s">
        <v>125</v>
      </c>
      <c r="W2209">
        <v>0</v>
      </c>
      <c r="X2209">
        <v>0</v>
      </c>
      <c r="AM2209" t="s">
        <v>129</v>
      </c>
      <c r="AN2209" t="s">
        <v>130</v>
      </c>
      <c r="AP2209" t="s">
        <v>41</v>
      </c>
      <c r="AW2209" t="s">
        <v>48</v>
      </c>
      <c r="AZ2209" t="s">
        <v>51</v>
      </c>
      <c r="BA2209" t="s">
        <v>52</v>
      </c>
    </row>
    <row r="2210" spans="1:75" x14ac:dyDescent="0.2">
      <c r="A2210" t="s">
        <v>7613</v>
      </c>
      <c r="B2210" t="s">
        <v>597</v>
      </c>
      <c r="C2210" t="s">
        <v>7859</v>
      </c>
      <c r="D2210" t="s">
        <v>6297</v>
      </c>
      <c r="E2210" t="s">
        <v>7860</v>
      </c>
      <c r="F2210" t="s">
        <v>118</v>
      </c>
      <c r="G2210" t="str">
        <f>HYPERLINK("https://vk.com/wall-1072740_167134?reply=167175&amp;thread=167145")</f>
        <v>https://vk.com/wall-1072740_167134?reply=167175&amp;thread=167145</v>
      </c>
      <c r="H2210" t="s">
        <v>119</v>
      </c>
      <c r="I2210" t="s">
        <v>7861</v>
      </c>
      <c r="J2210" t="str">
        <f>HYPERLINK("http://vk.com/id2367339")</f>
        <v>http://vk.com/id2367339</v>
      </c>
      <c r="K2210">
        <v>330</v>
      </c>
      <c r="L2210" t="s">
        <v>121</v>
      </c>
      <c r="N2210" t="s">
        <v>122</v>
      </c>
      <c r="O2210" t="s">
        <v>6300</v>
      </c>
      <c r="P2210" t="str">
        <f>HYPERLINK("http://vk.com/club1072740")</f>
        <v>http://vk.com/club1072740</v>
      </c>
      <c r="Q2210">
        <v>15812</v>
      </c>
      <c r="R2210" t="s">
        <v>124</v>
      </c>
      <c r="S2210" t="s">
        <v>125</v>
      </c>
      <c r="T2210" t="s">
        <v>137</v>
      </c>
      <c r="U2210" t="s">
        <v>7862</v>
      </c>
      <c r="AM2210" t="s">
        <v>129</v>
      </c>
      <c r="AN2210" t="s">
        <v>130</v>
      </c>
      <c r="AP2210" t="s">
        <v>41</v>
      </c>
      <c r="AZ2210" t="s">
        <v>51</v>
      </c>
      <c r="BA2210" t="s">
        <v>52</v>
      </c>
      <c r="BL2210" t="s">
        <v>63</v>
      </c>
    </row>
    <row r="2211" spans="1:75" x14ac:dyDescent="0.2">
      <c r="A2211" t="s">
        <v>7613</v>
      </c>
      <c r="B2211" t="s">
        <v>2717</v>
      </c>
      <c r="C2211" t="s">
        <v>7863</v>
      </c>
      <c r="D2211" t="s">
        <v>6297</v>
      </c>
      <c r="E2211" t="s">
        <v>7864</v>
      </c>
      <c r="F2211" t="s">
        <v>118</v>
      </c>
      <c r="G2211" t="str">
        <f>HYPERLINK("https://vk.com/wall-1072740_167134?reply=167171")</f>
        <v>https://vk.com/wall-1072740_167134?reply=167171</v>
      </c>
      <c r="H2211" t="s">
        <v>119</v>
      </c>
      <c r="I2211" t="s">
        <v>7861</v>
      </c>
      <c r="J2211" t="str">
        <f>HYPERLINK("http://vk.com/id2367339")</f>
        <v>http://vk.com/id2367339</v>
      </c>
      <c r="K2211">
        <v>330</v>
      </c>
      <c r="L2211" t="s">
        <v>121</v>
      </c>
      <c r="N2211" t="s">
        <v>122</v>
      </c>
      <c r="O2211" t="s">
        <v>6300</v>
      </c>
      <c r="P2211" t="str">
        <f>HYPERLINK("http://vk.com/club1072740")</f>
        <v>http://vk.com/club1072740</v>
      </c>
      <c r="Q2211">
        <v>15812</v>
      </c>
      <c r="R2211" t="s">
        <v>124</v>
      </c>
      <c r="S2211" t="s">
        <v>125</v>
      </c>
      <c r="T2211" t="s">
        <v>137</v>
      </c>
      <c r="U2211" t="s">
        <v>7862</v>
      </c>
      <c r="AM2211" t="s">
        <v>129</v>
      </c>
      <c r="AN2211" t="s">
        <v>130</v>
      </c>
      <c r="AP2211" t="s">
        <v>41</v>
      </c>
      <c r="AY2211" t="s">
        <v>50</v>
      </c>
      <c r="AZ2211" t="s">
        <v>51</v>
      </c>
      <c r="BA2211" t="s">
        <v>52</v>
      </c>
    </row>
    <row r="2212" spans="1:75" x14ac:dyDescent="0.2">
      <c r="A2212" t="s">
        <v>7613</v>
      </c>
      <c r="B2212" t="s">
        <v>3196</v>
      </c>
      <c r="C2212" t="s">
        <v>7865</v>
      </c>
      <c r="D2212" t="s">
        <v>6297</v>
      </c>
      <c r="E2212" t="s">
        <v>7866</v>
      </c>
      <c r="F2212" t="s">
        <v>118</v>
      </c>
      <c r="G2212" t="str">
        <f>HYPERLINK("https://vk.com/wall-1072740_167134?reply=167167&amp;thread=167145")</f>
        <v>https://vk.com/wall-1072740_167134?reply=167167&amp;thread=167145</v>
      </c>
      <c r="H2212" t="s">
        <v>119</v>
      </c>
      <c r="I2212" t="s">
        <v>7861</v>
      </c>
      <c r="J2212" t="str">
        <f>HYPERLINK("http://vk.com/id2367339")</f>
        <v>http://vk.com/id2367339</v>
      </c>
      <c r="K2212">
        <v>330</v>
      </c>
      <c r="L2212" t="s">
        <v>121</v>
      </c>
      <c r="N2212" t="s">
        <v>122</v>
      </c>
      <c r="O2212" t="s">
        <v>6300</v>
      </c>
      <c r="P2212" t="str">
        <f>HYPERLINK("http://vk.com/club1072740")</f>
        <v>http://vk.com/club1072740</v>
      </c>
      <c r="Q2212">
        <v>15812</v>
      </c>
      <c r="R2212" t="s">
        <v>124</v>
      </c>
      <c r="S2212" t="s">
        <v>125</v>
      </c>
      <c r="T2212" t="s">
        <v>137</v>
      </c>
      <c r="U2212" t="s">
        <v>7862</v>
      </c>
      <c r="AM2212" t="s">
        <v>129</v>
      </c>
      <c r="AN2212" t="s">
        <v>130</v>
      </c>
      <c r="AP2212" t="s">
        <v>41</v>
      </c>
      <c r="AY2212" t="s">
        <v>50</v>
      </c>
      <c r="AZ2212" t="s">
        <v>51</v>
      </c>
      <c r="BA2212" t="s">
        <v>52</v>
      </c>
    </row>
    <row r="2213" spans="1:75" x14ac:dyDescent="0.2">
      <c r="A2213" t="s">
        <v>7613</v>
      </c>
      <c r="B2213" t="s">
        <v>3196</v>
      </c>
      <c r="C2213" t="s">
        <v>7865</v>
      </c>
      <c r="D2213" t="s">
        <v>6297</v>
      </c>
      <c r="E2213" t="s">
        <v>7867</v>
      </c>
      <c r="F2213" t="s">
        <v>118</v>
      </c>
      <c r="G2213" t="str">
        <f>HYPERLINK("https://vk.com/wall-1072740_167134?reply=167166")</f>
        <v>https://vk.com/wall-1072740_167134?reply=167166</v>
      </c>
      <c r="H2213" t="s">
        <v>119</v>
      </c>
      <c r="I2213" t="s">
        <v>7868</v>
      </c>
      <c r="J2213" t="str">
        <f>HYPERLINK("http://vk.com/id222026778")</f>
        <v>http://vk.com/id222026778</v>
      </c>
      <c r="K2213">
        <v>38</v>
      </c>
      <c r="L2213" t="s">
        <v>121</v>
      </c>
      <c r="N2213" t="s">
        <v>122</v>
      </c>
      <c r="O2213" t="s">
        <v>6300</v>
      </c>
      <c r="P2213" t="str">
        <f>HYPERLINK("http://vk.com/club1072740")</f>
        <v>http://vk.com/club1072740</v>
      </c>
      <c r="Q2213">
        <v>15812</v>
      </c>
      <c r="R2213" t="s">
        <v>124</v>
      </c>
      <c r="S2213" t="s">
        <v>125</v>
      </c>
      <c r="T2213" t="s">
        <v>137</v>
      </c>
      <c r="U2213" t="s">
        <v>137</v>
      </c>
      <c r="AM2213" t="s">
        <v>129</v>
      </c>
      <c r="AN2213" t="s">
        <v>130</v>
      </c>
      <c r="AP2213" t="s">
        <v>41</v>
      </c>
      <c r="AZ2213" t="s">
        <v>51</v>
      </c>
      <c r="BA2213" t="s">
        <v>52</v>
      </c>
      <c r="BM2213" t="s">
        <v>64</v>
      </c>
    </row>
    <row r="2214" spans="1:75" x14ac:dyDescent="0.2">
      <c r="A2214" t="s">
        <v>7613</v>
      </c>
      <c r="B2214" t="s">
        <v>2154</v>
      </c>
      <c r="C2214" t="s">
        <v>7869</v>
      </c>
      <c r="D2214" t="s">
        <v>567</v>
      </c>
      <c r="E2214" t="s">
        <v>7870</v>
      </c>
      <c r="F2214" t="s">
        <v>118</v>
      </c>
      <c r="G2214" t="str">
        <f>HYPERLINK("https://vk.com/topic-27863223_35936941?post=115901")</f>
        <v>https://vk.com/topic-27863223_35936941?post=115901</v>
      </c>
      <c r="H2214" t="s">
        <v>119</v>
      </c>
      <c r="I2214" t="s">
        <v>7871</v>
      </c>
      <c r="J2214" t="str">
        <f>HYPERLINK("http://vk.com/id23733268")</f>
        <v>http://vk.com/id23733268</v>
      </c>
      <c r="K2214">
        <v>112</v>
      </c>
      <c r="L2214" t="s">
        <v>121</v>
      </c>
      <c r="N2214" t="s">
        <v>122</v>
      </c>
      <c r="O2214" t="s">
        <v>175</v>
      </c>
      <c r="P2214" t="str">
        <f>HYPERLINK("http://vk.com/club27863223")</f>
        <v>http://vk.com/club27863223</v>
      </c>
      <c r="Q2214">
        <v>134698</v>
      </c>
      <c r="R2214" t="s">
        <v>124</v>
      </c>
      <c r="S2214" t="s">
        <v>125</v>
      </c>
      <c r="T2214" t="s">
        <v>1365</v>
      </c>
      <c r="U2214" t="s">
        <v>7872</v>
      </c>
      <c r="AM2214" t="s">
        <v>129</v>
      </c>
      <c r="AN2214" t="s">
        <v>130</v>
      </c>
      <c r="AP2214" t="s">
        <v>41</v>
      </c>
      <c r="AT2214" t="s">
        <v>45</v>
      </c>
      <c r="AZ2214" t="s">
        <v>51</v>
      </c>
      <c r="BA2214" t="s">
        <v>52</v>
      </c>
      <c r="BM2214" t="s">
        <v>64</v>
      </c>
    </row>
    <row r="2215" spans="1:75" x14ac:dyDescent="0.2">
      <c r="A2215" t="s">
        <v>7613</v>
      </c>
      <c r="B2215" t="s">
        <v>603</v>
      </c>
      <c r="C2215" t="s">
        <v>7873</v>
      </c>
      <c r="D2215" t="s">
        <v>7874</v>
      </c>
      <c r="E2215" t="s">
        <v>7875</v>
      </c>
      <c r="F2215" t="s">
        <v>118</v>
      </c>
      <c r="G2215" t="str">
        <f>HYPERLINK("https://vk.com/wall-49381792_33046?reply=33088&amp;thread=33072")</f>
        <v>https://vk.com/wall-49381792_33046?reply=33088&amp;thread=33072</v>
      </c>
      <c r="H2215" t="s">
        <v>119</v>
      </c>
      <c r="I2215" t="s">
        <v>2436</v>
      </c>
      <c r="J2215" t="str">
        <f>HYPERLINK("http://vk.com/id8629942")</f>
        <v>http://vk.com/id8629942</v>
      </c>
      <c r="K2215">
        <v>627</v>
      </c>
      <c r="L2215" t="s">
        <v>121</v>
      </c>
      <c r="N2215" t="s">
        <v>122</v>
      </c>
      <c r="O2215" t="s">
        <v>7801</v>
      </c>
      <c r="P2215" t="str">
        <f>HYPERLINK("http://vk.com/club49381792")</f>
        <v>http://vk.com/club49381792</v>
      </c>
      <c r="Q2215">
        <v>20931</v>
      </c>
      <c r="R2215" t="s">
        <v>124</v>
      </c>
      <c r="S2215" t="s">
        <v>125</v>
      </c>
      <c r="T2215" t="s">
        <v>2521</v>
      </c>
      <c r="U2215" t="s">
        <v>2522</v>
      </c>
      <c r="AM2215" t="s">
        <v>129</v>
      </c>
      <c r="AN2215" t="s">
        <v>130</v>
      </c>
      <c r="AP2215" t="s">
        <v>41</v>
      </c>
      <c r="AT2215" t="s">
        <v>45</v>
      </c>
      <c r="AZ2215" t="s">
        <v>51</v>
      </c>
      <c r="BA2215" t="s">
        <v>52</v>
      </c>
      <c r="BM2215" t="s">
        <v>64</v>
      </c>
    </row>
    <row r="2216" spans="1:75" x14ac:dyDescent="0.2">
      <c r="A2216" t="s">
        <v>7613</v>
      </c>
      <c r="B2216" t="s">
        <v>603</v>
      </c>
      <c r="C2216" t="s">
        <v>6189</v>
      </c>
      <c r="D2216" t="s">
        <v>6190</v>
      </c>
      <c r="E2216" t="s">
        <v>7876</v>
      </c>
      <c r="F2216" t="s">
        <v>180</v>
      </c>
      <c r="G2216" t="str">
        <f>HYPERLINK("https://www.ozon.ru/context/detail/id/168589899/#59340739")</f>
        <v>https://www.ozon.ru/context/detail/id/168589899/#59340739</v>
      </c>
      <c r="H2216" t="s">
        <v>181</v>
      </c>
      <c r="I2216" t="s">
        <v>7877</v>
      </c>
      <c r="J2216" t="str">
        <f>HYPERLINK("https://www.ozon.ru/context/client_opinion/ClientGuid/f88b3ef1-e0df-4311-b12d-96c15497461d/")</f>
        <v>https://www.ozon.ru/context/client_opinion/ClientGuid/f88b3ef1-e0df-4311-b12d-96c15497461d/</v>
      </c>
      <c r="L2216" t="s">
        <v>151</v>
      </c>
      <c r="N2216" t="s">
        <v>183</v>
      </c>
      <c r="O2216" t="s">
        <v>6190</v>
      </c>
      <c r="P2216" t="str">
        <f>HYPERLINK("https://www.ozon.ru/context/detail/id/168589899/")</f>
        <v>https://www.ozon.ru/context/detail/id/168589899/</v>
      </c>
      <c r="R2216" t="s">
        <v>184</v>
      </c>
      <c r="S2216" t="s">
        <v>125</v>
      </c>
      <c r="W2216">
        <v>0</v>
      </c>
      <c r="X2216">
        <v>0</v>
      </c>
      <c r="AH2216">
        <v>5</v>
      </c>
      <c r="AJ2216" t="s">
        <v>7878</v>
      </c>
      <c r="AK2216" t="s">
        <v>129</v>
      </c>
      <c r="AL2216" t="str">
        <f>HYPERLINK("https://cdn1.ozone.ru/s3/rp-photo-4/d0776291-090f-44e5-8741-c8e72aba3078.jpeg")</f>
        <v>https://cdn1.ozone.ru/s3/rp-photo-4/d0776291-090f-44e5-8741-c8e72aba3078.jpeg</v>
      </c>
      <c r="AM2216" t="s">
        <v>129</v>
      </c>
      <c r="AN2216" t="s">
        <v>130</v>
      </c>
      <c r="AP2216" t="s">
        <v>41</v>
      </c>
      <c r="AT2216" t="s">
        <v>45</v>
      </c>
      <c r="AZ2216" t="s">
        <v>51</v>
      </c>
      <c r="BA2216" t="s">
        <v>52</v>
      </c>
      <c r="BL2216" t="s">
        <v>63</v>
      </c>
      <c r="BM2216" t="s">
        <v>64</v>
      </c>
    </row>
    <row r="2217" spans="1:75" x14ac:dyDescent="0.2">
      <c r="A2217" t="s">
        <v>7613</v>
      </c>
      <c r="B2217" t="s">
        <v>2162</v>
      </c>
      <c r="C2217" t="s">
        <v>7879</v>
      </c>
      <c r="D2217" t="s">
        <v>6297</v>
      </c>
      <c r="E2217" t="s">
        <v>7880</v>
      </c>
      <c r="F2217" t="s">
        <v>118</v>
      </c>
      <c r="G2217" t="str">
        <f>HYPERLINK("https://vk.com/wall-1072740_167134?reply=167156&amp;thread=167145")</f>
        <v>https://vk.com/wall-1072740_167134?reply=167156&amp;thread=167145</v>
      </c>
      <c r="H2217" t="s">
        <v>181</v>
      </c>
      <c r="I2217" t="s">
        <v>7881</v>
      </c>
      <c r="J2217" t="str">
        <f>HYPERLINK("http://vk.com/id84668138")</f>
        <v>http://vk.com/id84668138</v>
      </c>
      <c r="K2217">
        <v>70</v>
      </c>
      <c r="L2217" t="s">
        <v>151</v>
      </c>
      <c r="N2217" t="s">
        <v>122</v>
      </c>
      <c r="O2217" t="s">
        <v>6300</v>
      </c>
      <c r="P2217" t="str">
        <f>HYPERLINK("http://vk.com/club1072740")</f>
        <v>http://vk.com/club1072740</v>
      </c>
      <c r="Q2217">
        <v>15812</v>
      </c>
      <c r="R2217" t="s">
        <v>124</v>
      </c>
      <c r="S2217" t="s">
        <v>125</v>
      </c>
      <c r="T2217" t="s">
        <v>137</v>
      </c>
      <c r="U2217" t="s">
        <v>137</v>
      </c>
      <c r="AM2217" t="s">
        <v>129</v>
      </c>
      <c r="AN2217" t="s">
        <v>130</v>
      </c>
      <c r="AP2217" t="s">
        <v>41</v>
      </c>
      <c r="AW2217" t="s">
        <v>48</v>
      </c>
      <c r="AZ2217" t="s">
        <v>51</v>
      </c>
      <c r="BA2217" t="s">
        <v>52</v>
      </c>
      <c r="BM2217" t="s">
        <v>64</v>
      </c>
    </row>
    <row r="2218" spans="1:75" x14ac:dyDescent="0.2">
      <c r="A2218" t="s">
        <v>7613</v>
      </c>
      <c r="B2218" t="s">
        <v>1122</v>
      </c>
      <c r="C2218" t="s">
        <v>7882</v>
      </c>
      <c r="D2218" t="s">
        <v>6297</v>
      </c>
      <c r="E2218" t="s">
        <v>7883</v>
      </c>
      <c r="F2218" t="s">
        <v>118</v>
      </c>
      <c r="G2218" t="str">
        <f>HYPERLINK("https://vk.com/wall-1072740_167134?reply=167154&amp;thread=167145")</f>
        <v>https://vk.com/wall-1072740_167134?reply=167154&amp;thread=167145</v>
      </c>
      <c r="H2218" t="s">
        <v>119</v>
      </c>
      <c r="I2218" t="s">
        <v>7881</v>
      </c>
      <c r="J2218" t="str">
        <f>HYPERLINK("http://vk.com/id84668138")</f>
        <v>http://vk.com/id84668138</v>
      </c>
      <c r="K2218">
        <v>70</v>
      </c>
      <c r="L2218" t="s">
        <v>151</v>
      </c>
      <c r="N2218" t="s">
        <v>122</v>
      </c>
      <c r="O2218" t="s">
        <v>6300</v>
      </c>
      <c r="P2218" t="str">
        <f>HYPERLINK("http://vk.com/club1072740")</f>
        <v>http://vk.com/club1072740</v>
      </c>
      <c r="Q2218">
        <v>15812</v>
      </c>
      <c r="R2218" t="s">
        <v>124</v>
      </c>
      <c r="S2218" t="s">
        <v>125</v>
      </c>
      <c r="T2218" t="s">
        <v>137</v>
      </c>
      <c r="U2218" t="s">
        <v>137</v>
      </c>
      <c r="AM2218" t="s">
        <v>129</v>
      </c>
      <c r="AN2218" t="s">
        <v>130</v>
      </c>
      <c r="AP2218" t="s">
        <v>41</v>
      </c>
      <c r="AY2218" t="s">
        <v>50</v>
      </c>
      <c r="AZ2218" t="s">
        <v>51</v>
      </c>
      <c r="BA2218" t="s">
        <v>52</v>
      </c>
      <c r="BM2218" t="s">
        <v>64</v>
      </c>
    </row>
    <row r="2219" spans="1:75" x14ac:dyDescent="0.2">
      <c r="A2219" t="s">
        <v>7613</v>
      </c>
      <c r="B2219" t="s">
        <v>2739</v>
      </c>
      <c r="C2219" t="s">
        <v>7884</v>
      </c>
      <c r="D2219" t="s">
        <v>6297</v>
      </c>
      <c r="E2219" t="s">
        <v>7885</v>
      </c>
      <c r="F2219" t="s">
        <v>118</v>
      </c>
      <c r="G2219" t="str">
        <f>HYPERLINK("https://vk.com/wall-1072740_167134?reply=167151&amp;thread=167145")</f>
        <v>https://vk.com/wall-1072740_167134?reply=167151&amp;thread=167145</v>
      </c>
      <c r="H2219" t="s">
        <v>119</v>
      </c>
      <c r="I2219" t="s">
        <v>7881</v>
      </c>
      <c r="J2219" t="str">
        <f>HYPERLINK("http://vk.com/id84668138")</f>
        <v>http://vk.com/id84668138</v>
      </c>
      <c r="K2219">
        <v>70</v>
      </c>
      <c r="L2219" t="s">
        <v>151</v>
      </c>
      <c r="N2219" t="s">
        <v>122</v>
      </c>
      <c r="O2219" t="s">
        <v>6300</v>
      </c>
      <c r="P2219" t="str">
        <f>HYPERLINK("http://vk.com/club1072740")</f>
        <v>http://vk.com/club1072740</v>
      </c>
      <c r="Q2219">
        <v>15812</v>
      </c>
      <c r="R2219" t="s">
        <v>124</v>
      </c>
      <c r="S2219" t="s">
        <v>125</v>
      </c>
      <c r="T2219" t="s">
        <v>137</v>
      </c>
      <c r="U2219" t="s">
        <v>137</v>
      </c>
      <c r="AM2219" t="s">
        <v>129</v>
      </c>
      <c r="AN2219" t="s">
        <v>130</v>
      </c>
      <c r="AP2219" t="s">
        <v>41</v>
      </c>
      <c r="AU2219" t="s">
        <v>46</v>
      </c>
      <c r="AY2219" t="s">
        <v>50</v>
      </c>
      <c r="AZ2219" t="s">
        <v>51</v>
      </c>
      <c r="BA2219" t="s">
        <v>52</v>
      </c>
      <c r="BM2219" t="s">
        <v>64</v>
      </c>
    </row>
    <row r="2220" spans="1:75" x14ac:dyDescent="0.2">
      <c r="A2220" t="s">
        <v>7613</v>
      </c>
      <c r="B2220" t="s">
        <v>1756</v>
      </c>
      <c r="C2220" t="s">
        <v>7886</v>
      </c>
      <c r="D2220" t="s">
        <v>7887</v>
      </c>
      <c r="E2220" t="s">
        <v>7888</v>
      </c>
      <c r="F2220" t="s">
        <v>118</v>
      </c>
      <c r="G2220" t="str">
        <f>HYPERLINK("https://vk.com/wall-30799607_839689?reply=839755")</f>
        <v>https://vk.com/wall-30799607_839689?reply=839755</v>
      </c>
      <c r="H2220" t="s">
        <v>181</v>
      </c>
      <c r="I2220" t="s">
        <v>7889</v>
      </c>
      <c r="J2220" t="str">
        <f>HYPERLINK("http://vk.com/id939788")</f>
        <v>http://vk.com/id939788</v>
      </c>
      <c r="K2220">
        <v>540</v>
      </c>
      <c r="L2220" t="s">
        <v>121</v>
      </c>
      <c r="N2220" t="s">
        <v>122</v>
      </c>
      <c r="O2220" t="s">
        <v>7890</v>
      </c>
      <c r="P2220" t="str">
        <f>HYPERLINK("http://vk.com/club30799607")</f>
        <v>http://vk.com/club30799607</v>
      </c>
      <c r="Q2220">
        <v>23347</v>
      </c>
      <c r="R2220" t="s">
        <v>124</v>
      </c>
      <c r="S2220" t="s">
        <v>125</v>
      </c>
      <c r="T2220" t="s">
        <v>570</v>
      </c>
      <c r="U2220" t="s">
        <v>7891</v>
      </c>
      <c r="AM2220" t="s">
        <v>129</v>
      </c>
      <c r="AN2220" t="s">
        <v>130</v>
      </c>
      <c r="AP2220" t="s">
        <v>41</v>
      </c>
      <c r="AW2220" t="s">
        <v>48</v>
      </c>
      <c r="AZ2220" t="s">
        <v>51</v>
      </c>
      <c r="BA2220" t="s">
        <v>52</v>
      </c>
    </row>
    <row r="2221" spans="1:75" x14ac:dyDescent="0.2">
      <c r="A2221" t="s">
        <v>7613</v>
      </c>
      <c r="B2221" t="s">
        <v>3247</v>
      </c>
      <c r="C2221" t="s">
        <v>7892</v>
      </c>
      <c r="D2221" t="s">
        <v>567</v>
      </c>
      <c r="E2221" t="s">
        <v>7893</v>
      </c>
      <c r="F2221" t="s">
        <v>118</v>
      </c>
      <c r="G2221" t="str">
        <f>HYPERLINK("https://vk.com/topic-27863223_35936941?post=115893")</f>
        <v>https://vk.com/topic-27863223_35936941?post=115893</v>
      </c>
      <c r="H2221" t="s">
        <v>119</v>
      </c>
      <c r="I2221" t="s">
        <v>7871</v>
      </c>
      <c r="J2221" t="str">
        <f>HYPERLINK("http://vk.com/id23733268")</f>
        <v>http://vk.com/id23733268</v>
      </c>
      <c r="K2221">
        <v>112</v>
      </c>
      <c r="L2221" t="s">
        <v>121</v>
      </c>
      <c r="N2221" t="s">
        <v>122</v>
      </c>
      <c r="O2221" t="s">
        <v>175</v>
      </c>
      <c r="P2221" t="str">
        <f>HYPERLINK("http://vk.com/club27863223")</f>
        <v>http://vk.com/club27863223</v>
      </c>
      <c r="Q2221">
        <v>134698</v>
      </c>
      <c r="R2221" t="s">
        <v>124</v>
      </c>
      <c r="S2221" t="s">
        <v>125</v>
      </c>
      <c r="T2221" t="s">
        <v>1365</v>
      </c>
      <c r="U2221" t="s">
        <v>7872</v>
      </c>
      <c r="AM2221" t="s">
        <v>129</v>
      </c>
      <c r="AN2221" t="s">
        <v>130</v>
      </c>
      <c r="AP2221" t="s">
        <v>41</v>
      </c>
      <c r="AT2221" t="s">
        <v>45</v>
      </c>
      <c r="AZ2221" t="s">
        <v>51</v>
      </c>
      <c r="BA2221" t="s">
        <v>52</v>
      </c>
      <c r="BW2221" t="s">
        <v>74</v>
      </c>
    </row>
    <row r="2222" spans="1:75" x14ac:dyDescent="0.2">
      <c r="A2222" t="s">
        <v>7613</v>
      </c>
      <c r="B2222" t="s">
        <v>6510</v>
      </c>
      <c r="C2222" t="s">
        <v>7894</v>
      </c>
      <c r="D2222" t="s">
        <v>6157</v>
      </c>
      <c r="E2222" t="s">
        <v>7895</v>
      </c>
      <c r="F2222" t="s">
        <v>180</v>
      </c>
      <c r="G2222" t="str">
        <f>HYPERLINK("https://www.ozon.ru/context/detail/id/178186400/#59313862")</f>
        <v>https://www.ozon.ru/context/detail/id/178186400/#59313862</v>
      </c>
      <c r="H2222" t="s">
        <v>181</v>
      </c>
      <c r="I2222" t="s">
        <v>7896</v>
      </c>
      <c r="J2222" t="str">
        <f>HYPERLINK("https://www.ozon.ru/context/client_opinion/ClientGuid/9c5bcd6c-425f-4ae4-bc0a-032b8b79c473/")</f>
        <v>https://www.ozon.ru/context/client_opinion/ClientGuid/9c5bcd6c-425f-4ae4-bc0a-032b8b79c473/</v>
      </c>
      <c r="L2222" t="s">
        <v>121</v>
      </c>
      <c r="N2222" t="s">
        <v>183</v>
      </c>
      <c r="O2222" t="s">
        <v>6157</v>
      </c>
      <c r="P2222" t="str">
        <f>HYPERLINK("https://www.ozon.ru/context/detail/id/178186400/")</f>
        <v>https://www.ozon.ru/context/detail/id/178186400/</v>
      </c>
      <c r="R2222" t="s">
        <v>184</v>
      </c>
      <c r="S2222" t="s">
        <v>125</v>
      </c>
      <c r="W2222">
        <v>0</v>
      </c>
      <c r="X2222">
        <v>0</v>
      </c>
      <c r="AH2222">
        <v>5</v>
      </c>
      <c r="AJ2222" t="s">
        <v>7897</v>
      </c>
      <c r="AK2222" t="s">
        <v>129</v>
      </c>
      <c r="AL2222" t="str">
        <f>HYPERLINK("https://cdn1.ozone.ru/s3/rp-photo-3/ae670b20-3857-4ef4-a27e-bda940295d1c.jpeg")</f>
        <v>https://cdn1.ozone.ru/s3/rp-photo-3/ae670b20-3857-4ef4-a27e-bda940295d1c.jpeg</v>
      </c>
      <c r="AM2222" t="s">
        <v>129</v>
      </c>
      <c r="AN2222" t="s">
        <v>130</v>
      </c>
      <c r="AP2222" t="s">
        <v>41</v>
      </c>
      <c r="AT2222" t="s">
        <v>45</v>
      </c>
      <c r="AZ2222" t="s">
        <v>51</v>
      </c>
      <c r="BB2222" t="s">
        <v>53</v>
      </c>
      <c r="BM2222" t="s">
        <v>64</v>
      </c>
    </row>
    <row r="2223" spans="1:75" x14ac:dyDescent="0.2">
      <c r="A2223" t="s">
        <v>7613</v>
      </c>
      <c r="B2223" t="s">
        <v>6531</v>
      </c>
      <c r="C2223" t="s">
        <v>7898</v>
      </c>
      <c r="D2223" t="s">
        <v>7690</v>
      </c>
      <c r="E2223" t="s">
        <v>7899</v>
      </c>
      <c r="F2223" t="s">
        <v>118</v>
      </c>
      <c r="G2223" t="str">
        <f>HYPERLINK("https://vk.com/wall-27863223_291722?w=wall-27863223_291722_r291751")</f>
        <v>https://vk.com/wall-27863223_291722?w=wall-27863223_291722_r291751</v>
      </c>
      <c r="H2223" t="s">
        <v>119</v>
      </c>
      <c r="I2223" t="s">
        <v>7455</v>
      </c>
      <c r="J2223" t="str">
        <f>HYPERLINK("http://vk.com/id449680070")</f>
        <v>http://vk.com/id449680070</v>
      </c>
      <c r="K2223">
        <v>337</v>
      </c>
      <c r="L2223" t="s">
        <v>121</v>
      </c>
      <c r="N2223" t="s">
        <v>122</v>
      </c>
      <c r="O2223" t="s">
        <v>175</v>
      </c>
      <c r="P2223" t="str">
        <f>HYPERLINK("http://vk.com/club27863223")</f>
        <v>http://vk.com/club27863223</v>
      </c>
      <c r="Q2223">
        <v>134698</v>
      </c>
      <c r="R2223" t="s">
        <v>124</v>
      </c>
      <c r="S2223" t="s">
        <v>125</v>
      </c>
      <c r="W2223">
        <v>0</v>
      </c>
      <c r="X2223">
        <v>0</v>
      </c>
      <c r="AM2223" t="s">
        <v>129</v>
      </c>
      <c r="AN2223" t="s">
        <v>130</v>
      </c>
      <c r="AP2223" t="s">
        <v>41</v>
      </c>
      <c r="BA2223" t="s">
        <v>52</v>
      </c>
      <c r="BE2223" t="s">
        <v>56</v>
      </c>
    </row>
    <row r="2224" spans="1:75" x14ac:dyDescent="0.2">
      <c r="A2224" t="s">
        <v>7613</v>
      </c>
      <c r="B2224" t="s">
        <v>1151</v>
      </c>
      <c r="C2224" t="s">
        <v>7900</v>
      </c>
      <c r="D2224" t="s">
        <v>7887</v>
      </c>
      <c r="E2224" t="s">
        <v>7901</v>
      </c>
      <c r="F2224" t="s">
        <v>118</v>
      </c>
      <c r="G2224" t="str">
        <f>HYPERLINK("https://vk.com/wall-30799607_839689?reply=839721")</f>
        <v>https://vk.com/wall-30799607_839689?reply=839721</v>
      </c>
      <c r="H2224" t="s">
        <v>181</v>
      </c>
      <c r="I2224" t="s">
        <v>7902</v>
      </c>
      <c r="J2224" t="str">
        <f>HYPERLINK("http://vk.com/id562025487")</f>
        <v>http://vk.com/id562025487</v>
      </c>
      <c r="K2224">
        <v>21</v>
      </c>
      <c r="L2224" t="s">
        <v>151</v>
      </c>
      <c r="N2224" t="s">
        <v>122</v>
      </c>
      <c r="O2224" t="s">
        <v>7890</v>
      </c>
      <c r="P2224" t="str">
        <f>HYPERLINK("http://vk.com/club30799607")</f>
        <v>http://vk.com/club30799607</v>
      </c>
      <c r="Q2224">
        <v>23347</v>
      </c>
      <c r="R2224" t="s">
        <v>124</v>
      </c>
      <c r="S2224" t="s">
        <v>125</v>
      </c>
      <c r="T2224" t="s">
        <v>137</v>
      </c>
      <c r="U2224" t="s">
        <v>137</v>
      </c>
      <c r="AM2224" t="s">
        <v>129</v>
      </c>
      <c r="AN2224" t="s">
        <v>130</v>
      </c>
      <c r="AP2224" t="s">
        <v>41</v>
      </c>
      <c r="AW2224" t="s">
        <v>48</v>
      </c>
      <c r="AZ2224" t="s">
        <v>51</v>
      </c>
      <c r="BA2224" t="s">
        <v>52</v>
      </c>
    </row>
    <row r="2225" spans="1:77" x14ac:dyDescent="0.2">
      <c r="A2225" t="s">
        <v>7613</v>
      </c>
      <c r="B2225" t="s">
        <v>7903</v>
      </c>
      <c r="C2225" t="s">
        <v>7900</v>
      </c>
      <c r="D2225" t="s">
        <v>7690</v>
      </c>
      <c r="E2225" t="s">
        <v>7904</v>
      </c>
      <c r="F2225" t="s">
        <v>118</v>
      </c>
      <c r="G2225" t="str">
        <f>HYPERLINK("https://vk.com/wall-27863223_291722?reply=291749")</f>
        <v>https://vk.com/wall-27863223_291722?reply=291749</v>
      </c>
      <c r="H2225" t="s">
        <v>119</v>
      </c>
      <c r="I2225" t="s">
        <v>7455</v>
      </c>
      <c r="J2225" t="str">
        <f>HYPERLINK("http://vk.com/id449680070")</f>
        <v>http://vk.com/id449680070</v>
      </c>
      <c r="K2225">
        <v>337</v>
      </c>
      <c r="L2225" t="s">
        <v>121</v>
      </c>
      <c r="N2225" t="s">
        <v>122</v>
      </c>
      <c r="O2225" t="s">
        <v>175</v>
      </c>
      <c r="P2225" t="str">
        <f>HYPERLINK("http://vk.com/club27863223")</f>
        <v>http://vk.com/club27863223</v>
      </c>
      <c r="Q2225">
        <v>134698</v>
      </c>
      <c r="R2225" t="s">
        <v>124</v>
      </c>
      <c r="S2225" t="s">
        <v>125</v>
      </c>
      <c r="W2225">
        <v>0</v>
      </c>
      <c r="X2225">
        <v>0</v>
      </c>
      <c r="AM2225" t="s">
        <v>129</v>
      </c>
      <c r="AN2225" t="s">
        <v>130</v>
      </c>
      <c r="AP2225" t="s">
        <v>41</v>
      </c>
      <c r="AU2225" t="s">
        <v>46</v>
      </c>
      <c r="AZ2225" t="s">
        <v>51</v>
      </c>
      <c r="BA2225" t="s">
        <v>52</v>
      </c>
    </row>
    <row r="2226" spans="1:77" x14ac:dyDescent="0.2">
      <c r="A2226" t="s">
        <v>7613</v>
      </c>
      <c r="B2226" t="s">
        <v>1794</v>
      </c>
      <c r="C2226" t="s">
        <v>7905</v>
      </c>
      <c r="D2226" t="s">
        <v>7887</v>
      </c>
      <c r="E2226" t="s">
        <v>7906</v>
      </c>
      <c r="F2226" t="s">
        <v>118</v>
      </c>
      <c r="G2226" t="str">
        <f>HYPERLINK("https://vk.com/wall-30799607_839689?reply=839720")</f>
        <v>https://vk.com/wall-30799607_839689?reply=839720</v>
      </c>
      <c r="H2226" t="s">
        <v>181</v>
      </c>
      <c r="I2226" t="s">
        <v>7907</v>
      </c>
      <c r="J2226" t="str">
        <f>HYPERLINK("http://vk.com/id620022410")</f>
        <v>http://vk.com/id620022410</v>
      </c>
      <c r="K2226">
        <v>10</v>
      </c>
      <c r="L2226" t="s">
        <v>121</v>
      </c>
      <c r="M2226">
        <v>75</v>
      </c>
      <c r="N2226" t="s">
        <v>122</v>
      </c>
      <c r="O2226" t="s">
        <v>7890</v>
      </c>
      <c r="P2226" t="str">
        <f>HYPERLINK("http://vk.com/club30799607")</f>
        <v>http://vk.com/club30799607</v>
      </c>
      <c r="Q2226">
        <v>23347</v>
      </c>
      <c r="R2226" t="s">
        <v>124</v>
      </c>
      <c r="S2226" t="s">
        <v>125</v>
      </c>
      <c r="T2226" t="s">
        <v>137</v>
      </c>
      <c r="U2226" t="s">
        <v>137</v>
      </c>
      <c r="AM2226" t="s">
        <v>129</v>
      </c>
      <c r="AN2226" t="s">
        <v>130</v>
      </c>
      <c r="AP2226" t="s">
        <v>41</v>
      </c>
      <c r="AW2226" t="s">
        <v>48</v>
      </c>
      <c r="AZ2226" t="s">
        <v>51</v>
      </c>
      <c r="BA2226" t="s">
        <v>52</v>
      </c>
    </row>
    <row r="2227" spans="1:77" x14ac:dyDescent="0.2">
      <c r="A2227" t="s">
        <v>7613</v>
      </c>
      <c r="B2227" t="s">
        <v>2231</v>
      </c>
      <c r="C2227" t="s">
        <v>7908</v>
      </c>
      <c r="D2227" t="s">
        <v>7909</v>
      </c>
      <c r="E2227" t="s">
        <v>7910</v>
      </c>
      <c r="F2227" t="s">
        <v>180</v>
      </c>
      <c r="G2227" t="str">
        <f>HYPERLINK("https://www.ozon.ru/context/detail/id/240290953/#59300435")</f>
        <v>https://www.ozon.ru/context/detail/id/240290953/#59300435</v>
      </c>
      <c r="H2227" t="s">
        <v>119</v>
      </c>
      <c r="I2227" t="s">
        <v>7911</v>
      </c>
      <c r="J2227" t="str">
        <f>HYPERLINK("https://www.ozon.ru/context/client_opinion/ClientGuid/46758550-5508-4954-bf22-a8d124573c0f/")</f>
        <v>https://www.ozon.ru/context/client_opinion/ClientGuid/46758550-5508-4954-bf22-a8d124573c0f/</v>
      </c>
      <c r="L2227" t="s">
        <v>121</v>
      </c>
      <c r="N2227" t="s">
        <v>183</v>
      </c>
      <c r="O2227" t="s">
        <v>7909</v>
      </c>
      <c r="P2227" t="str">
        <f>HYPERLINK("https://www.ozon.ru/context/detail/id/240290953/")</f>
        <v>https://www.ozon.ru/context/detail/id/240290953/</v>
      </c>
      <c r="R2227" t="s">
        <v>184</v>
      </c>
      <c r="S2227" t="s">
        <v>125</v>
      </c>
      <c r="W2227">
        <v>0</v>
      </c>
      <c r="X2227">
        <v>0</v>
      </c>
      <c r="AH2227">
        <v>4</v>
      </c>
      <c r="AM2227" t="s">
        <v>129</v>
      </c>
      <c r="AN2227" t="s">
        <v>130</v>
      </c>
      <c r="AP2227" t="s">
        <v>41</v>
      </c>
      <c r="AT2227" t="s">
        <v>45</v>
      </c>
      <c r="AZ2227" t="s">
        <v>51</v>
      </c>
      <c r="BA2227" t="s">
        <v>52</v>
      </c>
      <c r="BL2227" t="s">
        <v>63</v>
      </c>
    </row>
    <row r="2228" spans="1:77" x14ac:dyDescent="0.2">
      <c r="A2228" t="s">
        <v>7613</v>
      </c>
      <c r="B2228" t="s">
        <v>2817</v>
      </c>
      <c r="C2228" t="s">
        <v>7821</v>
      </c>
      <c r="D2228" t="s">
        <v>7512</v>
      </c>
      <c r="E2228" t="s">
        <v>7912</v>
      </c>
      <c r="F2228" t="s">
        <v>118</v>
      </c>
      <c r="G2228" t="str">
        <f>HYPERLINK("https://ok.ru/group/52172741083275/topic/153800758578059#MTYyNjI0MDY3OTE2ODotMTA4MjU6MTYyNjI0MDY3OTE2ODoxNTM4MDA3NTg1NzgwNTk6MQ==")</f>
        <v>https://ok.ru/group/52172741083275/topic/153800758578059#MTYyNjI0MDY3OTE2ODotMTA4MjU6MTYyNjI0MDY3OTE2ODoxNTM4MDA3NTg1NzgwNTk6MQ==</v>
      </c>
      <c r="H2228" t="s">
        <v>181</v>
      </c>
      <c r="I2228" t="s">
        <v>7913</v>
      </c>
      <c r="J2228" t="str">
        <f>HYPERLINK("https://ok.ru/profile/587487680264")</f>
        <v>https://ok.ru/profile/587487680264</v>
      </c>
      <c r="K2228">
        <v>229</v>
      </c>
      <c r="L2228" t="s">
        <v>151</v>
      </c>
      <c r="N2228" t="s">
        <v>347</v>
      </c>
      <c r="O2228" t="s">
        <v>4687</v>
      </c>
      <c r="P2228" t="str">
        <f>HYPERLINK("https://ok.ru/group/52172741083275")</f>
        <v>https://ok.ru/group/52172741083275</v>
      </c>
      <c r="Q2228">
        <v>27667</v>
      </c>
      <c r="R2228" t="s">
        <v>124</v>
      </c>
      <c r="S2228" t="s">
        <v>125</v>
      </c>
      <c r="T2228" t="s">
        <v>2566</v>
      </c>
      <c r="U2228" t="s">
        <v>7914</v>
      </c>
      <c r="W2228">
        <v>0</v>
      </c>
      <c r="X2228">
        <v>0</v>
      </c>
      <c r="AM2228" t="s">
        <v>129</v>
      </c>
      <c r="AN2228" t="s">
        <v>130</v>
      </c>
      <c r="AP2228" t="s">
        <v>41</v>
      </c>
      <c r="AW2228" t="s">
        <v>48</v>
      </c>
      <c r="AZ2228" t="s">
        <v>51</v>
      </c>
      <c r="BA2228" t="s">
        <v>52</v>
      </c>
    </row>
    <row r="2229" spans="1:77" x14ac:dyDescent="0.2">
      <c r="A2229" t="s">
        <v>7613</v>
      </c>
      <c r="B2229" t="s">
        <v>7915</v>
      </c>
      <c r="C2229" t="s">
        <v>7916</v>
      </c>
      <c r="D2229" t="s">
        <v>7887</v>
      </c>
      <c r="E2229" t="s">
        <v>7917</v>
      </c>
      <c r="F2229" t="s">
        <v>118</v>
      </c>
      <c r="G2229" t="str">
        <f>HYPERLINK("https://vk.com/wall-30799607_839689?reply=839703")</f>
        <v>https://vk.com/wall-30799607_839689?reply=839703</v>
      </c>
      <c r="H2229" t="s">
        <v>119</v>
      </c>
      <c r="I2229" t="s">
        <v>7918</v>
      </c>
      <c r="J2229" t="str">
        <f>HYPERLINK("http://vk.com/id133338659")</f>
        <v>http://vk.com/id133338659</v>
      </c>
      <c r="K2229">
        <v>109</v>
      </c>
      <c r="L2229" t="s">
        <v>121</v>
      </c>
      <c r="M2229">
        <v>58</v>
      </c>
      <c r="N2229" t="s">
        <v>122</v>
      </c>
      <c r="O2229" t="s">
        <v>7890</v>
      </c>
      <c r="P2229" t="str">
        <f>HYPERLINK("http://vk.com/club30799607")</f>
        <v>http://vk.com/club30799607</v>
      </c>
      <c r="Q2229">
        <v>23347</v>
      </c>
      <c r="R2229" t="s">
        <v>124</v>
      </c>
      <c r="S2229" t="s">
        <v>125</v>
      </c>
      <c r="T2229" t="s">
        <v>570</v>
      </c>
      <c r="U2229" t="s">
        <v>7919</v>
      </c>
      <c r="AM2229" t="s">
        <v>129</v>
      </c>
      <c r="AN2229" t="s">
        <v>130</v>
      </c>
      <c r="AP2229" t="s">
        <v>41</v>
      </c>
      <c r="AW2229" t="s">
        <v>48</v>
      </c>
      <c r="AZ2229" t="s">
        <v>51</v>
      </c>
      <c r="BA2229" t="s">
        <v>52</v>
      </c>
    </row>
    <row r="2230" spans="1:77" x14ac:dyDescent="0.2">
      <c r="A2230" t="s">
        <v>7613</v>
      </c>
      <c r="B2230" t="s">
        <v>3569</v>
      </c>
      <c r="C2230" t="s">
        <v>7920</v>
      </c>
      <c r="D2230" t="s">
        <v>7887</v>
      </c>
      <c r="E2230" t="s">
        <v>7921</v>
      </c>
      <c r="F2230" t="s">
        <v>118</v>
      </c>
      <c r="G2230" t="str">
        <f>HYPERLINK("https://vk.com/wall-30799607_839689?reply=839697")</f>
        <v>https://vk.com/wall-30799607_839689?reply=839697</v>
      </c>
      <c r="H2230" t="s">
        <v>119</v>
      </c>
      <c r="I2230" t="s">
        <v>7902</v>
      </c>
      <c r="J2230" t="str">
        <f>HYPERLINK("http://vk.com/id562025487")</f>
        <v>http://vk.com/id562025487</v>
      </c>
      <c r="K2230">
        <v>21</v>
      </c>
      <c r="L2230" t="s">
        <v>151</v>
      </c>
      <c r="N2230" t="s">
        <v>122</v>
      </c>
      <c r="O2230" t="s">
        <v>7890</v>
      </c>
      <c r="P2230" t="str">
        <f>HYPERLINK("http://vk.com/club30799607")</f>
        <v>http://vk.com/club30799607</v>
      </c>
      <c r="Q2230">
        <v>23347</v>
      </c>
      <c r="R2230" t="s">
        <v>124</v>
      </c>
      <c r="S2230" t="s">
        <v>125</v>
      </c>
      <c r="T2230" t="s">
        <v>137</v>
      </c>
      <c r="U2230" t="s">
        <v>137</v>
      </c>
      <c r="AM2230" t="s">
        <v>129</v>
      </c>
      <c r="AN2230" t="s">
        <v>130</v>
      </c>
      <c r="AP2230" t="s">
        <v>41</v>
      </c>
      <c r="AW2230" t="s">
        <v>48</v>
      </c>
      <c r="AZ2230" t="s">
        <v>51</v>
      </c>
      <c r="BA2230" t="s">
        <v>52</v>
      </c>
    </row>
    <row r="2231" spans="1:77" x14ac:dyDescent="0.2">
      <c r="A2231" t="s">
        <v>7613</v>
      </c>
      <c r="B2231" t="s">
        <v>7922</v>
      </c>
      <c r="C2231" t="s">
        <v>7923</v>
      </c>
      <c r="D2231" t="s">
        <v>7374</v>
      </c>
      <c r="E2231" t="s">
        <v>7924</v>
      </c>
      <c r="F2231" t="s">
        <v>118</v>
      </c>
      <c r="G2231" t="str">
        <f>HYPERLINK("https://vk.com/wall-27863223_291691?w=wall-27863223_291691_r291748")</f>
        <v>https://vk.com/wall-27863223_291691?w=wall-27863223_291691_r291748</v>
      </c>
      <c r="H2231" t="s">
        <v>119</v>
      </c>
      <c r="I2231" t="s">
        <v>7925</v>
      </c>
      <c r="J2231" t="str">
        <f>HYPERLINK("http://vk.com/id187574566")</f>
        <v>http://vk.com/id187574566</v>
      </c>
      <c r="K2231">
        <v>95</v>
      </c>
      <c r="L2231" t="s">
        <v>151</v>
      </c>
      <c r="M2231">
        <v>66</v>
      </c>
      <c r="N2231" t="s">
        <v>122</v>
      </c>
      <c r="O2231" t="s">
        <v>175</v>
      </c>
      <c r="P2231" t="str">
        <f>HYPERLINK("http://vk.com/club27863223")</f>
        <v>http://vk.com/club27863223</v>
      </c>
      <c r="Q2231">
        <v>134698</v>
      </c>
      <c r="R2231" t="s">
        <v>124</v>
      </c>
      <c r="S2231" t="s">
        <v>125</v>
      </c>
      <c r="T2231" t="s">
        <v>153</v>
      </c>
      <c r="U2231" t="s">
        <v>517</v>
      </c>
      <c r="W2231">
        <v>0</v>
      </c>
      <c r="X2231">
        <v>0</v>
      </c>
      <c r="AM2231" t="s">
        <v>129</v>
      </c>
      <c r="AN2231" t="s">
        <v>130</v>
      </c>
      <c r="AP2231" t="s">
        <v>41</v>
      </c>
      <c r="AZ2231" t="s">
        <v>51</v>
      </c>
      <c r="BA2231" t="s">
        <v>52</v>
      </c>
    </row>
    <row r="2232" spans="1:77" x14ac:dyDescent="0.2">
      <c r="A2232" t="s">
        <v>7613</v>
      </c>
      <c r="B2232" t="s">
        <v>3997</v>
      </c>
      <c r="C2232" t="s">
        <v>7926</v>
      </c>
      <c r="D2232" t="s">
        <v>7927</v>
      </c>
      <c r="E2232" t="s">
        <v>7928</v>
      </c>
      <c r="F2232" t="s">
        <v>118</v>
      </c>
      <c r="G2232" t="str">
        <f>HYPERLINK("https://vk.com/wall-22935147_368341?reply=368357")</f>
        <v>https://vk.com/wall-22935147_368341?reply=368357</v>
      </c>
      <c r="H2232" t="s">
        <v>119</v>
      </c>
      <c r="I2232" t="s">
        <v>7929</v>
      </c>
      <c r="J2232" t="str">
        <f>HYPERLINK("http://vk.com/id617358279")</f>
        <v>http://vk.com/id617358279</v>
      </c>
      <c r="K2232">
        <v>5</v>
      </c>
      <c r="L2232" t="s">
        <v>121</v>
      </c>
      <c r="M2232">
        <v>42</v>
      </c>
      <c r="N2232" t="s">
        <v>122</v>
      </c>
      <c r="O2232" t="s">
        <v>1093</v>
      </c>
      <c r="P2232" t="str">
        <f>HYPERLINK("http://vk.com/club22935147")</f>
        <v>http://vk.com/club22935147</v>
      </c>
      <c r="Q2232">
        <v>8943</v>
      </c>
      <c r="R2232" t="s">
        <v>124</v>
      </c>
      <c r="S2232" t="s">
        <v>125</v>
      </c>
      <c r="T2232" t="s">
        <v>256</v>
      </c>
      <c r="U2232" t="s">
        <v>6836</v>
      </c>
      <c r="AM2232" t="s">
        <v>129</v>
      </c>
      <c r="AN2232" t="s">
        <v>130</v>
      </c>
      <c r="AP2232" t="s">
        <v>41</v>
      </c>
      <c r="AU2232" t="s">
        <v>46</v>
      </c>
      <c r="AW2232" t="s">
        <v>48</v>
      </c>
      <c r="AZ2232" t="s">
        <v>51</v>
      </c>
      <c r="BA2232" t="s">
        <v>52</v>
      </c>
    </row>
    <row r="2233" spans="1:77" x14ac:dyDescent="0.2">
      <c r="A2233" t="s">
        <v>7613</v>
      </c>
      <c r="B2233" t="s">
        <v>4935</v>
      </c>
      <c r="C2233" t="s">
        <v>7930</v>
      </c>
      <c r="D2233" t="s">
        <v>7887</v>
      </c>
      <c r="E2233" t="s">
        <v>7931</v>
      </c>
      <c r="F2233" t="s">
        <v>118</v>
      </c>
      <c r="G2233" t="str">
        <f>HYPERLINK("https://vk.com/wall-30799607_839689?reply=839691")</f>
        <v>https://vk.com/wall-30799607_839689?reply=839691</v>
      </c>
      <c r="H2233" t="s">
        <v>119</v>
      </c>
      <c r="I2233" t="s">
        <v>7932</v>
      </c>
      <c r="J2233" t="str">
        <f>HYPERLINK("http://vk.com/id151256871")</f>
        <v>http://vk.com/id151256871</v>
      </c>
      <c r="K2233">
        <v>267</v>
      </c>
      <c r="L2233" t="s">
        <v>151</v>
      </c>
      <c r="M2233">
        <v>45</v>
      </c>
      <c r="N2233" t="s">
        <v>122</v>
      </c>
      <c r="O2233" t="s">
        <v>7890</v>
      </c>
      <c r="P2233" t="str">
        <f>HYPERLINK("http://vk.com/club30799607")</f>
        <v>http://vk.com/club30799607</v>
      </c>
      <c r="Q2233">
        <v>23347</v>
      </c>
      <c r="R2233" t="s">
        <v>124</v>
      </c>
      <c r="S2233" t="s">
        <v>125</v>
      </c>
      <c r="T2233" t="s">
        <v>137</v>
      </c>
      <c r="U2233" t="s">
        <v>137</v>
      </c>
      <c r="AM2233" t="s">
        <v>129</v>
      </c>
      <c r="AN2233" t="s">
        <v>130</v>
      </c>
      <c r="AP2233" t="s">
        <v>41</v>
      </c>
      <c r="AW2233" t="s">
        <v>48</v>
      </c>
      <c r="AZ2233" t="s">
        <v>51</v>
      </c>
      <c r="BA2233" t="s">
        <v>52</v>
      </c>
    </row>
    <row r="2234" spans="1:77" x14ac:dyDescent="0.2">
      <c r="A2234" t="s">
        <v>7613</v>
      </c>
      <c r="B2234" t="s">
        <v>4481</v>
      </c>
      <c r="C2234" t="s">
        <v>7933</v>
      </c>
      <c r="D2234" t="s">
        <v>129</v>
      </c>
      <c r="E2234" t="s">
        <v>7887</v>
      </c>
      <c r="F2234" t="s">
        <v>180</v>
      </c>
      <c r="G2234" t="str">
        <f>HYPERLINK("https://vk.com/wall-30799607_839689")</f>
        <v>https://vk.com/wall-30799607_839689</v>
      </c>
      <c r="H2234" t="s">
        <v>119</v>
      </c>
      <c r="I2234" t="s">
        <v>7902</v>
      </c>
      <c r="J2234" t="str">
        <f>HYPERLINK("http://vk.com/id562025487")</f>
        <v>http://vk.com/id562025487</v>
      </c>
      <c r="K2234">
        <v>21</v>
      </c>
      <c r="L2234" t="s">
        <v>151</v>
      </c>
      <c r="N2234" t="s">
        <v>122</v>
      </c>
      <c r="O2234" t="s">
        <v>7890</v>
      </c>
      <c r="P2234" t="str">
        <f>HYPERLINK("http://vk.com/club30799607")</f>
        <v>http://vk.com/club30799607</v>
      </c>
      <c r="Q2234">
        <v>23347</v>
      </c>
      <c r="R2234" t="s">
        <v>124</v>
      </c>
      <c r="S2234" t="s">
        <v>125</v>
      </c>
      <c r="T2234" t="s">
        <v>137</v>
      </c>
      <c r="U2234" t="s">
        <v>137</v>
      </c>
      <c r="W2234">
        <v>0</v>
      </c>
      <c r="X2234">
        <v>0</v>
      </c>
      <c r="AE2234">
        <v>7</v>
      </c>
      <c r="AF2234">
        <v>0</v>
      </c>
      <c r="AM2234" t="s">
        <v>129</v>
      </c>
      <c r="AN2234" t="s">
        <v>130</v>
      </c>
      <c r="AP2234" t="s">
        <v>41</v>
      </c>
      <c r="AW2234" t="s">
        <v>48</v>
      </c>
      <c r="AZ2234" t="s">
        <v>51</v>
      </c>
      <c r="BA2234" t="s">
        <v>52</v>
      </c>
    </row>
    <row r="2235" spans="1:77" x14ac:dyDescent="0.2">
      <c r="A2235" t="s">
        <v>7613</v>
      </c>
      <c r="B2235" t="s">
        <v>7934</v>
      </c>
      <c r="C2235" t="s">
        <v>7935</v>
      </c>
      <c r="D2235" t="s">
        <v>7374</v>
      </c>
      <c r="E2235" t="s">
        <v>7936</v>
      </c>
      <c r="F2235" t="s">
        <v>118</v>
      </c>
      <c r="G2235" t="str">
        <f>HYPERLINK("https://vk.com/wall-27863223_291691?reply=291746&amp;thread=291718")</f>
        <v>https://vk.com/wall-27863223_291691?reply=291746&amp;thread=291718</v>
      </c>
      <c r="H2235" t="s">
        <v>119</v>
      </c>
      <c r="I2235" t="s">
        <v>7937</v>
      </c>
      <c r="J2235" t="str">
        <f>HYPERLINK("http://vk.com/id280630355")</f>
        <v>http://vk.com/id280630355</v>
      </c>
      <c r="K2235">
        <v>80</v>
      </c>
      <c r="L2235" t="s">
        <v>121</v>
      </c>
      <c r="M2235">
        <v>42</v>
      </c>
      <c r="N2235" t="s">
        <v>122</v>
      </c>
      <c r="O2235" t="s">
        <v>175</v>
      </c>
      <c r="P2235" t="str">
        <f>HYPERLINK("http://vk.com/club27863223")</f>
        <v>http://vk.com/club27863223</v>
      </c>
      <c r="Q2235">
        <v>134698</v>
      </c>
      <c r="R2235" t="s">
        <v>124</v>
      </c>
      <c r="S2235" t="s">
        <v>125</v>
      </c>
      <c r="T2235" t="s">
        <v>256</v>
      </c>
      <c r="U2235" t="s">
        <v>7938</v>
      </c>
      <c r="AM2235" t="s">
        <v>129</v>
      </c>
      <c r="AN2235" t="s">
        <v>130</v>
      </c>
      <c r="AP2235" t="s">
        <v>41</v>
      </c>
      <c r="AU2235" t="s">
        <v>46</v>
      </c>
      <c r="AW2235" t="s">
        <v>48</v>
      </c>
      <c r="AZ2235" t="s">
        <v>51</v>
      </c>
      <c r="BA2235" t="s">
        <v>52</v>
      </c>
      <c r="BL2235" t="s">
        <v>63</v>
      </c>
    </row>
    <row r="2236" spans="1:77" x14ac:dyDescent="0.2">
      <c r="A2236" t="s">
        <v>7613</v>
      </c>
      <c r="B2236" t="s">
        <v>710</v>
      </c>
      <c r="C2236" t="s">
        <v>7939</v>
      </c>
      <c r="D2236" t="s">
        <v>204</v>
      </c>
      <c r="E2236" t="s">
        <v>7940</v>
      </c>
      <c r="F2236" t="s">
        <v>180</v>
      </c>
      <c r="G2236" t="str">
        <f>HYPERLINK("https://play.google.com/store/apps/details?id=ru.iflex.android.a3colortv&amp;reviewId=gp:AOqpTOHppjRBPzzQEBGWNTenmMkundG_xJ-LmBZ0IYG4lxb73BcHXWHD6chFzU80i0lo8KP1e-7jIZZaexxvag")</f>
        <v>https://play.google.com/store/apps/details?id=ru.iflex.android.a3colortv&amp;reviewId=gp:AOqpTOHppjRBPzzQEBGWNTenmMkundG_xJ-LmBZ0IYG4lxb73BcHXWHD6chFzU80i0lo8KP1e-7jIZZaexxvag</v>
      </c>
      <c r="H2236" t="s">
        <v>228</v>
      </c>
      <c r="I2236" t="s">
        <v>7941</v>
      </c>
      <c r="J2236" t="str">
        <f>HYPERLINK("https://plus.google.com/100104565721522715094")</f>
        <v>https://plus.google.com/100104565721522715094</v>
      </c>
      <c r="L2236" t="s">
        <v>121</v>
      </c>
      <c r="N2236" t="s">
        <v>207</v>
      </c>
      <c r="O2236" t="s">
        <v>204</v>
      </c>
      <c r="P2236" t="str">
        <f>HYPERLINK("https://play.google.com/store/apps/details?id=ru.iflex.android.a3colortv&amp;hl=ru")</f>
        <v>https://play.google.com/store/apps/details?id=ru.iflex.android.a3colortv&amp;hl=ru</v>
      </c>
      <c r="R2236" t="s">
        <v>184</v>
      </c>
      <c r="S2236" t="s">
        <v>125</v>
      </c>
      <c r="W2236">
        <v>0</v>
      </c>
      <c r="X2236">
        <v>0</v>
      </c>
      <c r="AH2236">
        <v>1</v>
      </c>
      <c r="AM2236" t="s">
        <v>129</v>
      </c>
      <c r="AN2236" t="s">
        <v>130</v>
      </c>
      <c r="AP2236" t="s">
        <v>41</v>
      </c>
      <c r="AZ2236" t="s">
        <v>51</v>
      </c>
      <c r="BA2236" t="s">
        <v>52</v>
      </c>
      <c r="BQ2236" t="s">
        <v>68</v>
      </c>
    </row>
    <row r="2237" spans="1:77" x14ac:dyDescent="0.2">
      <c r="A2237" t="s">
        <v>7613</v>
      </c>
      <c r="B2237" t="s">
        <v>7942</v>
      </c>
      <c r="C2237" t="s">
        <v>7943</v>
      </c>
      <c r="D2237" t="s">
        <v>7944</v>
      </c>
      <c r="E2237" t="s">
        <v>7945</v>
      </c>
      <c r="F2237" t="s">
        <v>118</v>
      </c>
      <c r="G2237" t="str">
        <f>HYPERLINK("https://www.facebook.com/story.php?story_fbid=4179315568780741&amp;id=100001070165997&amp;comment_id=4179754512070180")</f>
        <v>https://www.facebook.com/story.php?story_fbid=4179315568780741&amp;id=100001070165997&amp;comment_id=4179754512070180</v>
      </c>
      <c r="H2237" t="s">
        <v>119</v>
      </c>
      <c r="I2237" t="s">
        <v>7946</v>
      </c>
      <c r="J2237" t="str">
        <f>HYPERLINK("https://www.facebook.com/100002207337841")</f>
        <v>https://www.facebook.com/100002207337841</v>
      </c>
      <c r="K2237">
        <v>4918</v>
      </c>
      <c r="L2237" t="s">
        <v>121</v>
      </c>
      <c r="N2237" t="s">
        <v>305</v>
      </c>
      <c r="O2237" t="s">
        <v>7947</v>
      </c>
      <c r="P2237" t="str">
        <f>HYPERLINK("https://www.facebook.com/100001070165997")</f>
        <v>https://www.facebook.com/100001070165997</v>
      </c>
      <c r="Q2237">
        <v>3259</v>
      </c>
      <c r="R2237" t="s">
        <v>124</v>
      </c>
      <c r="S2237" t="s">
        <v>125</v>
      </c>
      <c r="T2237" t="s">
        <v>169</v>
      </c>
      <c r="U2237" t="s">
        <v>169</v>
      </c>
      <c r="W2237">
        <v>0</v>
      </c>
      <c r="X2237">
        <v>0</v>
      </c>
      <c r="AE2237">
        <v>0</v>
      </c>
      <c r="AM2237" t="s">
        <v>129</v>
      </c>
      <c r="AN2237" t="s">
        <v>130</v>
      </c>
      <c r="AP2237" t="s">
        <v>41</v>
      </c>
      <c r="AU2237" t="s">
        <v>46</v>
      </c>
      <c r="AZ2237" t="s">
        <v>51</v>
      </c>
      <c r="BA2237" t="s">
        <v>52</v>
      </c>
    </row>
    <row r="2238" spans="1:77" x14ac:dyDescent="0.2">
      <c r="A2238" t="s">
        <v>7613</v>
      </c>
      <c r="B2238" t="s">
        <v>4965</v>
      </c>
      <c r="C2238" t="s">
        <v>7948</v>
      </c>
      <c r="D2238" t="s">
        <v>7949</v>
      </c>
      <c r="E2238" t="s">
        <v>2260</v>
      </c>
      <c r="F2238" t="s">
        <v>118</v>
      </c>
      <c r="G2238" t="str">
        <f>HYPERLINK("https://www.facebook.com/story.php?story_fbid=4655622371118723&amp;id=100000130190468&amp;comment_id=4658059490875011")</f>
        <v>https://www.facebook.com/story.php?story_fbid=4655622371118723&amp;id=100000130190468&amp;comment_id=4658059490875011</v>
      </c>
      <c r="H2238" t="s">
        <v>119</v>
      </c>
      <c r="I2238" t="s">
        <v>695</v>
      </c>
      <c r="J2238" t="str">
        <f>HYPERLINK("https://www.facebook.com/100002360413124")</f>
        <v>https://www.facebook.com/100002360413124</v>
      </c>
      <c r="K2238">
        <v>5211</v>
      </c>
      <c r="L2238" t="s">
        <v>121</v>
      </c>
      <c r="N2238" t="s">
        <v>305</v>
      </c>
      <c r="O2238" t="s">
        <v>7950</v>
      </c>
      <c r="P2238" t="str">
        <f>HYPERLINK("https://www.facebook.com/100000130190468")</f>
        <v>https://www.facebook.com/100000130190468</v>
      </c>
      <c r="Q2238">
        <v>21371</v>
      </c>
      <c r="R2238" t="s">
        <v>124</v>
      </c>
      <c r="S2238" t="s">
        <v>125</v>
      </c>
      <c r="T2238" t="s">
        <v>372</v>
      </c>
      <c r="U2238" t="s">
        <v>373</v>
      </c>
      <c r="W2238">
        <v>0</v>
      </c>
      <c r="X2238">
        <v>0</v>
      </c>
      <c r="AE2238">
        <v>0</v>
      </c>
      <c r="AJ2238" t="s">
        <v>129</v>
      </c>
      <c r="AK2238" t="s">
        <v>4515</v>
      </c>
      <c r="AL2238" t="s">
        <v>7951</v>
      </c>
      <c r="AM2238" t="s">
        <v>129</v>
      </c>
      <c r="AN2238" t="s">
        <v>130</v>
      </c>
      <c r="AP2238" t="s">
        <v>41</v>
      </c>
      <c r="AU2238" t="s">
        <v>46</v>
      </c>
      <c r="AZ2238" t="s">
        <v>51</v>
      </c>
      <c r="BA2238" t="s">
        <v>52</v>
      </c>
      <c r="BY2238" t="s">
        <v>76</v>
      </c>
    </row>
    <row r="2239" spans="1:77" x14ac:dyDescent="0.2">
      <c r="A2239" t="s">
        <v>7613</v>
      </c>
      <c r="B2239" t="s">
        <v>7952</v>
      </c>
      <c r="C2239" t="s">
        <v>7953</v>
      </c>
      <c r="D2239" t="s">
        <v>7954</v>
      </c>
      <c r="E2239" t="s">
        <v>2260</v>
      </c>
      <c r="F2239" t="s">
        <v>118</v>
      </c>
      <c r="G2239" t="str">
        <f>HYPERLINK("https://www.facebook.com/story.php?story_fbid=5823474854360172&amp;id=100000931446671&amp;comment_id=5825029874204670")</f>
        <v>https://www.facebook.com/story.php?story_fbid=5823474854360172&amp;id=100000931446671&amp;comment_id=5825029874204670</v>
      </c>
      <c r="H2239" t="s">
        <v>119</v>
      </c>
      <c r="I2239" t="s">
        <v>695</v>
      </c>
      <c r="J2239" t="str">
        <f>HYPERLINK("https://www.facebook.com/100002360413124")</f>
        <v>https://www.facebook.com/100002360413124</v>
      </c>
      <c r="K2239">
        <v>5211</v>
      </c>
      <c r="L2239" t="s">
        <v>121</v>
      </c>
      <c r="N2239" t="s">
        <v>305</v>
      </c>
      <c r="O2239" t="s">
        <v>7955</v>
      </c>
      <c r="P2239" t="str">
        <f>HYPERLINK("https://www.facebook.com/100000931446671")</f>
        <v>https://www.facebook.com/100000931446671</v>
      </c>
      <c r="Q2239">
        <v>5460</v>
      </c>
      <c r="R2239" t="s">
        <v>124</v>
      </c>
      <c r="S2239" t="s">
        <v>125</v>
      </c>
      <c r="T2239" t="s">
        <v>372</v>
      </c>
      <c r="U2239" t="s">
        <v>373</v>
      </c>
      <c r="W2239">
        <v>0</v>
      </c>
      <c r="X2239">
        <v>0</v>
      </c>
      <c r="AE2239">
        <v>1</v>
      </c>
      <c r="AJ2239" t="s">
        <v>129</v>
      </c>
      <c r="AK2239" t="s">
        <v>4515</v>
      </c>
      <c r="AL2239" t="s">
        <v>7956</v>
      </c>
      <c r="AM2239" t="s">
        <v>129</v>
      </c>
      <c r="AN2239" t="s">
        <v>130</v>
      </c>
      <c r="AP2239" t="s">
        <v>41</v>
      </c>
      <c r="AU2239" t="s">
        <v>46</v>
      </c>
      <c r="AZ2239" t="s">
        <v>51</v>
      </c>
      <c r="BA2239" t="s">
        <v>52</v>
      </c>
      <c r="BY2239" t="s">
        <v>76</v>
      </c>
    </row>
    <row r="2240" spans="1:77" x14ac:dyDescent="0.2">
      <c r="A2240" t="s">
        <v>7613</v>
      </c>
      <c r="B2240" t="s">
        <v>7957</v>
      </c>
      <c r="C2240" t="s">
        <v>7958</v>
      </c>
      <c r="D2240" t="s">
        <v>3166</v>
      </c>
      <c r="E2240" t="s">
        <v>7959</v>
      </c>
      <c r="F2240" t="s">
        <v>118</v>
      </c>
      <c r="G2240" t="str">
        <f>HYPERLINK("https://vk.com/wall-27863223_291605?reply=291744")</f>
        <v>https://vk.com/wall-27863223_291605?reply=291744</v>
      </c>
      <c r="H2240" t="s">
        <v>119</v>
      </c>
      <c r="I2240" t="s">
        <v>7960</v>
      </c>
      <c r="J2240" t="str">
        <f>HYPERLINK("http://vk.com/id112168036")</f>
        <v>http://vk.com/id112168036</v>
      </c>
      <c r="K2240">
        <v>42</v>
      </c>
      <c r="L2240" t="s">
        <v>121</v>
      </c>
      <c r="N2240" t="s">
        <v>122</v>
      </c>
      <c r="O2240" t="s">
        <v>175</v>
      </c>
      <c r="P2240" t="str">
        <f>HYPERLINK("http://vk.com/club27863223")</f>
        <v>http://vk.com/club27863223</v>
      </c>
      <c r="Q2240">
        <v>134698</v>
      </c>
      <c r="R2240" t="s">
        <v>124</v>
      </c>
      <c r="S2240" t="s">
        <v>125</v>
      </c>
      <c r="T2240" t="s">
        <v>364</v>
      </c>
      <c r="U2240" t="s">
        <v>365</v>
      </c>
      <c r="AM2240" t="s">
        <v>129</v>
      </c>
      <c r="AN2240" t="s">
        <v>130</v>
      </c>
      <c r="AP2240" t="s">
        <v>41</v>
      </c>
      <c r="AT2240" t="s">
        <v>45</v>
      </c>
      <c r="AZ2240" t="s">
        <v>51</v>
      </c>
      <c r="BA2240" t="s">
        <v>52</v>
      </c>
      <c r="BL2240" t="s">
        <v>63</v>
      </c>
    </row>
    <row r="2241" spans="1:70" x14ac:dyDescent="0.2">
      <c r="A2241" t="s">
        <v>7613</v>
      </c>
      <c r="B2241" t="s">
        <v>6570</v>
      </c>
      <c r="C2241" t="s">
        <v>7961</v>
      </c>
      <c r="D2241" t="s">
        <v>3166</v>
      </c>
      <c r="E2241" t="s">
        <v>7959</v>
      </c>
      <c r="F2241" t="s">
        <v>118</v>
      </c>
      <c r="G2241" t="str">
        <f>HYPERLINK("https://vk.com/wall-27863223_291605?reply=291743&amp;thread=291620")</f>
        <v>https://vk.com/wall-27863223_291605?reply=291743&amp;thread=291620</v>
      </c>
      <c r="H2241" t="s">
        <v>119</v>
      </c>
      <c r="I2241" t="s">
        <v>7960</v>
      </c>
      <c r="J2241" t="str">
        <f>HYPERLINK("http://vk.com/id112168036")</f>
        <v>http://vk.com/id112168036</v>
      </c>
      <c r="K2241">
        <v>42</v>
      </c>
      <c r="L2241" t="s">
        <v>121</v>
      </c>
      <c r="N2241" t="s">
        <v>122</v>
      </c>
      <c r="O2241" t="s">
        <v>175</v>
      </c>
      <c r="P2241" t="str">
        <f>HYPERLINK("http://vk.com/club27863223")</f>
        <v>http://vk.com/club27863223</v>
      </c>
      <c r="Q2241">
        <v>134698</v>
      </c>
      <c r="R2241" t="s">
        <v>124</v>
      </c>
      <c r="S2241" t="s">
        <v>125</v>
      </c>
      <c r="T2241" t="s">
        <v>364</v>
      </c>
      <c r="U2241" t="s">
        <v>365</v>
      </c>
      <c r="AM2241" t="s">
        <v>129</v>
      </c>
      <c r="AN2241" t="s">
        <v>130</v>
      </c>
      <c r="AP2241" t="s">
        <v>41</v>
      </c>
      <c r="AT2241" t="s">
        <v>45</v>
      </c>
      <c r="AZ2241" t="s">
        <v>51</v>
      </c>
      <c r="BA2241" t="s">
        <v>52</v>
      </c>
      <c r="BL2241" t="s">
        <v>63</v>
      </c>
    </row>
    <row r="2242" spans="1:70" x14ac:dyDescent="0.2">
      <c r="A2242" t="s">
        <v>7613</v>
      </c>
      <c r="B2242" t="s">
        <v>7609</v>
      </c>
      <c r="C2242" t="s">
        <v>5452</v>
      </c>
      <c r="D2242" t="s">
        <v>7962</v>
      </c>
      <c r="E2242" t="s">
        <v>7963</v>
      </c>
      <c r="F2242" t="s">
        <v>180</v>
      </c>
      <c r="G2242" t="str">
        <f>HYPERLINK("https://www.ozon.ru/context/detail/id/255246801/#59273389")</f>
        <v>https://www.ozon.ru/context/detail/id/255246801/#59273389</v>
      </c>
      <c r="H2242" t="s">
        <v>181</v>
      </c>
      <c r="I2242" t="s">
        <v>1347</v>
      </c>
      <c r="J2242" t="str">
        <f>HYPERLINK("https://www.ozon.ru/context/client_opinion/ClientGuid/cb4103a0-9274-43a4-810e-fcb0bbaa43aa/")</f>
        <v>https://www.ozon.ru/context/client_opinion/ClientGuid/cb4103a0-9274-43a4-810e-fcb0bbaa43aa/</v>
      </c>
      <c r="L2242" t="s">
        <v>121</v>
      </c>
      <c r="N2242" t="s">
        <v>183</v>
      </c>
      <c r="O2242" t="s">
        <v>7962</v>
      </c>
      <c r="P2242" t="str">
        <f>HYPERLINK("https://www.ozon.ru/context/detail/id/255246801/")</f>
        <v>https://www.ozon.ru/context/detail/id/255246801/</v>
      </c>
      <c r="R2242" t="s">
        <v>184</v>
      </c>
      <c r="S2242" t="s">
        <v>125</v>
      </c>
      <c r="W2242">
        <v>2</v>
      </c>
      <c r="X2242">
        <v>2</v>
      </c>
      <c r="AH2242">
        <v>5</v>
      </c>
      <c r="AJ2242" t="s">
        <v>2424</v>
      </c>
      <c r="AK2242" t="s">
        <v>129</v>
      </c>
      <c r="AL2242" t="str">
        <f>HYPERLINK("https://cdn1.ozone.ru/s3/rp-photo-4/9dbba641-2bb5-4f5e-a8df-cee8d195ed83.jpeg")</f>
        <v>https://cdn1.ozone.ru/s3/rp-photo-4/9dbba641-2bb5-4f5e-a8df-cee8d195ed83.jpeg</v>
      </c>
      <c r="AM2242" t="s">
        <v>129</v>
      </c>
      <c r="AN2242" t="s">
        <v>130</v>
      </c>
      <c r="AP2242" t="s">
        <v>41</v>
      </c>
      <c r="AT2242" t="s">
        <v>45</v>
      </c>
      <c r="AZ2242" t="s">
        <v>51</v>
      </c>
      <c r="BA2242" t="s">
        <v>52</v>
      </c>
      <c r="BL2242" t="s">
        <v>63</v>
      </c>
      <c r="BM2242" t="s">
        <v>64</v>
      </c>
    </row>
    <row r="2243" spans="1:70" x14ac:dyDescent="0.2">
      <c r="A2243" t="s">
        <v>7964</v>
      </c>
      <c r="B2243" t="s">
        <v>7965</v>
      </c>
      <c r="C2243" t="s">
        <v>6286</v>
      </c>
      <c r="D2243" t="s">
        <v>7966</v>
      </c>
      <c r="E2243" t="s">
        <v>7967</v>
      </c>
      <c r="F2243" t="s">
        <v>180</v>
      </c>
      <c r="G2243" t="str">
        <f>HYPERLINK("https://www.ozon.ru/context/detail/id/210285247/#59269695")</f>
        <v>https://www.ozon.ru/context/detail/id/210285247/#59269695</v>
      </c>
      <c r="H2243" t="s">
        <v>181</v>
      </c>
      <c r="I2243" t="s">
        <v>512</v>
      </c>
      <c r="J2243" t="str">
        <f>HYPERLINK("https://www.ozon.ru/context/client_opinion/ClientGuid//")</f>
        <v>https://www.ozon.ru/context/client_opinion/ClientGuid//</v>
      </c>
      <c r="N2243" t="s">
        <v>183</v>
      </c>
      <c r="O2243" t="s">
        <v>7966</v>
      </c>
      <c r="P2243" t="str">
        <f>HYPERLINK("https://www.ozon.ru/context/detail/id/210285247/")</f>
        <v>https://www.ozon.ru/context/detail/id/210285247/</v>
      </c>
      <c r="R2243" t="s">
        <v>184</v>
      </c>
      <c r="S2243" t="s">
        <v>125</v>
      </c>
      <c r="W2243">
        <v>1</v>
      </c>
      <c r="X2243">
        <v>1</v>
      </c>
      <c r="AH2243">
        <v>5</v>
      </c>
      <c r="AM2243" t="s">
        <v>129</v>
      </c>
      <c r="AN2243" t="s">
        <v>130</v>
      </c>
      <c r="AP2243" t="s">
        <v>41</v>
      </c>
      <c r="AT2243" t="s">
        <v>45</v>
      </c>
      <c r="AZ2243" t="s">
        <v>51</v>
      </c>
      <c r="BA2243" t="s">
        <v>52</v>
      </c>
      <c r="BL2243" t="s">
        <v>63</v>
      </c>
    </row>
    <row r="2244" spans="1:70" x14ac:dyDescent="0.2">
      <c r="A2244" t="s">
        <v>7964</v>
      </c>
      <c r="B2244" t="s">
        <v>3606</v>
      </c>
      <c r="C2244" t="s">
        <v>7968</v>
      </c>
      <c r="D2244" t="s">
        <v>7969</v>
      </c>
      <c r="E2244" t="s">
        <v>7970</v>
      </c>
      <c r="F2244" t="s">
        <v>118</v>
      </c>
      <c r="G2244" t="str">
        <f>HYPERLINK("https://vk.com/wall-22935147_368314?w=wall-22935147_368314_r368355")</f>
        <v>https://vk.com/wall-22935147_368314?w=wall-22935147_368314_r368355</v>
      </c>
      <c r="H2244" t="s">
        <v>119</v>
      </c>
      <c r="I2244" t="s">
        <v>7971</v>
      </c>
      <c r="J2244" t="str">
        <f>HYPERLINK("http://vk.com/id4291789")</f>
        <v>http://vk.com/id4291789</v>
      </c>
      <c r="K2244">
        <v>823</v>
      </c>
      <c r="L2244" t="s">
        <v>121</v>
      </c>
      <c r="M2244">
        <v>44</v>
      </c>
      <c r="N2244" t="s">
        <v>122</v>
      </c>
      <c r="O2244" t="s">
        <v>1093</v>
      </c>
      <c r="P2244" t="str">
        <f>HYPERLINK("http://vk.com/club22935147")</f>
        <v>http://vk.com/club22935147</v>
      </c>
      <c r="Q2244">
        <v>8943</v>
      </c>
      <c r="R2244" t="s">
        <v>124</v>
      </c>
      <c r="S2244" t="s">
        <v>125</v>
      </c>
      <c r="T2244" t="s">
        <v>2166</v>
      </c>
      <c r="U2244" t="s">
        <v>7972</v>
      </c>
      <c r="W2244">
        <v>0</v>
      </c>
      <c r="X2244">
        <v>0</v>
      </c>
      <c r="AM2244" t="s">
        <v>129</v>
      </c>
      <c r="AN2244" t="s">
        <v>130</v>
      </c>
      <c r="AP2244" t="s">
        <v>41</v>
      </c>
      <c r="AZ2244" t="s">
        <v>51</v>
      </c>
      <c r="BA2244" t="s">
        <v>52</v>
      </c>
      <c r="BL2244" t="s">
        <v>63</v>
      </c>
    </row>
    <row r="2245" spans="1:70" x14ac:dyDescent="0.2">
      <c r="A2245" t="s">
        <v>7964</v>
      </c>
      <c r="B2245" t="s">
        <v>1871</v>
      </c>
      <c r="C2245" t="s">
        <v>7973</v>
      </c>
      <c r="D2245" t="s">
        <v>1408</v>
      </c>
      <c r="E2245" t="s">
        <v>7974</v>
      </c>
      <c r="F2245" t="s">
        <v>180</v>
      </c>
      <c r="G2245" t="str">
        <f>HYPERLINK("https://apps.apple.com/ru/app/триколор-кино-и-тв-онлайн/id1412797916#7572926076")</f>
        <v>https://apps.apple.com/ru/app/триколор-кино-и-тв-онлайн/id1412797916#7572926076</v>
      </c>
      <c r="H2245" t="s">
        <v>228</v>
      </c>
      <c r="I2245" t="s">
        <v>7975</v>
      </c>
      <c r="J2245" t="str">
        <f>HYPERLINK("https://itunes.apple.com/reviews?userProfileId=110035446")</f>
        <v>https://itunes.apple.com/reviews?userProfileId=110035446</v>
      </c>
      <c r="N2245" t="s">
        <v>1411</v>
      </c>
      <c r="O2245" t="s">
        <v>1408</v>
      </c>
      <c r="P2245" t="str">
        <f>HYPERLINK("https://apps.apple.com/ru/app/триколор-кино-и-тв-онлайн/id1412797916")</f>
        <v>https://apps.apple.com/ru/app/триколор-кино-и-тв-онлайн/id1412797916</v>
      </c>
      <c r="R2245" t="s">
        <v>184</v>
      </c>
      <c r="S2245" t="s">
        <v>125</v>
      </c>
      <c r="AH2245">
        <v>1</v>
      </c>
      <c r="AM2245" t="s">
        <v>129</v>
      </c>
      <c r="AN2245" t="s">
        <v>130</v>
      </c>
      <c r="AP2245" t="s">
        <v>41</v>
      </c>
      <c r="AU2245" t="s">
        <v>46</v>
      </c>
      <c r="AZ2245" t="s">
        <v>51</v>
      </c>
      <c r="BA2245" t="s">
        <v>52</v>
      </c>
      <c r="BQ2245" t="s">
        <v>68</v>
      </c>
    </row>
    <row r="2246" spans="1:70" x14ac:dyDescent="0.2">
      <c r="A2246" t="s">
        <v>7964</v>
      </c>
      <c r="B2246" t="s">
        <v>7976</v>
      </c>
      <c r="C2246" t="s">
        <v>7968</v>
      </c>
      <c r="D2246" t="s">
        <v>7969</v>
      </c>
      <c r="E2246" t="s">
        <v>7977</v>
      </c>
      <c r="F2246" t="s">
        <v>118</v>
      </c>
      <c r="G2246" t="str">
        <f>HYPERLINK("https://vk.com/wall-22935147_368314?w=wall-22935147_368314_r368353")</f>
        <v>https://vk.com/wall-22935147_368314?w=wall-22935147_368314_r368353</v>
      </c>
      <c r="H2246" t="s">
        <v>119</v>
      </c>
      <c r="I2246" t="s">
        <v>7971</v>
      </c>
      <c r="J2246" t="str">
        <f>HYPERLINK("http://vk.com/id4291789")</f>
        <v>http://vk.com/id4291789</v>
      </c>
      <c r="K2246">
        <v>823</v>
      </c>
      <c r="L2246" t="s">
        <v>121</v>
      </c>
      <c r="M2246">
        <v>44</v>
      </c>
      <c r="N2246" t="s">
        <v>122</v>
      </c>
      <c r="O2246" t="s">
        <v>1093</v>
      </c>
      <c r="P2246" t="str">
        <f>HYPERLINK("http://vk.com/club22935147")</f>
        <v>http://vk.com/club22935147</v>
      </c>
      <c r="Q2246">
        <v>8943</v>
      </c>
      <c r="R2246" t="s">
        <v>124</v>
      </c>
      <c r="S2246" t="s">
        <v>125</v>
      </c>
      <c r="T2246" t="s">
        <v>2166</v>
      </c>
      <c r="U2246" t="s">
        <v>7972</v>
      </c>
      <c r="W2246">
        <v>0</v>
      </c>
      <c r="X2246">
        <v>0</v>
      </c>
      <c r="AM2246" t="s">
        <v>129</v>
      </c>
      <c r="AN2246" t="s">
        <v>130</v>
      </c>
      <c r="AP2246" t="s">
        <v>41</v>
      </c>
      <c r="AZ2246" t="s">
        <v>51</v>
      </c>
      <c r="BA2246" t="s">
        <v>52</v>
      </c>
      <c r="BL2246" t="s">
        <v>63</v>
      </c>
    </row>
    <row r="2247" spans="1:70" x14ac:dyDescent="0.2">
      <c r="A2247" t="s">
        <v>7964</v>
      </c>
      <c r="B2247" t="s">
        <v>3613</v>
      </c>
      <c r="C2247" t="s">
        <v>7968</v>
      </c>
      <c r="D2247" t="s">
        <v>7969</v>
      </c>
      <c r="E2247" t="s">
        <v>7978</v>
      </c>
      <c r="F2247" t="s">
        <v>118</v>
      </c>
      <c r="G2247" t="str">
        <f>HYPERLINK("https://vk.com/wall-22935147_368314?w=wall-22935147_368314_r368352")</f>
        <v>https://vk.com/wall-22935147_368314?w=wall-22935147_368314_r368352</v>
      </c>
      <c r="H2247" t="s">
        <v>119</v>
      </c>
      <c r="I2247" t="s">
        <v>5217</v>
      </c>
      <c r="J2247" t="str">
        <f>HYPERLINK("http://vk.com/id367193895")</f>
        <v>http://vk.com/id367193895</v>
      </c>
      <c r="K2247">
        <v>26</v>
      </c>
      <c r="L2247" t="s">
        <v>121</v>
      </c>
      <c r="N2247" t="s">
        <v>122</v>
      </c>
      <c r="O2247" t="s">
        <v>1093</v>
      </c>
      <c r="P2247" t="str">
        <f>HYPERLINK("http://vk.com/club22935147")</f>
        <v>http://vk.com/club22935147</v>
      </c>
      <c r="Q2247">
        <v>8943</v>
      </c>
      <c r="R2247" t="s">
        <v>124</v>
      </c>
      <c r="S2247" t="s">
        <v>125</v>
      </c>
      <c r="W2247">
        <v>0</v>
      </c>
      <c r="X2247">
        <v>0</v>
      </c>
      <c r="AM2247" t="s">
        <v>129</v>
      </c>
      <c r="AN2247" t="s">
        <v>130</v>
      </c>
      <c r="AP2247" t="s">
        <v>41</v>
      </c>
      <c r="AU2247" t="s">
        <v>46</v>
      </c>
      <c r="AW2247" t="s">
        <v>48</v>
      </c>
      <c r="AY2247" t="s">
        <v>50</v>
      </c>
      <c r="AZ2247" t="s">
        <v>51</v>
      </c>
      <c r="BA2247" t="s">
        <v>52</v>
      </c>
      <c r="BL2247" t="s">
        <v>63</v>
      </c>
    </row>
    <row r="2248" spans="1:70" x14ac:dyDescent="0.2">
      <c r="A2248" t="s">
        <v>7964</v>
      </c>
      <c r="B2248" t="s">
        <v>3613</v>
      </c>
      <c r="C2248" t="s">
        <v>7968</v>
      </c>
      <c r="D2248" t="s">
        <v>7969</v>
      </c>
      <c r="E2248" t="s">
        <v>7979</v>
      </c>
      <c r="F2248" t="s">
        <v>118</v>
      </c>
      <c r="G2248" t="str">
        <f>HYPERLINK("https://vk.com/wall-22935147_368314?w=wall-22935147_368314_r368351")</f>
        <v>https://vk.com/wall-22935147_368314?w=wall-22935147_368314_r368351</v>
      </c>
      <c r="H2248" t="s">
        <v>181</v>
      </c>
      <c r="I2248" t="s">
        <v>5217</v>
      </c>
      <c r="J2248" t="str">
        <f>HYPERLINK("http://vk.com/id367193895")</f>
        <v>http://vk.com/id367193895</v>
      </c>
      <c r="K2248">
        <v>26</v>
      </c>
      <c r="L2248" t="s">
        <v>121</v>
      </c>
      <c r="N2248" t="s">
        <v>122</v>
      </c>
      <c r="O2248" t="s">
        <v>1093</v>
      </c>
      <c r="P2248" t="str">
        <f>HYPERLINK("http://vk.com/club22935147")</f>
        <v>http://vk.com/club22935147</v>
      </c>
      <c r="Q2248">
        <v>8943</v>
      </c>
      <c r="R2248" t="s">
        <v>124</v>
      </c>
      <c r="S2248" t="s">
        <v>125</v>
      </c>
      <c r="W2248">
        <v>0</v>
      </c>
      <c r="X2248">
        <v>0</v>
      </c>
      <c r="AM2248" t="s">
        <v>129</v>
      </c>
      <c r="AN2248" t="s">
        <v>130</v>
      </c>
      <c r="AP2248" t="s">
        <v>41</v>
      </c>
      <c r="AZ2248" t="s">
        <v>51</v>
      </c>
      <c r="BB2248" t="s">
        <v>53</v>
      </c>
      <c r="BL2248" t="s">
        <v>63</v>
      </c>
    </row>
    <row r="2249" spans="1:70" x14ac:dyDescent="0.2">
      <c r="A2249" t="s">
        <v>7964</v>
      </c>
      <c r="B2249" t="s">
        <v>5459</v>
      </c>
      <c r="C2249" t="s">
        <v>7980</v>
      </c>
      <c r="D2249" t="s">
        <v>7981</v>
      </c>
      <c r="E2249" t="s">
        <v>7982</v>
      </c>
      <c r="F2249" t="s">
        <v>118</v>
      </c>
      <c r="G2249" t="str">
        <f>HYPERLINK("https://vk.com/wall-81751593_22621?reply=22648&amp;thread=22625")</f>
        <v>https://vk.com/wall-81751593_22621?reply=22648&amp;thread=22625</v>
      </c>
      <c r="H2249" t="s">
        <v>119</v>
      </c>
      <c r="I2249" t="s">
        <v>7983</v>
      </c>
      <c r="J2249" t="str">
        <f>HYPERLINK("http://vk.com/id297699673")</f>
        <v>http://vk.com/id297699673</v>
      </c>
      <c r="K2249">
        <v>2415</v>
      </c>
      <c r="L2249" t="s">
        <v>151</v>
      </c>
      <c r="N2249" t="s">
        <v>122</v>
      </c>
      <c r="O2249" t="s">
        <v>7984</v>
      </c>
      <c r="P2249" t="str">
        <f>HYPERLINK("http://vk.com/club81751593")</f>
        <v>http://vk.com/club81751593</v>
      </c>
      <c r="Q2249">
        <v>6555</v>
      </c>
      <c r="R2249" t="s">
        <v>124</v>
      </c>
      <c r="S2249" t="s">
        <v>125</v>
      </c>
      <c r="T2249" t="s">
        <v>137</v>
      </c>
      <c r="U2249" t="s">
        <v>137</v>
      </c>
      <c r="AM2249" t="s">
        <v>129</v>
      </c>
      <c r="AN2249" t="s">
        <v>130</v>
      </c>
      <c r="AP2249" t="s">
        <v>41</v>
      </c>
      <c r="AW2249" t="s">
        <v>48</v>
      </c>
      <c r="AZ2249" t="s">
        <v>51</v>
      </c>
      <c r="BA2249" t="s">
        <v>52</v>
      </c>
      <c r="BM2249" t="s">
        <v>64</v>
      </c>
    </row>
    <row r="2250" spans="1:70" x14ac:dyDescent="0.2">
      <c r="A2250" t="s">
        <v>7964</v>
      </c>
      <c r="B2250" t="s">
        <v>4548</v>
      </c>
      <c r="C2250" t="s">
        <v>7985</v>
      </c>
      <c r="D2250" t="s">
        <v>7986</v>
      </c>
      <c r="E2250" t="s">
        <v>7987</v>
      </c>
      <c r="F2250" t="s">
        <v>118</v>
      </c>
      <c r="G2250" t="str">
        <f>HYPERLINK("https://vk.com/wall-127321739_357962?reply=358068&amp;thread=358006")</f>
        <v>https://vk.com/wall-127321739_357962?reply=358068&amp;thread=358006</v>
      </c>
      <c r="H2250" t="s">
        <v>181</v>
      </c>
      <c r="I2250" t="s">
        <v>7988</v>
      </c>
      <c r="J2250" t="str">
        <f>HYPERLINK("http://vk.com/id199167923")</f>
        <v>http://vk.com/id199167923</v>
      </c>
      <c r="K2250">
        <v>41</v>
      </c>
      <c r="L2250" t="s">
        <v>151</v>
      </c>
      <c r="N2250" t="s">
        <v>122</v>
      </c>
      <c r="O2250" t="s">
        <v>7989</v>
      </c>
      <c r="P2250" t="str">
        <f>HYPERLINK("http://vk.com/club127321739")</f>
        <v>http://vk.com/club127321739</v>
      </c>
      <c r="Q2250">
        <v>24412</v>
      </c>
      <c r="R2250" t="s">
        <v>124</v>
      </c>
      <c r="S2250" t="s">
        <v>125</v>
      </c>
      <c r="T2250" t="s">
        <v>137</v>
      </c>
      <c r="U2250" t="s">
        <v>137</v>
      </c>
      <c r="AM2250" t="s">
        <v>129</v>
      </c>
      <c r="AN2250" t="s">
        <v>130</v>
      </c>
      <c r="AP2250" t="s">
        <v>41</v>
      </c>
      <c r="AZ2250" t="s">
        <v>51</v>
      </c>
      <c r="BA2250" t="s">
        <v>52</v>
      </c>
    </row>
    <row r="2251" spans="1:70" x14ac:dyDescent="0.2">
      <c r="A2251" t="s">
        <v>7964</v>
      </c>
      <c r="B2251" t="s">
        <v>773</v>
      </c>
      <c r="C2251" t="s">
        <v>7990</v>
      </c>
      <c r="D2251" t="s">
        <v>7991</v>
      </c>
      <c r="E2251" t="s">
        <v>7992</v>
      </c>
      <c r="F2251" t="s">
        <v>118</v>
      </c>
      <c r="G2251" t="str">
        <f>HYPERLINK("https://vk.com/wall-203568368_3670?reply=3683")</f>
        <v>https://vk.com/wall-203568368_3670?reply=3683</v>
      </c>
      <c r="H2251" t="s">
        <v>119</v>
      </c>
      <c r="I2251" t="s">
        <v>7993</v>
      </c>
      <c r="J2251" t="str">
        <f>HYPERLINK("http://vk.com/id11097070")</f>
        <v>http://vk.com/id11097070</v>
      </c>
      <c r="K2251">
        <v>50</v>
      </c>
      <c r="L2251" t="s">
        <v>121</v>
      </c>
      <c r="M2251">
        <v>43</v>
      </c>
      <c r="N2251" t="s">
        <v>122</v>
      </c>
      <c r="O2251" t="s">
        <v>7994</v>
      </c>
      <c r="P2251" t="str">
        <f>HYPERLINK("http://vk.com/club203568368")</f>
        <v>http://vk.com/club203568368</v>
      </c>
      <c r="Q2251">
        <v>2521</v>
      </c>
      <c r="R2251" t="s">
        <v>124</v>
      </c>
      <c r="S2251" t="s">
        <v>125</v>
      </c>
      <c r="T2251" t="s">
        <v>218</v>
      </c>
      <c r="U2251" t="s">
        <v>7995</v>
      </c>
      <c r="AM2251" t="s">
        <v>129</v>
      </c>
      <c r="AN2251" t="s">
        <v>130</v>
      </c>
      <c r="AP2251" t="s">
        <v>41</v>
      </c>
      <c r="AT2251" t="s">
        <v>45</v>
      </c>
      <c r="AZ2251" t="s">
        <v>51</v>
      </c>
      <c r="BA2251" t="s">
        <v>52</v>
      </c>
      <c r="BL2251" t="s">
        <v>63</v>
      </c>
    </row>
    <row r="2252" spans="1:70" x14ac:dyDescent="0.2">
      <c r="A2252" t="s">
        <v>7964</v>
      </c>
      <c r="B2252" t="s">
        <v>7996</v>
      </c>
      <c r="C2252" t="s">
        <v>7997</v>
      </c>
      <c r="D2252" t="s">
        <v>7374</v>
      </c>
      <c r="E2252" t="s">
        <v>7998</v>
      </c>
      <c r="F2252" t="s">
        <v>118</v>
      </c>
      <c r="G2252" t="str">
        <f>HYPERLINK("https://vk.com/wall-27863223_291691?w=wall-27863223_291691_r291741")</f>
        <v>https://vk.com/wall-27863223_291691?w=wall-27863223_291691_r291741</v>
      </c>
      <c r="H2252" t="s">
        <v>228</v>
      </c>
      <c r="I2252" t="s">
        <v>7999</v>
      </c>
      <c r="J2252" t="str">
        <f>HYPERLINK("http://vk.com/id136021548")</f>
        <v>http://vk.com/id136021548</v>
      </c>
      <c r="K2252">
        <v>348</v>
      </c>
      <c r="L2252" t="s">
        <v>121</v>
      </c>
      <c r="M2252">
        <v>34</v>
      </c>
      <c r="N2252" t="s">
        <v>122</v>
      </c>
      <c r="O2252" t="s">
        <v>175</v>
      </c>
      <c r="P2252" t="str">
        <f>HYPERLINK("http://vk.com/club27863223")</f>
        <v>http://vk.com/club27863223</v>
      </c>
      <c r="Q2252">
        <v>134698</v>
      </c>
      <c r="R2252" t="s">
        <v>124</v>
      </c>
      <c r="S2252" t="s">
        <v>125</v>
      </c>
      <c r="T2252" t="s">
        <v>1365</v>
      </c>
      <c r="U2252" t="s">
        <v>8000</v>
      </c>
      <c r="W2252">
        <v>0</v>
      </c>
      <c r="X2252">
        <v>0</v>
      </c>
      <c r="AM2252" t="s">
        <v>129</v>
      </c>
      <c r="AN2252" t="s">
        <v>130</v>
      </c>
      <c r="AP2252" t="s">
        <v>41</v>
      </c>
      <c r="AZ2252" t="s">
        <v>51</v>
      </c>
      <c r="BA2252" t="s">
        <v>52</v>
      </c>
    </row>
    <row r="2253" spans="1:70" x14ac:dyDescent="0.2">
      <c r="A2253" t="s">
        <v>7964</v>
      </c>
      <c r="B2253" t="s">
        <v>7624</v>
      </c>
      <c r="C2253" t="s">
        <v>8001</v>
      </c>
      <c r="D2253" t="s">
        <v>8002</v>
      </c>
      <c r="E2253" t="s">
        <v>8003</v>
      </c>
      <c r="F2253" t="s">
        <v>180</v>
      </c>
      <c r="G2253" t="str">
        <f>HYPERLINK("https://telesputnik.ru/forum/viewtopic.php?f=37&amp;t=80946&amp;start=2060#p2480488")</f>
        <v>https://telesputnik.ru/forum/viewtopic.php?f=37&amp;t=80946&amp;start=2060#p2480488</v>
      </c>
      <c r="H2253" t="s">
        <v>228</v>
      </c>
      <c r="I2253" t="s">
        <v>4701</v>
      </c>
      <c r="J2253" t="str">
        <f>HYPERLINK("https://telesputnik.ru/forum/memberlist.php?mode=viewprofile&amp;u=37648")</f>
        <v>https://telesputnik.ru/forum/memberlist.php?mode=viewprofile&amp;u=37648</v>
      </c>
      <c r="N2253" t="s">
        <v>335</v>
      </c>
      <c r="O2253" t="s">
        <v>8004</v>
      </c>
      <c r="P2253" t="str">
        <f>HYPERLINK("https://telesputnik.ru/forum/viewforum.php?f=37")</f>
        <v>https://telesputnik.ru/forum/viewforum.php?f=37</v>
      </c>
      <c r="R2253" t="s">
        <v>295</v>
      </c>
      <c r="S2253" t="s">
        <v>125</v>
      </c>
      <c r="AM2253" t="s">
        <v>129</v>
      </c>
      <c r="AN2253" t="s">
        <v>130</v>
      </c>
      <c r="AP2253" t="s">
        <v>41</v>
      </c>
      <c r="AW2253" t="s">
        <v>48</v>
      </c>
      <c r="AZ2253" t="s">
        <v>51</v>
      </c>
      <c r="BA2253" t="s">
        <v>52</v>
      </c>
      <c r="BL2253" t="s">
        <v>63</v>
      </c>
    </row>
    <row r="2254" spans="1:70" x14ac:dyDescent="0.2">
      <c r="A2254" t="s">
        <v>7964</v>
      </c>
      <c r="B2254" t="s">
        <v>4089</v>
      </c>
      <c r="C2254" t="s">
        <v>7990</v>
      </c>
      <c r="D2254" t="s">
        <v>8005</v>
      </c>
      <c r="E2254" t="s">
        <v>8006</v>
      </c>
      <c r="F2254" t="s">
        <v>118</v>
      </c>
      <c r="G2254" t="str">
        <f>HYPERLINK("https://www.youtube.com/watch?v=yxCQo8EZejg&amp;lc=UgwsBwOBW2-sg1azWV14AaABAg")</f>
        <v>https://www.youtube.com/watch?v=yxCQo8EZejg&amp;lc=UgwsBwOBW2-sg1azWV14AaABAg</v>
      </c>
      <c r="H2254" t="s">
        <v>119</v>
      </c>
      <c r="I2254" t="s">
        <v>8007</v>
      </c>
      <c r="J2254" t="str">
        <f>HYPERLINK("https://www.youtube.com/channel/UCa_5oywGn70Fn4IxAXNWQLg")</f>
        <v>https://www.youtube.com/channel/UCa_5oywGn70Fn4IxAXNWQLg</v>
      </c>
      <c r="K2254">
        <v>0</v>
      </c>
      <c r="L2254" t="s">
        <v>121</v>
      </c>
      <c r="N2254" t="s">
        <v>248</v>
      </c>
      <c r="O2254" t="s">
        <v>8008</v>
      </c>
      <c r="P2254" t="str">
        <f>HYPERLINK("https://www.youtube.com/channel/UCT-Dr0SSWbWrCG_xXVpiFew")</f>
        <v>https://www.youtube.com/channel/UCT-Dr0SSWbWrCG_xXVpiFew</v>
      </c>
      <c r="Q2254">
        <v>781000</v>
      </c>
      <c r="R2254" t="s">
        <v>124</v>
      </c>
      <c r="S2254" t="s">
        <v>125</v>
      </c>
      <c r="W2254">
        <v>0</v>
      </c>
      <c r="X2254">
        <v>0</v>
      </c>
      <c r="AE2254">
        <v>0</v>
      </c>
      <c r="AM2254" t="s">
        <v>129</v>
      </c>
      <c r="AN2254" t="s">
        <v>130</v>
      </c>
      <c r="AP2254" t="s">
        <v>41</v>
      </c>
      <c r="AZ2254" t="s">
        <v>51</v>
      </c>
      <c r="BA2254" t="s">
        <v>52</v>
      </c>
      <c r="BR2254" t="s">
        <v>69</v>
      </c>
    </row>
    <row r="2255" spans="1:70" x14ac:dyDescent="0.2">
      <c r="A2255" t="s">
        <v>7964</v>
      </c>
      <c r="B2255" t="s">
        <v>163</v>
      </c>
      <c r="C2255" t="s">
        <v>8009</v>
      </c>
      <c r="D2255" t="s">
        <v>8010</v>
      </c>
      <c r="E2255" t="s">
        <v>8011</v>
      </c>
      <c r="F2255" t="s">
        <v>118</v>
      </c>
      <c r="G2255" t="str">
        <f>HYPERLINK("https://telegram.me/iptv_ot_MrDeniZa/6811")</f>
        <v>https://telegram.me/iptv_ot_MrDeniZa/6811</v>
      </c>
      <c r="H2255" t="s">
        <v>181</v>
      </c>
      <c r="I2255" t="s">
        <v>8012</v>
      </c>
      <c r="J2255" t="str">
        <f>HYPERLINK("https://telegram.me/1279485791")</f>
        <v>https://telegram.me/1279485791</v>
      </c>
      <c r="N2255" t="s">
        <v>143</v>
      </c>
      <c r="O2255" t="s">
        <v>8013</v>
      </c>
      <c r="P2255" t="str">
        <f>HYPERLINK("https://telegram.me/iptv_ot_mrdeniza")</f>
        <v>https://telegram.me/iptv_ot_mrdeniza</v>
      </c>
      <c r="Q2255">
        <v>965</v>
      </c>
      <c r="R2255" t="s">
        <v>145</v>
      </c>
      <c r="AM2255" t="s">
        <v>129</v>
      </c>
      <c r="AN2255" t="s">
        <v>130</v>
      </c>
      <c r="AP2255" t="s">
        <v>41</v>
      </c>
      <c r="AY2255" t="s">
        <v>50</v>
      </c>
      <c r="AZ2255" t="s">
        <v>51</v>
      </c>
      <c r="BA2255" t="s">
        <v>52</v>
      </c>
      <c r="BL2255" t="s">
        <v>63</v>
      </c>
    </row>
    <row r="2256" spans="1:70" x14ac:dyDescent="0.2">
      <c r="A2256" t="s">
        <v>7964</v>
      </c>
      <c r="B2256" t="s">
        <v>2317</v>
      </c>
      <c r="C2256" t="s">
        <v>8014</v>
      </c>
      <c r="D2256" t="s">
        <v>8015</v>
      </c>
      <c r="E2256" t="s">
        <v>8016</v>
      </c>
      <c r="F2256" t="s">
        <v>118</v>
      </c>
      <c r="G2256" t="str">
        <f>HYPERLINK("https://vk.com/wall-151457255_42804?reply=42848")</f>
        <v>https://vk.com/wall-151457255_42804?reply=42848</v>
      </c>
      <c r="H2256" t="s">
        <v>119</v>
      </c>
      <c r="I2256" t="s">
        <v>8017</v>
      </c>
      <c r="J2256" t="str">
        <f>HYPERLINK("http://vk.com/id148528545")</f>
        <v>http://vk.com/id148528545</v>
      </c>
      <c r="K2256">
        <v>166</v>
      </c>
      <c r="L2256" t="s">
        <v>151</v>
      </c>
      <c r="M2256">
        <v>54</v>
      </c>
      <c r="N2256" t="s">
        <v>122</v>
      </c>
      <c r="O2256" t="s">
        <v>8018</v>
      </c>
      <c r="P2256" t="str">
        <f>HYPERLINK("http://vk.com/club151457255")</f>
        <v>http://vk.com/club151457255</v>
      </c>
      <c r="Q2256">
        <v>5930</v>
      </c>
      <c r="R2256" t="s">
        <v>124</v>
      </c>
      <c r="S2256" t="s">
        <v>125</v>
      </c>
      <c r="T2256" t="s">
        <v>1283</v>
      </c>
      <c r="U2256" t="s">
        <v>8019</v>
      </c>
      <c r="AM2256" t="s">
        <v>129</v>
      </c>
      <c r="AN2256" t="s">
        <v>130</v>
      </c>
      <c r="AP2256" t="s">
        <v>41</v>
      </c>
      <c r="AT2256" t="s">
        <v>45</v>
      </c>
      <c r="AZ2256" t="s">
        <v>51</v>
      </c>
      <c r="BA2256" t="s">
        <v>52</v>
      </c>
    </row>
    <row r="2257" spans="1:69" x14ac:dyDescent="0.2">
      <c r="A2257" t="s">
        <v>7964</v>
      </c>
      <c r="B2257" t="s">
        <v>170</v>
      </c>
      <c r="C2257" t="s">
        <v>8020</v>
      </c>
      <c r="D2257" t="s">
        <v>8021</v>
      </c>
      <c r="E2257" t="s">
        <v>8022</v>
      </c>
      <c r="F2257" t="s">
        <v>180</v>
      </c>
      <c r="G2257" t="str">
        <f>HYPERLINK("http://onair.ru/main/enews/view_msg/NMID__80571/")</f>
        <v>http://onair.ru/main/enews/view_msg/NMID__80571/</v>
      </c>
      <c r="H2257" t="s">
        <v>119</v>
      </c>
      <c r="N2257" t="s">
        <v>8023</v>
      </c>
      <c r="R2257" t="s">
        <v>785</v>
      </c>
      <c r="S2257" t="s">
        <v>125</v>
      </c>
      <c r="AM2257" t="s">
        <v>129</v>
      </c>
      <c r="AN2257" t="s">
        <v>130</v>
      </c>
      <c r="AV2257" t="s">
        <v>47</v>
      </c>
    </row>
    <row r="2258" spans="1:69" x14ac:dyDescent="0.2">
      <c r="A2258" t="s">
        <v>7964</v>
      </c>
      <c r="B2258" t="s">
        <v>6637</v>
      </c>
      <c r="C2258" t="s">
        <v>8024</v>
      </c>
      <c r="D2258" t="s">
        <v>1186</v>
      </c>
      <c r="E2258" t="s">
        <v>8025</v>
      </c>
      <c r="F2258" t="s">
        <v>180</v>
      </c>
      <c r="G2258" t="str">
        <f>HYPERLINK("https://4pda.to/forum/index.php?showtopic=916407&amp;st=3100#entry107972181")</f>
        <v>https://4pda.to/forum/index.php?showtopic=916407&amp;st=3100#entry107972181</v>
      </c>
      <c r="H2258" t="s">
        <v>119</v>
      </c>
      <c r="I2258" t="s">
        <v>7212</v>
      </c>
      <c r="J2258" t="str">
        <f>HYPERLINK("https://4pda.to/forum/index.php?showuser=927781")</f>
        <v>https://4pda.to/forum/index.php?showuser=927781</v>
      </c>
      <c r="N2258" t="s">
        <v>293</v>
      </c>
      <c r="O2258" t="s">
        <v>1189</v>
      </c>
      <c r="P2258" t="str">
        <f>HYPERLINK("https://4pda.to/forum/index.php?showforum=319")</f>
        <v>https://4pda.to/forum/index.php?showforum=319</v>
      </c>
      <c r="R2258" t="s">
        <v>295</v>
      </c>
      <c r="S2258" t="s">
        <v>125</v>
      </c>
      <c r="AM2258" t="s">
        <v>129</v>
      </c>
      <c r="AN2258" t="s">
        <v>130</v>
      </c>
      <c r="AP2258" t="s">
        <v>41</v>
      </c>
      <c r="AZ2258" t="s">
        <v>51</v>
      </c>
      <c r="BA2258" t="s">
        <v>52</v>
      </c>
      <c r="BQ2258" t="s">
        <v>68</v>
      </c>
    </row>
    <row r="2259" spans="1:69" x14ac:dyDescent="0.2">
      <c r="A2259" t="s">
        <v>7964</v>
      </c>
      <c r="B2259" t="s">
        <v>185</v>
      </c>
      <c r="C2259" t="s">
        <v>8026</v>
      </c>
      <c r="D2259" t="s">
        <v>8027</v>
      </c>
      <c r="E2259" t="s">
        <v>8028</v>
      </c>
      <c r="F2259" t="s">
        <v>118</v>
      </c>
      <c r="G2259" t="str">
        <f>HYPERLINK("https://www.youtube.com/watch?v=tTQG2rxFGKg&amp;lc=Ugx-GcUGgzbz1j6AP294AaABAg")</f>
        <v>https://www.youtube.com/watch?v=tTQG2rxFGKg&amp;lc=Ugx-GcUGgzbz1j6AP294AaABAg</v>
      </c>
      <c r="H2259" t="s">
        <v>228</v>
      </c>
      <c r="I2259" t="s">
        <v>8029</v>
      </c>
      <c r="J2259" t="str">
        <f>HYPERLINK("https://www.youtube.com/channel/UC4UZt0LHoh96nV3O1MVF8CA")</f>
        <v>https://www.youtube.com/channel/UC4UZt0LHoh96nV3O1MVF8CA</v>
      </c>
      <c r="K2259">
        <v>0</v>
      </c>
      <c r="L2259" t="s">
        <v>121</v>
      </c>
      <c r="N2259" t="s">
        <v>248</v>
      </c>
      <c r="O2259" t="s">
        <v>8030</v>
      </c>
      <c r="P2259" t="str">
        <f>HYPERLINK("https://www.youtube.com/channel/UCWb8EvFsUy9LV_TXPq1REBg")</f>
        <v>https://www.youtube.com/channel/UCWb8EvFsUy9LV_TXPq1REBg</v>
      </c>
      <c r="Q2259">
        <v>959000</v>
      </c>
      <c r="R2259" t="s">
        <v>124</v>
      </c>
      <c r="S2259" t="s">
        <v>125</v>
      </c>
      <c r="W2259">
        <v>0</v>
      </c>
      <c r="X2259">
        <v>0</v>
      </c>
      <c r="AE2259">
        <v>0</v>
      </c>
      <c r="AM2259" t="s">
        <v>129</v>
      </c>
      <c r="AN2259" t="s">
        <v>130</v>
      </c>
      <c r="AP2259" t="s">
        <v>41</v>
      </c>
      <c r="AZ2259" t="s">
        <v>51</v>
      </c>
      <c r="BA2259" t="s">
        <v>52</v>
      </c>
      <c r="BM2259" t="s">
        <v>64</v>
      </c>
    </row>
    <row r="2260" spans="1:69" x14ac:dyDescent="0.2">
      <c r="A2260" t="s">
        <v>7964</v>
      </c>
      <c r="B2260" t="s">
        <v>800</v>
      </c>
      <c r="C2260" t="s">
        <v>8024</v>
      </c>
      <c r="D2260" t="s">
        <v>1186</v>
      </c>
      <c r="E2260" t="s">
        <v>8031</v>
      </c>
      <c r="F2260" t="s">
        <v>180</v>
      </c>
      <c r="G2260" t="str">
        <f>HYPERLINK("https://4pda.to/forum/index.php?showtopic=916407&amp;st=3100#entry107971741")</f>
        <v>https://4pda.to/forum/index.php?showtopic=916407&amp;st=3100#entry107971741</v>
      </c>
      <c r="H2260" t="s">
        <v>119</v>
      </c>
      <c r="I2260" t="s">
        <v>8032</v>
      </c>
      <c r="J2260" t="str">
        <f>HYPERLINK("https://4pda.to/forum/index.php?showuser=1525408")</f>
        <v>https://4pda.to/forum/index.php?showuser=1525408</v>
      </c>
      <c r="N2260" t="s">
        <v>293</v>
      </c>
      <c r="O2260" t="s">
        <v>1189</v>
      </c>
      <c r="P2260" t="str">
        <f>HYPERLINK("https://4pda.to/forum/index.php?showforum=319")</f>
        <v>https://4pda.to/forum/index.php?showforum=319</v>
      </c>
      <c r="R2260" t="s">
        <v>295</v>
      </c>
      <c r="S2260" t="s">
        <v>125</v>
      </c>
      <c r="AM2260" t="s">
        <v>129</v>
      </c>
      <c r="AN2260" t="s">
        <v>130</v>
      </c>
      <c r="AP2260" t="s">
        <v>41</v>
      </c>
      <c r="AU2260" t="s">
        <v>46</v>
      </c>
      <c r="AZ2260" t="s">
        <v>51</v>
      </c>
      <c r="BA2260" t="s">
        <v>52</v>
      </c>
      <c r="BK2260" t="s">
        <v>62</v>
      </c>
      <c r="BQ2260" t="s">
        <v>68</v>
      </c>
    </row>
    <row r="2261" spans="1:69" x14ac:dyDescent="0.2">
      <c r="A2261" t="s">
        <v>7964</v>
      </c>
      <c r="B2261" t="s">
        <v>4123</v>
      </c>
      <c r="C2261" t="s">
        <v>8033</v>
      </c>
      <c r="D2261" t="s">
        <v>2953</v>
      </c>
      <c r="E2261" t="s">
        <v>8034</v>
      </c>
      <c r="F2261" t="s">
        <v>118</v>
      </c>
      <c r="G2261" t="str">
        <f>HYPERLINK("https://vk.com/wall-61101621_254612?reply=254641")</f>
        <v>https://vk.com/wall-61101621_254612?reply=254641</v>
      </c>
      <c r="H2261" t="s">
        <v>119</v>
      </c>
      <c r="I2261" t="s">
        <v>8035</v>
      </c>
      <c r="J2261" t="str">
        <f>HYPERLINK("http://vk.com/id266087453")</f>
        <v>http://vk.com/id266087453</v>
      </c>
      <c r="K2261">
        <v>81</v>
      </c>
      <c r="L2261" t="s">
        <v>121</v>
      </c>
      <c r="M2261">
        <v>42</v>
      </c>
      <c r="N2261" t="s">
        <v>122</v>
      </c>
      <c r="O2261" t="s">
        <v>160</v>
      </c>
      <c r="P2261" t="str">
        <f>HYPERLINK("http://vk.com/club61101621")</f>
        <v>http://vk.com/club61101621</v>
      </c>
      <c r="Q2261">
        <v>21119</v>
      </c>
      <c r="R2261" t="s">
        <v>124</v>
      </c>
      <c r="S2261" t="s">
        <v>125</v>
      </c>
      <c r="T2261" t="s">
        <v>169</v>
      </c>
      <c r="U2261" t="s">
        <v>169</v>
      </c>
      <c r="AM2261" t="s">
        <v>129</v>
      </c>
      <c r="AN2261" t="s">
        <v>130</v>
      </c>
      <c r="AP2261" t="s">
        <v>41</v>
      </c>
      <c r="AT2261" t="s">
        <v>45</v>
      </c>
      <c r="AU2261" t="s">
        <v>46</v>
      </c>
      <c r="AW2261" t="s">
        <v>48</v>
      </c>
      <c r="AZ2261" t="s">
        <v>51</v>
      </c>
      <c r="BA2261" t="s">
        <v>52</v>
      </c>
      <c r="BL2261" t="s">
        <v>63</v>
      </c>
    </row>
    <row r="2262" spans="1:69" x14ac:dyDescent="0.2">
      <c r="A2262" t="s">
        <v>7964</v>
      </c>
      <c r="B2262" t="s">
        <v>214</v>
      </c>
      <c r="C2262" t="s">
        <v>8036</v>
      </c>
      <c r="D2262" t="s">
        <v>7512</v>
      </c>
      <c r="E2262" t="s">
        <v>8037</v>
      </c>
      <c r="F2262" t="s">
        <v>118</v>
      </c>
      <c r="G2262" t="str">
        <f>HYPERLINK("https://ok.ru/group/52172741083275/topic/153800758578059#MTYyNjIwMDA4NzM1OTotMTM0ODE6MTYyNjIwMDA4NzM1OToxNTM4MDA3NTg1NzgwNTk6MQ==")</f>
        <v>https://ok.ru/group/52172741083275/topic/153800758578059#MTYyNjIwMDA4NzM1OTotMTM0ODE6MTYyNjIwMDA4NzM1OToxNTM4MDA3NTg1NzgwNTk6MQ==</v>
      </c>
      <c r="H2262" t="s">
        <v>119</v>
      </c>
      <c r="I2262" t="s">
        <v>8038</v>
      </c>
      <c r="J2262" t="str">
        <f>HYPERLINK("https://ok.ru/profile/573796225164")</f>
        <v>https://ok.ru/profile/573796225164</v>
      </c>
      <c r="K2262">
        <v>74</v>
      </c>
      <c r="L2262" t="s">
        <v>151</v>
      </c>
      <c r="N2262" t="s">
        <v>347</v>
      </c>
      <c r="O2262" t="s">
        <v>4687</v>
      </c>
      <c r="P2262" t="str">
        <f>HYPERLINK("https://ok.ru/group/52172741083275")</f>
        <v>https://ok.ru/group/52172741083275</v>
      </c>
      <c r="Q2262">
        <v>27667</v>
      </c>
      <c r="R2262" t="s">
        <v>124</v>
      </c>
      <c r="S2262" t="s">
        <v>125</v>
      </c>
      <c r="T2262" t="s">
        <v>2566</v>
      </c>
      <c r="U2262" t="s">
        <v>3647</v>
      </c>
      <c r="W2262">
        <v>0</v>
      </c>
      <c r="X2262">
        <v>0</v>
      </c>
      <c r="AM2262" t="s">
        <v>129</v>
      </c>
      <c r="AN2262" t="s">
        <v>130</v>
      </c>
      <c r="AP2262" t="s">
        <v>41</v>
      </c>
      <c r="AT2262" t="s">
        <v>45</v>
      </c>
      <c r="AZ2262" t="s">
        <v>51</v>
      </c>
      <c r="BA2262" t="s">
        <v>52</v>
      </c>
    </row>
    <row r="2263" spans="1:69" x14ac:dyDescent="0.2">
      <c r="A2263" t="s">
        <v>7964</v>
      </c>
      <c r="B2263" t="s">
        <v>220</v>
      </c>
      <c r="C2263" t="s">
        <v>8039</v>
      </c>
      <c r="D2263" t="s">
        <v>6224</v>
      </c>
      <c r="E2263" t="s">
        <v>8040</v>
      </c>
      <c r="F2263" t="s">
        <v>118</v>
      </c>
      <c r="G2263" t="str">
        <f>HYPERLINK("https://www.youtube.com/watch?v=cuBcZGF3Yzc&amp;lc=UgyF2aFN1MG4BglBIEV4AaABAg")</f>
        <v>https://www.youtube.com/watch?v=cuBcZGF3Yzc&amp;lc=UgyF2aFN1MG4BglBIEV4AaABAg</v>
      </c>
      <c r="H2263" t="s">
        <v>119</v>
      </c>
      <c r="I2263" t="s">
        <v>8041</v>
      </c>
      <c r="J2263" t="str">
        <f>HYPERLINK("https://www.youtube.com/channel/UC6Yokq1gFMOzpVAykVjqFgA")</f>
        <v>https://www.youtube.com/channel/UC6Yokq1gFMOzpVAykVjqFgA</v>
      </c>
      <c r="K2263">
        <v>4</v>
      </c>
      <c r="N2263" t="s">
        <v>248</v>
      </c>
      <c r="O2263" t="s">
        <v>6227</v>
      </c>
      <c r="P2263" t="str">
        <f>HYPERLINK("https://www.youtube.com/channel/UCRP4EhX1Op-jL7D87PB3qhQ")</f>
        <v>https://www.youtube.com/channel/UCRP4EhX1Op-jL7D87PB3qhQ</v>
      </c>
      <c r="Q2263">
        <v>2820000</v>
      </c>
      <c r="R2263" t="s">
        <v>124</v>
      </c>
      <c r="S2263" t="s">
        <v>125</v>
      </c>
      <c r="W2263">
        <v>0</v>
      </c>
      <c r="X2263">
        <v>0</v>
      </c>
      <c r="AE2263">
        <v>0</v>
      </c>
      <c r="AM2263" t="s">
        <v>129</v>
      </c>
      <c r="AN2263" t="s">
        <v>130</v>
      </c>
      <c r="AP2263" t="s">
        <v>41</v>
      </c>
      <c r="AZ2263" t="s">
        <v>51</v>
      </c>
      <c r="BB2263" t="s">
        <v>53</v>
      </c>
    </row>
    <row r="2264" spans="1:69" x14ac:dyDescent="0.2">
      <c r="A2264" t="s">
        <v>7964</v>
      </c>
      <c r="B2264" t="s">
        <v>220</v>
      </c>
      <c r="C2264" t="s">
        <v>8042</v>
      </c>
      <c r="D2264" t="s">
        <v>129</v>
      </c>
      <c r="E2264" t="s">
        <v>8043</v>
      </c>
      <c r="F2264" t="s">
        <v>118</v>
      </c>
      <c r="G2264" t="str">
        <f>HYPERLINK("https://twitter.com/968350322933555200/status/1415010403206287365")</f>
        <v>https://twitter.com/968350322933555200/status/1415010403206287365</v>
      </c>
      <c r="H2264" t="s">
        <v>228</v>
      </c>
      <c r="I2264" t="s">
        <v>8044</v>
      </c>
      <c r="J2264" t="str">
        <f>HYPERLINK("http://twitter.com/sibiryachogg")</f>
        <v>http://twitter.com/sibiryachogg</v>
      </c>
      <c r="K2264">
        <v>910</v>
      </c>
      <c r="N2264" t="s">
        <v>350</v>
      </c>
      <c r="R2264" t="s">
        <v>124</v>
      </c>
      <c r="S2264" t="s">
        <v>125</v>
      </c>
      <c r="T2264" t="s">
        <v>570</v>
      </c>
      <c r="W2264">
        <v>1</v>
      </c>
      <c r="X2264">
        <v>1</v>
      </c>
      <c r="AE2264">
        <v>0</v>
      </c>
      <c r="AF2264">
        <v>0</v>
      </c>
      <c r="AM2264" t="s">
        <v>129</v>
      </c>
      <c r="AN2264" t="s">
        <v>130</v>
      </c>
      <c r="AP2264" t="s">
        <v>41</v>
      </c>
      <c r="AW2264" t="s">
        <v>48</v>
      </c>
      <c r="AZ2264" t="s">
        <v>51</v>
      </c>
      <c r="BA2264" t="s">
        <v>52</v>
      </c>
      <c r="BM2264" t="s">
        <v>64</v>
      </c>
    </row>
    <row r="2265" spans="1:69" x14ac:dyDescent="0.2">
      <c r="A2265" t="s">
        <v>7964</v>
      </c>
      <c r="B2265" t="s">
        <v>4135</v>
      </c>
      <c r="C2265" t="s">
        <v>7842</v>
      </c>
      <c r="D2265" t="s">
        <v>8045</v>
      </c>
      <c r="E2265" t="s">
        <v>8046</v>
      </c>
      <c r="F2265" t="s">
        <v>180</v>
      </c>
      <c r="G2265" t="str">
        <f>HYPERLINK("https://www.ozon.ru/context/detail/id/263288667/#59242740")</f>
        <v>https://www.ozon.ru/context/detail/id/263288667/#59242740</v>
      </c>
      <c r="H2265" t="s">
        <v>181</v>
      </c>
      <c r="I2265" t="s">
        <v>8047</v>
      </c>
      <c r="J2265" t="str">
        <f>HYPERLINK("https://www.ozon.ru/context/client_opinion/ClientGuid/baff9cab-c308-4167-8355-6662a64659cf/")</f>
        <v>https://www.ozon.ru/context/client_opinion/ClientGuid/baff9cab-c308-4167-8355-6662a64659cf/</v>
      </c>
      <c r="L2265" t="s">
        <v>121</v>
      </c>
      <c r="N2265" t="s">
        <v>183</v>
      </c>
      <c r="O2265" t="s">
        <v>8048</v>
      </c>
      <c r="P2265" t="str">
        <f>HYPERLINK("https://www.ozon.ru/context/detail/id/263288667/")</f>
        <v>https://www.ozon.ru/context/detail/id/263288667/</v>
      </c>
      <c r="R2265" t="s">
        <v>184</v>
      </c>
      <c r="S2265" t="s">
        <v>125</v>
      </c>
      <c r="W2265">
        <v>0</v>
      </c>
      <c r="X2265">
        <v>0</v>
      </c>
      <c r="AH2265">
        <v>5</v>
      </c>
      <c r="AM2265" t="s">
        <v>129</v>
      </c>
      <c r="AN2265" t="s">
        <v>130</v>
      </c>
      <c r="AP2265" t="s">
        <v>41</v>
      </c>
      <c r="AT2265" t="s">
        <v>45</v>
      </c>
      <c r="AW2265" t="s">
        <v>48</v>
      </c>
      <c r="AY2265" t="s">
        <v>50</v>
      </c>
      <c r="AZ2265" t="s">
        <v>51</v>
      </c>
      <c r="BA2265" t="s">
        <v>52</v>
      </c>
      <c r="BL2265" t="s">
        <v>63</v>
      </c>
    </row>
    <row r="2266" spans="1:69" x14ac:dyDescent="0.2">
      <c r="A2266" t="s">
        <v>7964</v>
      </c>
      <c r="B2266" t="s">
        <v>5061</v>
      </c>
      <c r="C2266" t="s">
        <v>8049</v>
      </c>
      <c r="D2266" t="s">
        <v>2202</v>
      </c>
      <c r="E2266" t="s">
        <v>8050</v>
      </c>
      <c r="F2266" t="s">
        <v>180</v>
      </c>
      <c r="G2266" t="str">
        <f>HYPERLINK("https://www.wildberries.ru/catalog/16083135/detail.aspx?targetUrl=ES#Comments")</f>
        <v>https://www.wildberries.ru/catalog/16083135/detail.aspx?targetUrl=ES#Comments</v>
      </c>
      <c r="H2266" t="s">
        <v>181</v>
      </c>
      <c r="I2266" t="s">
        <v>3082</v>
      </c>
      <c r="J2266" t="str">
        <f>HYPERLINK("https://www.wildberries.ru/profile/w7TDssOkw7PCu8K1wrTCtcK5wrPCssK5wrE=")</f>
        <v>https://www.wildberries.ru/profile/w7TDssOkw7PCu8K1wrTCtcK5wrPCssK5wrE=</v>
      </c>
      <c r="L2266" t="s">
        <v>151</v>
      </c>
      <c r="N2266" t="s">
        <v>534</v>
      </c>
      <c r="O2266" t="s">
        <v>2202</v>
      </c>
      <c r="P2266" t="str">
        <f>HYPERLINK("https://www.wildberries.ru/catalog/11979974/detail.aspx")</f>
        <v>https://www.wildberries.ru/catalog/11979974/detail.aspx</v>
      </c>
      <c r="R2266" t="s">
        <v>184</v>
      </c>
      <c r="S2266" t="s">
        <v>125</v>
      </c>
      <c r="W2266">
        <v>0</v>
      </c>
      <c r="X2266">
        <v>0</v>
      </c>
      <c r="AH2266">
        <v>5</v>
      </c>
      <c r="AM2266" t="s">
        <v>129</v>
      </c>
      <c r="AN2266" t="s">
        <v>130</v>
      </c>
      <c r="AP2266" t="s">
        <v>41</v>
      </c>
      <c r="AZ2266" t="s">
        <v>51</v>
      </c>
      <c r="BA2266" t="s">
        <v>52</v>
      </c>
      <c r="BK2266" t="s">
        <v>62</v>
      </c>
      <c r="BL2266" t="s">
        <v>63</v>
      </c>
    </row>
    <row r="2267" spans="1:69" x14ac:dyDescent="0.2">
      <c r="A2267" t="s">
        <v>7964</v>
      </c>
      <c r="B2267" t="s">
        <v>830</v>
      </c>
      <c r="C2267" t="s">
        <v>8036</v>
      </c>
      <c r="D2267" t="s">
        <v>7512</v>
      </c>
      <c r="E2267" t="s">
        <v>8051</v>
      </c>
      <c r="F2267" t="s">
        <v>118</v>
      </c>
      <c r="G2267" t="str">
        <f>HYPERLINK("https://ok.ru/group/52172741083275/topic/153800758578059#MTYyNjE5NTc1NzUwMTotMTQ5ODM6MTYyNjE5NTc1NzUwMToxNTM4MDA3NTg1NzgwNTk6MQ==")</f>
        <v>https://ok.ru/group/52172741083275/topic/153800758578059#MTYyNjE5NTc1NzUwMTotMTQ5ODM6MTYyNjE5NTc1NzUwMToxNTM4MDA3NTg1NzgwNTk6MQ==</v>
      </c>
      <c r="H2267" t="s">
        <v>119</v>
      </c>
      <c r="I2267" t="s">
        <v>8052</v>
      </c>
      <c r="J2267" t="str">
        <f>HYPERLINK("https://ok.ru/profile/552634244933")</f>
        <v>https://ok.ru/profile/552634244933</v>
      </c>
      <c r="K2267">
        <v>376</v>
      </c>
      <c r="L2267" t="s">
        <v>121</v>
      </c>
      <c r="N2267" t="s">
        <v>347</v>
      </c>
      <c r="O2267" t="s">
        <v>4687</v>
      </c>
      <c r="P2267" t="str">
        <f>HYPERLINK("https://ok.ru/group/52172741083275")</f>
        <v>https://ok.ru/group/52172741083275</v>
      </c>
      <c r="Q2267">
        <v>27667</v>
      </c>
      <c r="R2267" t="s">
        <v>124</v>
      </c>
      <c r="S2267" t="s">
        <v>125</v>
      </c>
      <c r="T2267" t="s">
        <v>2566</v>
      </c>
      <c r="U2267" t="s">
        <v>4688</v>
      </c>
      <c r="W2267">
        <v>0</v>
      </c>
      <c r="X2267">
        <v>0</v>
      </c>
      <c r="AM2267" t="s">
        <v>129</v>
      </c>
      <c r="AN2267" t="s">
        <v>130</v>
      </c>
      <c r="AP2267" t="s">
        <v>41</v>
      </c>
      <c r="AZ2267" t="s">
        <v>51</v>
      </c>
      <c r="BA2267" t="s">
        <v>52</v>
      </c>
      <c r="BM2267" t="s">
        <v>64</v>
      </c>
    </row>
    <row r="2268" spans="1:69" x14ac:dyDescent="0.2">
      <c r="A2268" t="s">
        <v>7964</v>
      </c>
      <c r="B2268" t="s">
        <v>5087</v>
      </c>
      <c r="C2268" t="s">
        <v>8053</v>
      </c>
      <c r="D2268" t="s">
        <v>8054</v>
      </c>
      <c r="E2268" t="s">
        <v>8055</v>
      </c>
      <c r="F2268" t="s">
        <v>118</v>
      </c>
      <c r="G2268" t="str">
        <f>HYPERLINK("https://www.youtube.com/watch?v=8k0Zrs6mSZc&amp;lc=UgzsFr4ODqGA98dnS8l4AaABAg")</f>
        <v>https://www.youtube.com/watch?v=8k0Zrs6mSZc&amp;lc=UgzsFr4ODqGA98dnS8l4AaABAg</v>
      </c>
      <c r="H2268" t="s">
        <v>119</v>
      </c>
      <c r="I2268" t="s">
        <v>8056</v>
      </c>
      <c r="J2268" t="str">
        <f>HYPERLINK("https://www.youtube.com/channel/UCDeLgV8GA9wTnX4Kn1Q7S_Q")</f>
        <v>https://www.youtube.com/channel/UCDeLgV8GA9wTnX4Kn1Q7S_Q</v>
      </c>
      <c r="K2268">
        <v>0</v>
      </c>
      <c r="L2268" t="s">
        <v>121</v>
      </c>
      <c r="N2268" t="s">
        <v>248</v>
      </c>
      <c r="O2268" t="s">
        <v>8057</v>
      </c>
      <c r="P2268" t="str">
        <f>HYPERLINK("https://www.youtube.com/channel/UCmGTbHKHRmMJJCW0JU0ly0g")</f>
        <v>https://www.youtube.com/channel/UCmGTbHKHRmMJJCW0JU0ly0g</v>
      </c>
      <c r="Q2268">
        <v>105000</v>
      </c>
      <c r="R2268" t="s">
        <v>124</v>
      </c>
      <c r="S2268" t="s">
        <v>125</v>
      </c>
      <c r="W2268">
        <v>2</v>
      </c>
      <c r="X2268">
        <v>2</v>
      </c>
      <c r="AE2268">
        <v>0</v>
      </c>
      <c r="AM2268" t="s">
        <v>129</v>
      </c>
      <c r="AN2268" t="s">
        <v>130</v>
      </c>
      <c r="AP2268" t="s">
        <v>41</v>
      </c>
      <c r="AZ2268" t="s">
        <v>51</v>
      </c>
      <c r="BB2268" t="s">
        <v>53</v>
      </c>
    </row>
    <row r="2269" spans="1:69" x14ac:dyDescent="0.2">
      <c r="A2269" t="s">
        <v>7964</v>
      </c>
      <c r="B2269" t="s">
        <v>5087</v>
      </c>
      <c r="C2269" t="s">
        <v>8058</v>
      </c>
      <c r="D2269" t="s">
        <v>8059</v>
      </c>
      <c r="E2269" t="s">
        <v>8060</v>
      </c>
      <c r="F2269" t="s">
        <v>118</v>
      </c>
      <c r="G2269" t="str">
        <f>HYPERLINK("https://vk.com/wall-77003093_174168?reply=174196")</f>
        <v>https://vk.com/wall-77003093_174168?reply=174196</v>
      </c>
      <c r="H2269" t="s">
        <v>228</v>
      </c>
      <c r="I2269" t="s">
        <v>8061</v>
      </c>
      <c r="J2269" t="str">
        <f>HYPERLINK("http://vk.com/id27576092")</f>
        <v>http://vk.com/id27576092</v>
      </c>
      <c r="K2269">
        <v>240</v>
      </c>
      <c r="L2269" t="s">
        <v>121</v>
      </c>
      <c r="M2269">
        <v>33</v>
      </c>
      <c r="N2269" t="s">
        <v>122</v>
      </c>
      <c r="O2269" t="s">
        <v>8062</v>
      </c>
      <c r="P2269" t="str">
        <f>HYPERLINK("http://vk.com/club77003093")</f>
        <v>http://vk.com/club77003093</v>
      </c>
      <c r="Q2269">
        <v>6840</v>
      </c>
      <c r="R2269" t="s">
        <v>124</v>
      </c>
      <c r="S2269" t="s">
        <v>125</v>
      </c>
      <c r="T2269" t="s">
        <v>627</v>
      </c>
      <c r="U2269" t="s">
        <v>8063</v>
      </c>
      <c r="AM2269" t="s">
        <v>129</v>
      </c>
      <c r="AN2269" t="s">
        <v>130</v>
      </c>
      <c r="AP2269" t="s">
        <v>41</v>
      </c>
      <c r="AZ2269" t="s">
        <v>51</v>
      </c>
      <c r="BA2269" t="s">
        <v>52</v>
      </c>
    </row>
    <row r="2270" spans="1:69" x14ac:dyDescent="0.2">
      <c r="A2270" t="s">
        <v>7964</v>
      </c>
      <c r="B2270" t="s">
        <v>7363</v>
      </c>
      <c r="C2270" t="s">
        <v>8064</v>
      </c>
      <c r="D2270" t="s">
        <v>7374</v>
      </c>
      <c r="E2270" t="s">
        <v>8065</v>
      </c>
      <c r="F2270" t="s">
        <v>118</v>
      </c>
      <c r="G2270" t="str">
        <f>HYPERLINK("https://vk.com/wall-27863223_291691?reply=291727")</f>
        <v>https://vk.com/wall-27863223_291691?reply=291727</v>
      </c>
      <c r="H2270" t="s">
        <v>119</v>
      </c>
      <c r="I2270" t="s">
        <v>8066</v>
      </c>
      <c r="J2270" t="str">
        <f>HYPERLINK("http://vk.com/id476101685")</f>
        <v>http://vk.com/id476101685</v>
      </c>
      <c r="K2270">
        <v>85</v>
      </c>
      <c r="L2270" t="s">
        <v>151</v>
      </c>
      <c r="N2270" t="s">
        <v>122</v>
      </c>
      <c r="O2270" t="s">
        <v>175</v>
      </c>
      <c r="P2270" t="str">
        <f>HYPERLINK("http://vk.com/club27863223")</f>
        <v>http://vk.com/club27863223</v>
      </c>
      <c r="Q2270">
        <v>134698</v>
      </c>
      <c r="R2270" t="s">
        <v>124</v>
      </c>
      <c r="W2270">
        <v>0</v>
      </c>
      <c r="X2270">
        <v>0</v>
      </c>
      <c r="AM2270" t="s">
        <v>129</v>
      </c>
      <c r="AN2270" t="s">
        <v>130</v>
      </c>
      <c r="AP2270" t="s">
        <v>41</v>
      </c>
      <c r="AW2270" t="s">
        <v>48</v>
      </c>
      <c r="AX2270" t="s">
        <v>49</v>
      </c>
      <c r="AZ2270" t="s">
        <v>51</v>
      </c>
      <c r="BA2270" t="s">
        <v>52</v>
      </c>
    </row>
    <row r="2271" spans="1:69" x14ac:dyDescent="0.2">
      <c r="A2271" t="s">
        <v>7964</v>
      </c>
      <c r="B2271" t="s">
        <v>8067</v>
      </c>
      <c r="C2271" t="s">
        <v>8068</v>
      </c>
      <c r="D2271" t="s">
        <v>7991</v>
      </c>
      <c r="E2271" t="s">
        <v>8069</v>
      </c>
      <c r="F2271" t="s">
        <v>118</v>
      </c>
      <c r="G2271" t="str">
        <f>HYPERLINK("https://vk.com/wall-175358257_61057?reply=61063")</f>
        <v>https://vk.com/wall-175358257_61057?reply=61063</v>
      </c>
      <c r="H2271" t="s">
        <v>119</v>
      </c>
      <c r="I2271" t="s">
        <v>8070</v>
      </c>
      <c r="J2271" t="str">
        <f>HYPERLINK("http://vk.com/id526054766")</f>
        <v>http://vk.com/id526054766</v>
      </c>
      <c r="K2271">
        <v>30</v>
      </c>
      <c r="L2271" t="s">
        <v>121</v>
      </c>
      <c r="M2271">
        <v>44</v>
      </c>
      <c r="N2271" t="s">
        <v>122</v>
      </c>
      <c r="O2271" t="s">
        <v>8071</v>
      </c>
      <c r="P2271" t="str">
        <f>HYPERLINK("http://vk.com/club175358257")</f>
        <v>http://vk.com/club175358257</v>
      </c>
      <c r="Q2271">
        <v>13283</v>
      </c>
      <c r="R2271" t="s">
        <v>124</v>
      </c>
      <c r="S2271" t="s">
        <v>125</v>
      </c>
      <c r="T2271" t="s">
        <v>218</v>
      </c>
      <c r="U2271" t="s">
        <v>8072</v>
      </c>
      <c r="AM2271" t="s">
        <v>129</v>
      </c>
      <c r="AN2271" t="s">
        <v>130</v>
      </c>
      <c r="AP2271" t="s">
        <v>41</v>
      </c>
      <c r="AZ2271" t="s">
        <v>51</v>
      </c>
      <c r="BA2271" t="s">
        <v>52</v>
      </c>
      <c r="BL2271" t="s">
        <v>63</v>
      </c>
    </row>
    <row r="2272" spans="1:69" x14ac:dyDescent="0.2">
      <c r="A2272" t="s">
        <v>7964</v>
      </c>
      <c r="B2272" t="s">
        <v>1949</v>
      </c>
      <c r="C2272" t="s">
        <v>8073</v>
      </c>
      <c r="D2272" t="s">
        <v>7991</v>
      </c>
      <c r="E2272" t="s">
        <v>8074</v>
      </c>
      <c r="F2272" t="s">
        <v>118</v>
      </c>
      <c r="G2272" t="str">
        <f>HYPERLINK("https://vk.com/wall-203568339_2859?reply=2863")</f>
        <v>https://vk.com/wall-203568339_2859?reply=2863</v>
      </c>
      <c r="H2272" t="s">
        <v>119</v>
      </c>
      <c r="I2272" t="s">
        <v>8075</v>
      </c>
      <c r="J2272" t="str">
        <f>HYPERLINK("http://vk.com/id289853101")</f>
        <v>http://vk.com/id289853101</v>
      </c>
      <c r="K2272">
        <v>11</v>
      </c>
      <c r="L2272" t="s">
        <v>121</v>
      </c>
      <c r="M2272">
        <v>54</v>
      </c>
      <c r="N2272" t="s">
        <v>122</v>
      </c>
      <c r="O2272" t="s">
        <v>8076</v>
      </c>
      <c r="P2272" t="str">
        <f>HYPERLINK("http://vk.com/club203568339")</f>
        <v>http://vk.com/club203568339</v>
      </c>
      <c r="Q2272">
        <v>1865</v>
      </c>
      <c r="R2272" t="s">
        <v>124</v>
      </c>
      <c r="S2272" t="s">
        <v>125</v>
      </c>
      <c r="T2272" t="s">
        <v>218</v>
      </c>
      <c r="U2272" t="s">
        <v>4314</v>
      </c>
      <c r="AM2272" t="s">
        <v>129</v>
      </c>
      <c r="AN2272" t="s">
        <v>130</v>
      </c>
      <c r="AP2272" t="s">
        <v>41</v>
      </c>
      <c r="AZ2272" t="s">
        <v>51</v>
      </c>
      <c r="BA2272" t="s">
        <v>52</v>
      </c>
      <c r="BL2272" t="s">
        <v>63</v>
      </c>
    </row>
    <row r="2273" spans="1:100" x14ac:dyDescent="0.2">
      <c r="A2273" t="s">
        <v>7964</v>
      </c>
      <c r="B2273" t="s">
        <v>1414</v>
      </c>
      <c r="C2273" t="s">
        <v>8077</v>
      </c>
      <c r="D2273" t="s">
        <v>8078</v>
      </c>
      <c r="E2273" t="s">
        <v>8079</v>
      </c>
      <c r="F2273" t="s">
        <v>118</v>
      </c>
      <c r="G2273" t="str">
        <f>HYPERLINK("https://vk.com/wall-27863223_275497?reply=291725&amp;thread=290812")</f>
        <v>https://vk.com/wall-27863223_275497?reply=291725&amp;thread=290812</v>
      </c>
      <c r="H2273" t="s">
        <v>119</v>
      </c>
      <c r="I2273" t="s">
        <v>8080</v>
      </c>
      <c r="J2273" t="str">
        <f>HYPERLINK("http://vk.com/id350203804")</f>
        <v>http://vk.com/id350203804</v>
      </c>
      <c r="K2273">
        <v>22</v>
      </c>
      <c r="L2273" t="s">
        <v>151</v>
      </c>
      <c r="M2273">
        <v>27</v>
      </c>
      <c r="N2273" t="s">
        <v>122</v>
      </c>
      <c r="O2273" t="s">
        <v>175</v>
      </c>
      <c r="P2273" t="str">
        <f>HYPERLINK("http://vk.com/club27863223")</f>
        <v>http://vk.com/club27863223</v>
      </c>
      <c r="Q2273">
        <v>134698</v>
      </c>
      <c r="R2273" t="s">
        <v>124</v>
      </c>
      <c r="AM2273" t="s">
        <v>129</v>
      </c>
      <c r="AN2273" t="s">
        <v>130</v>
      </c>
      <c r="AP2273" t="s">
        <v>41</v>
      </c>
      <c r="AU2273" t="s">
        <v>46</v>
      </c>
      <c r="AY2273" t="s">
        <v>50</v>
      </c>
      <c r="AZ2273" t="s">
        <v>51</v>
      </c>
      <c r="BA2273" t="s">
        <v>52</v>
      </c>
    </row>
    <row r="2274" spans="1:100" x14ac:dyDescent="0.2">
      <c r="A2274" t="s">
        <v>7964</v>
      </c>
      <c r="B2274" t="s">
        <v>3693</v>
      </c>
      <c r="C2274" t="s">
        <v>8081</v>
      </c>
      <c r="D2274" t="s">
        <v>7240</v>
      </c>
      <c r="E2274" t="s">
        <v>8082</v>
      </c>
      <c r="F2274" t="s">
        <v>118</v>
      </c>
      <c r="G2274" t="str">
        <f>HYPERLINK("https://vk.com/wall-25564835_222884?reply=223009&amp;thread=222936")</f>
        <v>https://vk.com/wall-25564835_222884?reply=223009&amp;thread=222936</v>
      </c>
      <c r="H2274" t="s">
        <v>228</v>
      </c>
      <c r="I2274" t="s">
        <v>7242</v>
      </c>
      <c r="J2274" t="str">
        <f>HYPERLINK("http://vk.com/id567818185")</f>
        <v>http://vk.com/id567818185</v>
      </c>
      <c r="K2274">
        <v>0</v>
      </c>
      <c r="L2274" t="s">
        <v>151</v>
      </c>
      <c r="N2274" t="s">
        <v>122</v>
      </c>
      <c r="O2274" t="s">
        <v>7243</v>
      </c>
      <c r="P2274" t="str">
        <f>HYPERLINK("http://vk.com/club25564835")</f>
        <v>http://vk.com/club25564835</v>
      </c>
      <c r="Q2274">
        <v>5788</v>
      </c>
      <c r="R2274" t="s">
        <v>124</v>
      </c>
      <c r="AM2274" t="s">
        <v>129</v>
      </c>
      <c r="AN2274" t="s">
        <v>130</v>
      </c>
      <c r="AP2274" t="s">
        <v>41</v>
      </c>
      <c r="AZ2274" t="s">
        <v>51</v>
      </c>
      <c r="BA2274" t="s">
        <v>52</v>
      </c>
      <c r="BL2274" t="s">
        <v>63</v>
      </c>
      <c r="CV2274" t="s">
        <v>99</v>
      </c>
    </row>
    <row r="2275" spans="1:100" x14ac:dyDescent="0.2">
      <c r="A2275" t="s">
        <v>7964</v>
      </c>
      <c r="B2275" t="s">
        <v>2447</v>
      </c>
      <c r="C2275" t="s">
        <v>8083</v>
      </c>
      <c r="D2275" t="s">
        <v>129</v>
      </c>
      <c r="E2275" t="s">
        <v>8084</v>
      </c>
      <c r="F2275" t="s">
        <v>180</v>
      </c>
      <c r="G2275" t="str">
        <f>HYPERLINK("https://vk.com/wall-186510626_23910")</f>
        <v>https://vk.com/wall-186510626_23910</v>
      </c>
      <c r="H2275" t="s">
        <v>228</v>
      </c>
      <c r="I2275" t="s">
        <v>8085</v>
      </c>
      <c r="J2275" t="str">
        <f>HYPERLINK("http://vk.com/club186510626")</f>
        <v>http://vk.com/club186510626</v>
      </c>
      <c r="K2275">
        <v>2185</v>
      </c>
      <c r="L2275" t="s">
        <v>340</v>
      </c>
      <c r="N2275" t="s">
        <v>122</v>
      </c>
      <c r="O2275" t="s">
        <v>8085</v>
      </c>
      <c r="P2275" t="str">
        <f>HYPERLINK("http://vk.com/club186510626")</f>
        <v>http://vk.com/club186510626</v>
      </c>
      <c r="Q2275">
        <v>2185</v>
      </c>
      <c r="R2275" t="s">
        <v>124</v>
      </c>
      <c r="S2275" t="s">
        <v>125</v>
      </c>
      <c r="T2275" t="s">
        <v>2566</v>
      </c>
      <c r="U2275" t="s">
        <v>4688</v>
      </c>
      <c r="W2275">
        <v>3</v>
      </c>
      <c r="X2275">
        <v>3</v>
      </c>
      <c r="AE2275">
        <v>0</v>
      </c>
      <c r="AF2275">
        <v>0</v>
      </c>
      <c r="AG2275">
        <v>93</v>
      </c>
      <c r="AM2275" t="s">
        <v>129</v>
      </c>
      <c r="AN2275" t="s">
        <v>130</v>
      </c>
      <c r="AP2275" t="s">
        <v>41</v>
      </c>
      <c r="AW2275" t="s">
        <v>48</v>
      </c>
      <c r="AZ2275" t="s">
        <v>51</v>
      </c>
      <c r="BA2275" t="s">
        <v>52</v>
      </c>
      <c r="BM2275" t="s">
        <v>64</v>
      </c>
    </row>
    <row r="2276" spans="1:100" x14ac:dyDescent="0.2">
      <c r="A2276" t="s">
        <v>7964</v>
      </c>
      <c r="B2276" t="s">
        <v>2955</v>
      </c>
      <c r="C2276" t="s">
        <v>8036</v>
      </c>
      <c r="D2276" t="s">
        <v>7512</v>
      </c>
      <c r="E2276" t="s">
        <v>8086</v>
      </c>
      <c r="F2276" t="s">
        <v>118</v>
      </c>
      <c r="G2276" t="str">
        <f>HYPERLINK("https://ok.ru/group/52172741083275/topic/153800758578059#MTYyNjE5MjE3NTYyMjotOTIyOToxNjI2MTkyMTc1NjIyOjE1MzgwMDc1ODU3ODA1OTox")</f>
        <v>https://ok.ru/group/52172741083275/topic/153800758578059#MTYyNjE5MjE3NTYyMjotOTIyOToxNjI2MTkyMTc1NjIyOjE1MzgwMDc1ODU3ODA1OTox</v>
      </c>
      <c r="H2276" t="s">
        <v>228</v>
      </c>
      <c r="I2276" t="s">
        <v>8087</v>
      </c>
      <c r="J2276" t="str">
        <f>HYPERLINK("https://ok.ru/profile/338611087954")</f>
        <v>https://ok.ru/profile/338611087954</v>
      </c>
      <c r="K2276">
        <v>123</v>
      </c>
      <c r="L2276" t="s">
        <v>121</v>
      </c>
      <c r="M2276">
        <v>54</v>
      </c>
      <c r="N2276" t="s">
        <v>347</v>
      </c>
      <c r="O2276" t="s">
        <v>4687</v>
      </c>
      <c r="P2276" t="str">
        <f>HYPERLINK("https://ok.ru/group/52172741083275")</f>
        <v>https://ok.ru/group/52172741083275</v>
      </c>
      <c r="Q2276">
        <v>27667</v>
      </c>
      <c r="R2276" t="s">
        <v>124</v>
      </c>
      <c r="S2276" t="s">
        <v>125</v>
      </c>
      <c r="T2276" t="s">
        <v>2566</v>
      </c>
      <c r="U2276" t="s">
        <v>4688</v>
      </c>
      <c r="W2276">
        <v>0</v>
      </c>
      <c r="X2276">
        <v>0</v>
      </c>
      <c r="AM2276" t="s">
        <v>129</v>
      </c>
      <c r="AN2276" t="s">
        <v>130</v>
      </c>
      <c r="AP2276" t="s">
        <v>41</v>
      </c>
      <c r="AU2276" t="s">
        <v>46</v>
      </c>
      <c r="AW2276" t="s">
        <v>48</v>
      </c>
      <c r="AZ2276" t="s">
        <v>51</v>
      </c>
      <c r="BA2276" t="s">
        <v>52</v>
      </c>
    </row>
    <row r="2277" spans="1:100" x14ac:dyDescent="0.2">
      <c r="A2277" t="s">
        <v>7964</v>
      </c>
      <c r="B2277" t="s">
        <v>883</v>
      </c>
      <c r="C2277" t="s">
        <v>8088</v>
      </c>
      <c r="D2277" t="s">
        <v>1186</v>
      </c>
      <c r="E2277" t="s">
        <v>8089</v>
      </c>
      <c r="F2277" t="s">
        <v>180</v>
      </c>
      <c r="G2277" t="str">
        <f>HYPERLINK("https://4pda.to/forum/index.php?showtopic=916407&amp;st=3080#entry107968228")</f>
        <v>https://4pda.to/forum/index.php?showtopic=916407&amp;st=3080#entry107968228</v>
      </c>
      <c r="H2277" t="s">
        <v>119</v>
      </c>
      <c r="I2277" t="s">
        <v>7212</v>
      </c>
      <c r="J2277" t="str">
        <f>HYPERLINK("https://4pda.to/forum/index.php?showuser=927781")</f>
        <v>https://4pda.to/forum/index.php?showuser=927781</v>
      </c>
      <c r="N2277" t="s">
        <v>293</v>
      </c>
      <c r="O2277" t="s">
        <v>1189</v>
      </c>
      <c r="P2277" t="str">
        <f>HYPERLINK("https://4pda.to/forum/index.php?showforum=319")</f>
        <v>https://4pda.to/forum/index.php?showforum=319</v>
      </c>
      <c r="R2277" t="s">
        <v>295</v>
      </c>
      <c r="S2277" t="s">
        <v>125</v>
      </c>
      <c r="AM2277" t="s">
        <v>129</v>
      </c>
      <c r="AN2277" t="s">
        <v>130</v>
      </c>
      <c r="AP2277" t="s">
        <v>41</v>
      </c>
      <c r="AU2277" t="s">
        <v>46</v>
      </c>
      <c r="AZ2277" t="s">
        <v>51</v>
      </c>
      <c r="BA2277" t="s">
        <v>52</v>
      </c>
      <c r="BK2277" t="s">
        <v>62</v>
      </c>
    </row>
    <row r="2278" spans="1:100" x14ac:dyDescent="0.2">
      <c r="A2278" t="s">
        <v>7964</v>
      </c>
      <c r="B2278" t="s">
        <v>3710</v>
      </c>
      <c r="C2278" t="s">
        <v>8090</v>
      </c>
      <c r="D2278" t="s">
        <v>7986</v>
      </c>
      <c r="E2278" t="s">
        <v>8091</v>
      </c>
      <c r="F2278" t="s">
        <v>118</v>
      </c>
      <c r="G2278" t="str">
        <f>HYPERLINK("https://vk.com/wall-127321739_357962?reply=358006")</f>
        <v>https://vk.com/wall-127321739_357962?reply=358006</v>
      </c>
      <c r="H2278" t="s">
        <v>181</v>
      </c>
      <c r="I2278" t="s">
        <v>8092</v>
      </c>
      <c r="J2278" t="str">
        <f>HYPERLINK("http://vk.com/id442966567")</f>
        <v>http://vk.com/id442966567</v>
      </c>
      <c r="K2278">
        <v>93</v>
      </c>
      <c r="L2278" t="s">
        <v>121</v>
      </c>
      <c r="M2278">
        <v>43</v>
      </c>
      <c r="N2278" t="s">
        <v>122</v>
      </c>
      <c r="O2278" t="s">
        <v>7989</v>
      </c>
      <c r="P2278" t="str">
        <f>HYPERLINK("http://vk.com/club127321739")</f>
        <v>http://vk.com/club127321739</v>
      </c>
      <c r="Q2278">
        <v>24412</v>
      </c>
      <c r="R2278" t="s">
        <v>124</v>
      </c>
      <c r="S2278" t="s">
        <v>125</v>
      </c>
      <c r="T2278" t="s">
        <v>137</v>
      </c>
      <c r="U2278" t="s">
        <v>137</v>
      </c>
      <c r="AM2278" t="s">
        <v>129</v>
      </c>
      <c r="AN2278" t="s">
        <v>130</v>
      </c>
      <c r="AP2278" t="s">
        <v>41</v>
      </c>
      <c r="AZ2278" t="s">
        <v>51</v>
      </c>
      <c r="BA2278" t="s">
        <v>52</v>
      </c>
    </row>
    <row r="2279" spans="1:100" x14ac:dyDescent="0.2">
      <c r="A2279" t="s">
        <v>7964</v>
      </c>
      <c r="B2279" t="s">
        <v>2977</v>
      </c>
      <c r="C2279" t="s">
        <v>8036</v>
      </c>
      <c r="D2279" t="s">
        <v>7512</v>
      </c>
      <c r="E2279" t="s">
        <v>8093</v>
      </c>
      <c r="F2279" t="s">
        <v>118</v>
      </c>
      <c r="G2279" t="str">
        <f>HYPERLINK("https://ok.ru/group/52172741083275/topic/153800758578059#MTYyNjE5MDQ3MTE4NjotNDk4MToxNjI2MTkwNDcxMTg2OjE1MzgwMDc1ODU3ODA1OTox")</f>
        <v>https://ok.ru/group/52172741083275/topic/153800758578059#MTYyNjE5MDQ3MTE4NjotNDk4MToxNjI2MTkwNDcxMTg2OjE1MzgwMDc1ODU3ODA1OTox</v>
      </c>
      <c r="H2279" t="s">
        <v>228</v>
      </c>
      <c r="I2279" t="s">
        <v>8094</v>
      </c>
      <c r="J2279" t="str">
        <f>HYPERLINK("https://ok.ru/profile/568441147801")</f>
        <v>https://ok.ru/profile/568441147801</v>
      </c>
      <c r="K2279">
        <v>626</v>
      </c>
      <c r="L2279" t="s">
        <v>151</v>
      </c>
      <c r="N2279" t="s">
        <v>347</v>
      </c>
      <c r="O2279" t="s">
        <v>4687</v>
      </c>
      <c r="P2279" t="str">
        <f>HYPERLINK("https://ok.ru/group/52172741083275")</f>
        <v>https://ok.ru/group/52172741083275</v>
      </c>
      <c r="Q2279">
        <v>27667</v>
      </c>
      <c r="R2279" t="s">
        <v>124</v>
      </c>
      <c r="S2279" t="s">
        <v>125</v>
      </c>
      <c r="T2279" t="s">
        <v>2566</v>
      </c>
      <c r="U2279" t="s">
        <v>4688</v>
      </c>
      <c r="W2279">
        <v>0</v>
      </c>
      <c r="X2279">
        <v>0</v>
      </c>
      <c r="AM2279" t="s">
        <v>129</v>
      </c>
      <c r="AN2279" t="s">
        <v>130</v>
      </c>
      <c r="AP2279" t="s">
        <v>41</v>
      </c>
      <c r="AU2279" t="s">
        <v>46</v>
      </c>
      <c r="AW2279" t="s">
        <v>48</v>
      </c>
      <c r="AY2279" t="s">
        <v>50</v>
      </c>
      <c r="AZ2279" t="s">
        <v>51</v>
      </c>
      <c r="BA2279" t="s">
        <v>52</v>
      </c>
    </row>
    <row r="2280" spans="1:100" x14ac:dyDescent="0.2">
      <c r="A2280" t="s">
        <v>7964</v>
      </c>
      <c r="B2280" t="s">
        <v>3731</v>
      </c>
      <c r="C2280" t="s">
        <v>8095</v>
      </c>
      <c r="D2280" t="s">
        <v>332</v>
      </c>
      <c r="E2280" t="s">
        <v>8096</v>
      </c>
      <c r="F2280" t="s">
        <v>180</v>
      </c>
      <c r="G2280" t="str">
        <f>HYPERLINK("https://telesputnik.ru/forum/viewtopic.php?f=36&amp;t=42382&amp;start=37800#p2480452")</f>
        <v>https://telesputnik.ru/forum/viewtopic.php?f=36&amp;t=42382&amp;start=37800#p2480452</v>
      </c>
      <c r="H2280" t="s">
        <v>119</v>
      </c>
      <c r="I2280" t="s">
        <v>1160</v>
      </c>
      <c r="J2280" t="str">
        <f>HYPERLINK("https://telesputnik.ru/forum/memberlist.php?mode=viewprofile&amp;u=304630")</f>
        <v>https://telesputnik.ru/forum/memberlist.php?mode=viewprofile&amp;u=304630</v>
      </c>
      <c r="L2280" t="s">
        <v>121</v>
      </c>
      <c r="N2280" t="s">
        <v>335</v>
      </c>
      <c r="O2280" t="s">
        <v>336</v>
      </c>
      <c r="P2280" t="str">
        <f>HYPERLINK("https://telesputnik.ru/forum/viewforum.php?f=11")</f>
        <v>https://telesputnik.ru/forum/viewforum.php?f=11</v>
      </c>
      <c r="R2280" t="s">
        <v>295</v>
      </c>
      <c r="S2280" t="s">
        <v>125</v>
      </c>
      <c r="T2280" t="s">
        <v>667</v>
      </c>
      <c r="U2280" t="s">
        <v>668</v>
      </c>
      <c r="AM2280" t="s">
        <v>129</v>
      </c>
      <c r="AN2280" t="s">
        <v>130</v>
      </c>
      <c r="AP2280" t="s">
        <v>41</v>
      </c>
      <c r="AW2280" t="s">
        <v>48</v>
      </c>
      <c r="AZ2280" t="s">
        <v>51</v>
      </c>
      <c r="BA2280" t="s">
        <v>52</v>
      </c>
      <c r="BY2280" t="s">
        <v>76</v>
      </c>
    </row>
    <row r="2281" spans="1:100" x14ac:dyDescent="0.2">
      <c r="A2281" t="s">
        <v>7964</v>
      </c>
      <c r="B2281" t="s">
        <v>1437</v>
      </c>
      <c r="C2281" t="s">
        <v>8095</v>
      </c>
      <c r="D2281" t="s">
        <v>332</v>
      </c>
      <c r="E2281" t="s">
        <v>8097</v>
      </c>
      <c r="F2281" t="s">
        <v>180</v>
      </c>
      <c r="G2281" t="str">
        <f>HYPERLINK("https://telesputnik.ru/forum/viewtopic.php?f=36&amp;t=42382&amp;start=37800#p2480451")</f>
        <v>https://telesputnik.ru/forum/viewtopic.php?f=36&amp;t=42382&amp;start=37800#p2480451</v>
      </c>
      <c r="H2281" t="s">
        <v>228</v>
      </c>
      <c r="I2281" t="s">
        <v>8098</v>
      </c>
      <c r="J2281" t="str">
        <f>HYPERLINK("https://telesputnik.ru/forum/memberlist.php?mode=viewprofile&amp;u=4342")</f>
        <v>https://telesputnik.ru/forum/memberlist.php?mode=viewprofile&amp;u=4342</v>
      </c>
      <c r="N2281" t="s">
        <v>335</v>
      </c>
      <c r="O2281" t="s">
        <v>336</v>
      </c>
      <c r="P2281" t="str">
        <f>HYPERLINK("https://telesputnik.ru/forum/viewforum.php?f=11")</f>
        <v>https://telesputnik.ru/forum/viewforum.php?f=11</v>
      </c>
      <c r="R2281" t="s">
        <v>295</v>
      </c>
      <c r="S2281" t="s">
        <v>125</v>
      </c>
      <c r="AM2281" t="s">
        <v>129</v>
      </c>
      <c r="AN2281" t="s">
        <v>130</v>
      </c>
      <c r="AP2281" t="s">
        <v>41</v>
      </c>
      <c r="AY2281" t="s">
        <v>50</v>
      </c>
      <c r="AZ2281" t="s">
        <v>51</v>
      </c>
      <c r="BA2281" t="s">
        <v>52</v>
      </c>
    </row>
    <row r="2282" spans="1:100" x14ac:dyDescent="0.2">
      <c r="A2282" t="s">
        <v>7964</v>
      </c>
      <c r="B2282" t="s">
        <v>1980</v>
      </c>
      <c r="C2282" t="s">
        <v>8036</v>
      </c>
      <c r="D2282" t="s">
        <v>7512</v>
      </c>
      <c r="E2282" t="s">
        <v>8099</v>
      </c>
      <c r="F2282" t="s">
        <v>118</v>
      </c>
      <c r="G2282" t="str">
        <f>HYPERLINK("https://ok.ru/group/52172741083275/topic/153800758578059#MTYyNjE4OTg3MjQ5NDotODYxOjE2MjYxODk4NzI0OTQ6MTUzODAwNzU4NTc4MDU5OjE=")</f>
        <v>https://ok.ru/group/52172741083275/topic/153800758578059#MTYyNjE4OTg3MjQ5NDotODYxOjE2MjYxODk4NzI0OTQ6MTUzODAwNzU4NTc4MDU5OjE=</v>
      </c>
      <c r="H2282" t="s">
        <v>119</v>
      </c>
      <c r="I2282" t="s">
        <v>8100</v>
      </c>
      <c r="J2282" t="str">
        <f>HYPERLINK("https://ok.ru/profile/556608271568")</f>
        <v>https://ok.ru/profile/556608271568</v>
      </c>
      <c r="K2282">
        <v>559</v>
      </c>
      <c r="L2282" t="s">
        <v>151</v>
      </c>
      <c r="M2282">
        <v>35</v>
      </c>
      <c r="N2282" t="s">
        <v>347</v>
      </c>
      <c r="O2282" t="s">
        <v>4687</v>
      </c>
      <c r="P2282" t="str">
        <f>HYPERLINK("https://ok.ru/group/52172741083275")</f>
        <v>https://ok.ru/group/52172741083275</v>
      </c>
      <c r="Q2282">
        <v>27667</v>
      </c>
      <c r="R2282" t="s">
        <v>124</v>
      </c>
      <c r="S2282" t="s">
        <v>125</v>
      </c>
      <c r="T2282" t="s">
        <v>2566</v>
      </c>
      <c r="U2282" t="s">
        <v>8101</v>
      </c>
      <c r="W2282">
        <v>0</v>
      </c>
      <c r="X2282">
        <v>0</v>
      </c>
      <c r="AM2282" t="s">
        <v>129</v>
      </c>
      <c r="AN2282" t="s">
        <v>130</v>
      </c>
      <c r="AP2282" t="s">
        <v>41</v>
      </c>
      <c r="AW2282" t="s">
        <v>48</v>
      </c>
      <c r="AZ2282" t="s">
        <v>51</v>
      </c>
      <c r="BA2282" t="s">
        <v>52</v>
      </c>
      <c r="BN2282" t="s">
        <v>65</v>
      </c>
      <c r="BW2282" t="s">
        <v>74</v>
      </c>
    </row>
    <row r="2283" spans="1:100" x14ac:dyDescent="0.2">
      <c r="A2283" t="s">
        <v>7964</v>
      </c>
      <c r="B2283" t="s">
        <v>1984</v>
      </c>
      <c r="C2283" t="s">
        <v>8102</v>
      </c>
      <c r="D2283" t="s">
        <v>2953</v>
      </c>
      <c r="E2283" t="s">
        <v>8103</v>
      </c>
      <c r="F2283" t="s">
        <v>118</v>
      </c>
      <c r="G2283" t="str">
        <f>HYPERLINK("https://vk.com/wall-61101621_254612?reply=254638")</f>
        <v>https://vk.com/wall-61101621_254612?reply=254638</v>
      </c>
      <c r="H2283" t="s">
        <v>119</v>
      </c>
      <c r="I2283" t="s">
        <v>8104</v>
      </c>
      <c r="J2283" t="str">
        <f>HYPERLINK("http://vk.com/id191511807")</f>
        <v>http://vk.com/id191511807</v>
      </c>
      <c r="K2283">
        <v>52</v>
      </c>
      <c r="L2283" t="s">
        <v>121</v>
      </c>
      <c r="M2283">
        <v>48</v>
      </c>
      <c r="N2283" t="s">
        <v>122</v>
      </c>
      <c r="O2283" t="s">
        <v>160</v>
      </c>
      <c r="P2283" t="str">
        <f>HYPERLINK("http://vk.com/club61101621")</f>
        <v>http://vk.com/club61101621</v>
      </c>
      <c r="Q2283">
        <v>21119</v>
      </c>
      <c r="R2283" t="s">
        <v>124</v>
      </c>
      <c r="S2283" t="s">
        <v>125</v>
      </c>
      <c r="T2283" t="s">
        <v>1466</v>
      </c>
      <c r="U2283" t="s">
        <v>1467</v>
      </c>
      <c r="W2283">
        <v>0</v>
      </c>
      <c r="X2283">
        <v>0</v>
      </c>
      <c r="AJ2283" t="s">
        <v>8105</v>
      </c>
      <c r="AK2283" t="s">
        <v>129</v>
      </c>
      <c r="AL2283" t="str">
        <f>HYPERLINK("https://sun9-87.userapi.com/impg/1DybJ9aQtzJhxxnKby0fxT83B_nzyxHXrFk6EQ/D9VkW6X2bK8.jpg?size=401x177&amp;quality=96&amp;sign=5471e37fd275491fcf92c24ff3db02bb&amp;c_uniq_tag=srmxgkKW7yIs-8lrDQ2i3Lbe6nVqU0quUBI-0haGf8w&amp;type=album")</f>
        <v>https://sun9-87.userapi.com/impg/1DybJ9aQtzJhxxnKby0fxT83B_nzyxHXrFk6EQ/D9VkW6X2bK8.jpg?size=401x177&amp;quality=96&amp;sign=5471e37fd275491fcf92c24ff3db02bb&amp;c_uniq_tag=srmxgkKW7yIs-8lrDQ2i3Lbe6nVqU0quUBI-0haGf8w&amp;type=album</v>
      </c>
      <c r="AM2283" t="s">
        <v>129</v>
      </c>
      <c r="AN2283" t="s">
        <v>130</v>
      </c>
      <c r="AP2283" t="s">
        <v>41</v>
      </c>
      <c r="AZ2283" t="s">
        <v>51</v>
      </c>
      <c r="BA2283" t="s">
        <v>52</v>
      </c>
      <c r="BL2283" t="s">
        <v>63</v>
      </c>
    </row>
    <row r="2284" spans="1:100" x14ac:dyDescent="0.2">
      <c r="A2284" t="s">
        <v>7964</v>
      </c>
      <c r="B2284" t="s">
        <v>1442</v>
      </c>
      <c r="C2284" t="s">
        <v>8106</v>
      </c>
      <c r="D2284" t="s">
        <v>129</v>
      </c>
      <c r="E2284" t="s">
        <v>8107</v>
      </c>
      <c r="F2284" t="s">
        <v>180</v>
      </c>
      <c r="G2284" t="str">
        <f>HYPERLINK("https://telegram.me/edemtvhelpchat/80018")</f>
        <v>https://telegram.me/edemtvhelpchat/80018</v>
      </c>
      <c r="H2284" t="s">
        <v>119</v>
      </c>
      <c r="I2284" t="s">
        <v>924</v>
      </c>
      <c r="J2284" t="str">
        <f>HYPERLINK("https://telegram.me/andrey851")</f>
        <v>https://telegram.me/andrey851</v>
      </c>
      <c r="L2284" t="s">
        <v>121</v>
      </c>
      <c r="N2284" t="s">
        <v>143</v>
      </c>
      <c r="O2284" t="s">
        <v>6147</v>
      </c>
      <c r="P2284" t="str">
        <f>HYPERLINK("https://telegram.me/edemtvhelpchat")</f>
        <v>https://telegram.me/edemtvhelpchat</v>
      </c>
      <c r="Q2284">
        <v>3673</v>
      </c>
      <c r="R2284" t="s">
        <v>145</v>
      </c>
      <c r="AM2284" t="s">
        <v>129</v>
      </c>
      <c r="AN2284" t="s">
        <v>130</v>
      </c>
      <c r="AP2284" t="s">
        <v>41</v>
      </c>
      <c r="AU2284" t="s">
        <v>46</v>
      </c>
      <c r="AZ2284" t="s">
        <v>51</v>
      </c>
      <c r="BA2284" t="s">
        <v>52</v>
      </c>
    </row>
    <row r="2285" spans="1:100" x14ac:dyDescent="0.2">
      <c r="A2285" t="s">
        <v>7964</v>
      </c>
      <c r="B2285" t="s">
        <v>1446</v>
      </c>
      <c r="C2285" t="s">
        <v>8108</v>
      </c>
      <c r="D2285" t="s">
        <v>7991</v>
      </c>
      <c r="E2285" t="s">
        <v>8109</v>
      </c>
      <c r="F2285" t="s">
        <v>118</v>
      </c>
      <c r="G2285" t="str">
        <f>HYPERLINK("https://vk.com/wall-203568376_2990?reply=2992")</f>
        <v>https://vk.com/wall-203568376_2990?reply=2992</v>
      </c>
      <c r="H2285" t="s">
        <v>119</v>
      </c>
      <c r="I2285" t="s">
        <v>8110</v>
      </c>
      <c r="J2285" t="str">
        <f>HYPERLINK("http://vk.com/id622448018")</f>
        <v>http://vk.com/id622448018</v>
      </c>
      <c r="K2285">
        <v>213</v>
      </c>
      <c r="L2285" t="s">
        <v>121</v>
      </c>
      <c r="M2285">
        <v>30</v>
      </c>
      <c r="N2285" t="s">
        <v>122</v>
      </c>
      <c r="O2285" t="s">
        <v>8111</v>
      </c>
      <c r="P2285" t="str">
        <f>HYPERLINK("http://vk.com/club203568376")</f>
        <v>http://vk.com/club203568376</v>
      </c>
      <c r="Q2285">
        <v>2677</v>
      </c>
      <c r="R2285" t="s">
        <v>124</v>
      </c>
      <c r="AM2285" t="s">
        <v>129</v>
      </c>
      <c r="AN2285" t="s">
        <v>130</v>
      </c>
      <c r="AP2285" t="s">
        <v>41</v>
      </c>
      <c r="AZ2285" t="s">
        <v>51</v>
      </c>
      <c r="BA2285" t="s">
        <v>52</v>
      </c>
      <c r="BL2285" t="s">
        <v>63</v>
      </c>
    </row>
    <row r="2286" spans="1:100" x14ac:dyDescent="0.2">
      <c r="A2286" t="s">
        <v>7964</v>
      </c>
      <c r="B2286" t="s">
        <v>3755</v>
      </c>
      <c r="C2286" t="s">
        <v>8112</v>
      </c>
      <c r="D2286" t="s">
        <v>2953</v>
      </c>
      <c r="E2286" t="s">
        <v>8113</v>
      </c>
      <c r="F2286" t="s">
        <v>118</v>
      </c>
      <c r="G2286" t="str">
        <f>HYPERLINK("https://vk.com/wall-61101621_254612?reply=254637")</f>
        <v>https://vk.com/wall-61101621_254612?reply=254637</v>
      </c>
      <c r="H2286" t="s">
        <v>119</v>
      </c>
      <c r="I2286" t="s">
        <v>2251</v>
      </c>
      <c r="J2286" t="str">
        <f>HYPERLINK("http://vk.com/id170066130")</f>
        <v>http://vk.com/id170066130</v>
      </c>
      <c r="K2286">
        <v>166</v>
      </c>
      <c r="N2286" t="s">
        <v>122</v>
      </c>
      <c r="O2286" t="s">
        <v>160</v>
      </c>
      <c r="P2286" t="str">
        <f>HYPERLINK("http://vk.com/club61101621")</f>
        <v>http://vk.com/club61101621</v>
      </c>
      <c r="Q2286">
        <v>21119</v>
      </c>
      <c r="R2286" t="s">
        <v>124</v>
      </c>
      <c r="S2286" t="s">
        <v>125</v>
      </c>
      <c r="W2286">
        <v>0</v>
      </c>
      <c r="X2286">
        <v>0</v>
      </c>
      <c r="AM2286" t="s">
        <v>129</v>
      </c>
      <c r="AN2286" t="s">
        <v>130</v>
      </c>
      <c r="AP2286" t="s">
        <v>41</v>
      </c>
      <c r="AZ2286" t="s">
        <v>51</v>
      </c>
      <c r="BB2286" t="s">
        <v>53</v>
      </c>
    </row>
    <row r="2287" spans="1:100" x14ac:dyDescent="0.2">
      <c r="A2287" t="s">
        <v>7964</v>
      </c>
      <c r="B2287" t="s">
        <v>906</v>
      </c>
      <c r="C2287" t="s">
        <v>8114</v>
      </c>
      <c r="D2287" t="s">
        <v>7991</v>
      </c>
      <c r="E2287" t="s">
        <v>8115</v>
      </c>
      <c r="F2287" t="s">
        <v>118</v>
      </c>
      <c r="G2287" t="str">
        <f>HYPERLINK("https://vk.com/wall-169000827_64073?reply=64074")</f>
        <v>https://vk.com/wall-169000827_64073?reply=64074</v>
      </c>
      <c r="H2287" t="s">
        <v>119</v>
      </c>
      <c r="I2287" t="s">
        <v>8116</v>
      </c>
      <c r="J2287" t="str">
        <f>HYPERLINK("http://vk.com/id554600708")</f>
        <v>http://vk.com/id554600708</v>
      </c>
      <c r="K2287">
        <v>120</v>
      </c>
      <c r="L2287" t="s">
        <v>121</v>
      </c>
      <c r="M2287">
        <v>50</v>
      </c>
      <c r="N2287" t="s">
        <v>122</v>
      </c>
      <c r="O2287" t="s">
        <v>8117</v>
      </c>
      <c r="P2287" t="str">
        <f>HYPERLINK("http://vk.com/club169000827")</f>
        <v>http://vk.com/club169000827</v>
      </c>
      <c r="Q2287">
        <v>8573</v>
      </c>
      <c r="R2287" t="s">
        <v>124</v>
      </c>
      <c r="S2287" t="s">
        <v>125</v>
      </c>
      <c r="T2287" t="s">
        <v>218</v>
      </c>
      <c r="U2287" t="s">
        <v>8118</v>
      </c>
      <c r="AM2287" t="s">
        <v>129</v>
      </c>
      <c r="AN2287" t="s">
        <v>130</v>
      </c>
      <c r="AP2287" t="s">
        <v>41</v>
      </c>
      <c r="AT2287" t="s">
        <v>45</v>
      </c>
      <c r="AZ2287" t="s">
        <v>51</v>
      </c>
      <c r="BA2287" t="s">
        <v>52</v>
      </c>
      <c r="BL2287" t="s">
        <v>63</v>
      </c>
    </row>
    <row r="2288" spans="1:100" x14ac:dyDescent="0.2">
      <c r="A2288" t="s">
        <v>7964</v>
      </c>
      <c r="B2288" t="s">
        <v>910</v>
      </c>
      <c r="C2288" t="s">
        <v>8119</v>
      </c>
      <c r="D2288" t="s">
        <v>7240</v>
      </c>
      <c r="E2288" t="s">
        <v>8120</v>
      </c>
      <c r="F2288" t="s">
        <v>118</v>
      </c>
      <c r="G2288" t="str">
        <f>HYPERLINK("https://vk.com/wall-25564835_222884?reply=222994&amp;thread=222936")</f>
        <v>https://vk.com/wall-25564835_222884?reply=222994&amp;thread=222936</v>
      </c>
      <c r="H2288" t="s">
        <v>181</v>
      </c>
      <c r="I2288" t="s">
        <v>8121</v>
      </c>
      <c r="J2288" t="str">
        <f>HYPERLINK("http://vk.com/id564897618")</f>
        <v>http://vk.com/id564897618</v>
      </c>
      <c r="K2288">
        <v>175</v>
      </c>
      <c r="L2288" t="s">
        <v>151</v>
      </c>
      <c r="N2288" t="s">
        <v>122</v>
      </c>
      <c r="O2288" t="s">
        <v>7243</v>
      </c>
      <c r="P2288" t="str">
        <f>HYPERLINK("http://vk.com/club25564835")</f>
        <v>http://vk.com/club25564835</v>
      </c>
      <c r="Q2288">
        <v>5788</v>
      </c>
      <c r="R2288" t="s">
        <v>124</v>
      </c>
      <c r="S2288" t="s">
        <v>125</v>
      </c>
      <c r="AM2288" t="s">
        <v>129</v>
      </c>
      <c r="AN2288" t="s">
        <v>130</v>
      </c>
      <c r="AP2288" t="s">
        <v>41</v>
      </c>
      <c r="AX2288" t="s">
        <v>49</v>
      </c>
      <c r="AZ2288" t="s">
        <v>51</v>
      </c>
      <c r="BA2288" t="s">
        <v>52</v>
      </c>
    </row>
    <row r="2289" spans="1:69" x14ac:dyDescent="0.2">
      <c r="A2289" t="s">
        <v>7964</v>
      </c>
      <c r="B2289" t="s">
        <v>913</v>
      </c>
      <c r="C2289" t="s">
        <v>8036</v>
      </c>
      <c r="D2289" t="s">
        <v>7512</v>
      </c>
      <c r="E2289" t="s">
        <v>8122</v>
      </c>
      <c r="F2289" t="s">
        <v>118</v>
      </c>
      <c r="G2289" t="str">
        <f>HYPERLINK("https://ok.ru/group/52172741083275/topic/153800758578059#MTYyNjE4ODE1MzY5MTotMTUxMzc6MTYyNjE4ODE1MzY5MToxNTM4MDA3NTg1NzgwNTk6MQ==")</f>
        <v>https://ok.ru/group/52172741083275/topic/153800758578059#MTYyNjE4ODE1MzY5MTotMTUxMzc6MTYyNjE4ODE1MzY5MToxNTM4MDA3NTg1NzgwNTk6MQ==</v>
      </c>
      <c r="H2289" t="s">
        <v>119</v>
      </c>
      <c r="I2289" t="s">
        <v>8123</v>
      </c>
      <c r="J2289" t="str">
        <f>HYPERLINK("https://ok.ru/profile/559055212285")</f>
        <v>https://ok.ru/profile/559055212285</v>
      </c>
      <c r="K2289">
        <v>365</v>
      </c>
      <c r="L2289" t="s">
        <v>151</v>
      </c>
      <c r="M2289">
        <v>47</v>
      </c>
      <c r="N2289" t="s">
        <v>347</v>
      </c>
      <c r="O2289" t="s">
        <v>4687</v>
      </c>
      <c r="P2289" t="str">
        <f>HYPERLINK("https://ok.ru/group/52172741083275")</f>
        <v>https://ok.ru/group/52172741083275</v>
      </c>
      <c r="Q2289">
        <v>27667</v>
      </c>
      <c r="R2289" t="s">
        <v>124</v>
      </c>
      <c r="S2289" t="s">
        <v>125</v>
      </c>
      <c r="T2289" t="s">
        <v>2566</v>
      </c>
      <c r="U2289" t="s">
        <v>4688</v>
      </c>
      <c r="W2289">
        <v>1</v>
      </c>
      <c r="X2289">
        <v>1</v>
      </c>
      <c r="AM2289" t="s">
        <v>129</v>
      </c>
      <c r="AN2289" t="s">
        <v>130</v>
      </c>
      <c r="AP2289" t="s">
        <v>41</v>
      </c>
      <c r="AW2289" t="s">
        <v>48</v>
      </c>
      <c r="AZ2289" t="s">
        <v>51</v>
      </c>
      <c r="BA2289" t="s">
        <v>52</v>
      </c>
    </row>
    <row r="2290" spans="1:69" x14ac:dyDescent="0.2">
      <c r="A2290" t="s">
        <v>7964</v>
      </c>
      <c r="B2290" t="s">
        <v>354</v>
      </c>
      <c r="C2290" t="s">
        <v>8112</v>
      </c>
      <c r="D2290" t="s">
        <v>2953</v>
      </c>
      <c r="E2290" t="s">
        <v>8124</v>
      </c>
      <c r="F2290" t="s">
        <v>118</v>
      </c>
      <c r="G2290" t="str">
        <f>HYPERLINK("https://vk.com/wall-61101621_254612?reply=254636")</f>
        <v>https://vk.com/wall-61101621_254612?reply=254636</v>
      </c>
      <c r="H2290" t="s">
        <v>119</v>
      </c>
      <c r="I2290" t="s">
        <v>733</v>
      </c>
      <c r="J2290" t="str">
        <f>HYPERLINK("http://vk.com/id618635793")</f>
        <v>http://vk.com/id618635793</v>
      </c>
      <c r="K2290">
        <v>18</v>
      </c>
      <c r="L2290" t="s">
        <v>121</v>
      </c>
      <c r="M2290">
        <v>53</v>
      </c>
      <c r="N2290" t="s">
        <v>122</v>
      </c>
      <c r="O2290" t="s">
        <v>160</v>
      </c>
      <c r="P2290" t="str">
        <f>HYPERLINK("http://vk.com/club61101621")</f>
        <v>http://vk.com/club61101621</v>
      </c>
      <c r="Q2290">
        <v>21119</v>
      </c>
      <c r="R2290" t="s">
        <v>124</v>
      </c>
      <c r="S2290" t="s">
        <v>125</v>
      </c>
      <c r="T2290" t="s">
        <v>212</v>
      </c>
      <c r="U2290" t="s">
        <v>734</v>
      </c>
      <c r="W2290">
        <v>0</v>
      </c>
      <c r="X2290">
        <v>0</v>
      </c>
      <c r="AM2290" t="s">
        <v>129</v>
      </c>
      <c r="AN2290" t="s">
        <v>130</v>
      </c>
      <c r="AP2290" t="s">
        <v>41</v>
      </c>
      <c r="AZ2290" t="s">
        <v>51</v>
      </c>
      <c r="BB2290" t="s">
        <v>53</v>
      </c>
      <c r="BM2290" t="s">
        <v>64</v>
      </c>
    </row>
    <row r="2291" spans="1:69" x14ac:dyDescent="0.2">
      <c r="A2291" t="s">
        <v>7964</v>
      </c>
      <c r="B2291" t="s">
        <v>1468</v>
      </c>
      <c r="C2291" t="s">
        <v>8125</v>
      </c>
      <c r="D2291" t="s">
        <v>7179</v>
      </c>
      <c r="E2291" t="s">
        <v>8126</v>
      </c>
      <c r="F2291" t="s">
        <v>118</v>
      </c>
      <c r="G2291" t="str">
        <f>HYPERLINK("https://otzovik.com/review_12164109.html#89909763")</f>
        <v>https://otzovik.com/review_12164109.html#89909763</v>
      </c>
      <c r="H2291" t="s">
        <v>119</v>
      </c>
      <c r="I2291" t="s">
        <v>8127</v>
      </c>
      <c r="J2291" t="str">
        <f>HYPERLINK("http://otzovik.com/profile/ewa2")</f>
        <v>http://otzovik.com/profile/ewa2</v>
      </c>
      <c r="N2291" t="s">
        <v>390</v>
      </c>
      <c r="O2291" t="s">
        <v>7181</v>
      </c>
      <c r="P2291" t="str">
        <f>HYPERLINK("https://otzovik.com/reviews/sputnikoviy_resiver_general_satellite_u510_trikolor_tv/")</f>
        <v>https://otzovik.com/reviews/sputnikoviy_resiver_general_satellite_u510_trikolor_tv/</v>
      </c>
      <c r="R2291" t="s">
        <v>184</v>
      </c>
      <c r="S2291" t="s">
        <v>125</v>
      </c>
      <c r="AM2291" t="s">
        <v>129</v>
      </c>
      <c r="AN2291" t="s">
        <v>130</v>
      </c>
      <c r="AP2291" t="s">
        <v>41</v>
      </c>
      <c r="AZ2291" t="s">
        <v>51</v>
      </c>
      <c r="BA2291" t="s">
        <v>52</v>
      </c>
      <c r="BL2291" t="s">
        <v>63</v>
      </c>
    </row>
    <row r="2292" spans="1:69" x14ac:dyDescent="0.2">
      <c r="A2292" t="s">
        <v>7964</v>
      </c>
      <c r="B2292" t="s">
        <v>2499</v>
      </c>
      <c r="C2292" t="s">
        <v>8128</v>
      </c>
      <c r="D2292" t="s">
        <v>2953</v>
      </c>
      <c r="E2292" t="s">
        <v>8129</v>
      </c>
      <c r="F2292" t="s">
        <v>118</v>
      </c>
      <c r="G2292" t="str">
        <f>HYPERLINK("https://vk.com/wall-61101621_254612?reply=254631")</f>
        <v>https://vk.com/wall-61101621_254612?reply=254631</v>
      </c>
      <c r="H2292" t="s">
        <v>119</v>
      </c>
      <c r="I2292" t="s">
        <v>733</v>
      </c>
      <c r="J2292" t="str">
        <f>HYPERLINK("http://vk.com/id618635793")</f>
        <v>http://vk.com/id618635793</v>
      </c>
      <c r="K2292">
        <v>18</v>
      </c>
      <c r="L2292" t="s">
        <v>121</v>
      </c>
      <c r="M2292">
        <v>53</v>
      </c>
      <c r="N2292" t="s">
        <v>122</v>
      </c>
      <c r="O2292" t="s">
        <v>160</v>
      </c>
      <c r="P2292" t="str">
        <f>HYPERLINK("http://vk.com/club61101621")</f>
        <v>http://vk.com/club61101621</v>
      </c>
      <c r="Q2292">
        <v>21119</v>
      </c>
      <c r="R2292" t="s">
        <v>124</v>
      </c>
      <c r="S2292" t="s">
        <v>125</v>
      </c>
      <c r="T2292" t="s">
        <v>212</v>
      </c>
      <c r="U2292" t="s">
        <v>734</v>
      </c>
      <c r="W2292">
        <v>0</v>
      </c>
      <c r="X2292">
        <v>0</v>
      </c>
      <c r="AM2292" t="s">
        <v>129</v>
      </c>
      <c r="AN2292" t="s">
        <v>130</v>
      </c>
      <c r="AP2292" t="s">
        <v>41</v>
      </c>
      <c r="AZ2292" t="s">
        <v>51</v>
      </c>
      <c r="BA2292" t="s">
        <v>52</v>
      </c>
      <c r="BL2292" t="s">
        <v>63</v>
      </c>
    </row>
    <row r="2293" spans="1:69" x14ac:dyDescent="0.2">
      <c r="A2293" t="s">
        <v>7964</v>
      </c>
      <c r="B2293" t="s">
        <v>1482</v>
      </c>
      <c r="C2293" t="s">
        <v>8130</v>
      </c>
      <c r="D2293" t="s">
        <v>7512</v>
      </c>
      <c r="E2293" t="s">
        <v>8084</v>
      </c>
      <c r="F2293" t="s">
        <v>180</v>
      </c>
      <c r="G2293" t="str">
        <f>HYPERLINK("https://ok.ru/group/52172741083275/topic/153800758578059")</f>
        <v>https://ok.ru/group/52172741083275/topic/153800758578059</v>
      </c>
      <c r="H2293" t="s">
        <v>228</v>
      </c>
      <c r="I2293" t="s">
        <v>4687</v>
      </c>
      <c r="J2293" t="str">
        <f>HYPERLINK("https://ok.ru/group/52172741083275")</f>
        <v>https://ok.ru/group/52172741083275</v>
      </c>
      <c r="K2293">
        <v>27667</v>
      </c>
      <c r="L2293" t="s">
        <v>340</v>
      </c>
      <c r="N2293" t="s">
        <v>347</v>
      </c>
      <c r="O2293" t="s">
        <v>4687</v>
      </c>
      <c r="P2293" t="str">
        <f>HYPERLINK("https://ok.ru/group/52172741083275")</f>
        <v>https://ok.ru/group/52172741083275</v>
      </c>
      <c r="Q2293">
        <v>27667</v>
      </c>
      <c r="R2293" t="s">
        <v>124</v>
      </c>
      <c r="S2293" t="s">
        <v>125</v>
      </c>
      <c r="T2293" t="s">
        <v>2566</v>
      </c>
      <c r="U2293" t="s">
        <v>4688</v>
      </c>
      <c r="W2293">
        <v>10</v>
      </c>
      <c r="X2293">
        <v>10</v>
      </c>
      <c r="Y2293">
        <v>0</v>
      </c>
      <c r="Z2293">
        <v>0</v>
      </c>
      <c r="AA2293">
        <v>0</v>
      </c>
      <c r="AB2293">
        <v>0</v>
      </c>
      <c r="AE2293">
        <v>14</v>
      </c>
      <c r="AF2293">
        <v>1</v>
      </c>
      <c r="AM2293" t="s">
        <v>129</v>
      </c>
      <c r="AN2293" t="s">
        <v>130</v>
      </c>
      <c r="AP2293" t="s">
        <v>41</v>
      </c>
      <c r="AW2293" t="s">
        <v>48</v>
      </c>
      <c r="AZ2293" t="s">
        <v>51</v>
      </c>
      <c r="BA2293" t="s">
        <v>52</v>
      </c>
      <c r="BM2293" t="s">
        <v>64</v>
      </c>
    </row>
    <row r="2294" spans="1:69" x14ac:dyDescent="0.2">
      <c r="A2294" t="s">
        <v>7964</v>
      </c>
      <c r="B2294" t="s">
        <v>8131</v>
      </c>
      <c r="C2294" t="s">
        <v>8128</v>
      </c>
      <c r="D2294" t="s">
        <v>2953</v>
      </c>
      <c r="E2294" t="s">
        <v>8132</v>
      </c>
      <c r="F2294" t="s">
        <v>118</v>
      </c>
      <c r="G2294" t="str">
        <f>HYPERLINK("https://vk.com/wall-61101621_254612?w=wall-61101621_254612_r254630")</f>
        <v>https://vk.com/wall-61101621_254612?w=wall-61101621_254612_r254630</v>
      </c>
      <c r="H2294" t="s">
        <v>119</v>
      </c>
      <c r="I2294" t="s">
        <v>8133</v>
      </c>
      <c r="J2294" t="str">
        <f>HYPERLINK("http://vk.com/id42616723")</f>
        <v>http://vk.com/id42616723</v>
      </c>
      <c r="K2294">
        <v>38</v>
      </c>
      <c r="L2294" t="s">
        <v>121</v>
      </c>
      <c r="M2294">
        <v>36</v>
      </c>
      <c r="N2294" t="s">
        <v>122</v>
      </c>
      <c r="O2294" t="s">
        <v>160</v>
      </c>
      <c r="P2294" t="str">
        <f>HYPERLINK("http://vk.com/club61101621")</f>
        <v>http://vk.com/club61101621</v>
      </c>
      <c r="Q2294">
        <v>21119</v>
      </c>
      <c r="R2294" t="s">
        <v>124</v>
      </c>
      <c r="S2294" t="s">
        <v>125</v>
      </c>
      <c r="T2294" t="s">
        <v>4130</v>
      </c>
      <c r="U2294" t="s">
        <v>8134</v>
      </c>
      <c r="W2294">
        <v>0</v>
      </c>
      <c r="X2294">
        <v>0</v>
      </c>
      <c r="AM2294" t="s">
        <v>129</v>
      </c>
      <c r="AN2294" t="s">
        <v>130</v>
      </c>
      <c r="AP2294" t="s">
        <v>41</v>
      </c>
      <c r="AU2294" t="s">
        <v>46</v>
      </c>
      <c r="AZ2294" t="s">
        <v>51</v>
      </c>
      <c r="BA2294" t="s">
        <v>52</v>
      </c>
    </row>
    <row r="2295" spans="1:69" x14ac:dyDescent="0.2">
      <c r="A2295" t="s">
        <v>7964</v>
      </c>
      <c r="B2295" t="s">
        <v>8131</v>
      </c>
      <c r="C2295" t="s">
        <v>8128</v>
      </c>
      <c r="D2295" t="s">
        <v>2953</v>
      </c>
      <c r="E2295" t="s">
        <v>8135</v>
      </c>
      <c r="F2295" t="s">
        <v>118</v>
      </c>
      <c r="G2295" t="str">
        <f>HYPERLINK("https://vk.com/wall-61101621_254612?reply=254629")</f>
        <v>https://vk.com/wall-61101621_254612?reply=254629</v>
      </c>
      <c r="H2295" t="s">
        <v>119</v>
      </c>
      <c r="I2295" t="s">
        <v>8133</v>
      </c>
      <c r="J2295" t="str">
        <f>HYPERLINK("http://vk.com/id42616723")</f>
        <v>http://vk.com/id42616723</v>
      </c>
      <c r="K2295">
        <v>38</v>
      </c>
      <c r="L2295" t="s">
        <v>121</v>
      </c>
      <c r="M2295">
        <v>36</v>
      </c>
      <c r="N2295" t="s">
        <v>122</v>
      </c>
      <c r="O2295" t="s">
        <v>160</v>
      </c>
      <c r="P2295" t="str">
        <f>HYPERLINK("http://vk.com/club61101621")</f>
        <v>http://vk.com/club61101621</v>
      </c>
      <c r="Q2295">
        <v>21119</v>
      </c>
      <c r="R2295" t="s">
        <v>124</v>
      </c>
      <c r="S2295" t="s">
        <v>125</v>
      </c>
      <c r="T2295" t="s">
        <v>4130</v>
      </c>
      <c r="U2295" t="s">
        <v>8134</v>
      </c>
      <c r="W2295">
        <v>0</v>
      </c>
      <c r="X2295">
        <v>0</v>
      </c>
      <c r="AM2295" t="s">
        <v>129</v>
      </c>
      <c r="AN2295" t="s">
        <v>130</v>
      </c>
      <c r="AP2295" t="s">
        <v>41</v>
      </c>
      <c r="AY2295" t="s">
        <v>50</v>
      </c>
      <c r="AZ2295" t="s">
        <v>51</v>
      </c>
      <c r="BA2295" t="s">
        <v>52</v>
      </c>
      <c r="BK2295" t="s">
        <v>62</v>
      </c>
      <c r="BL2295" t="s">
        <v>63</v>
      </c>
      <c r="BO2295" t="s">
        <v>66</v>
      </c>
    </row>
    <row r="2296" spans="1:69" x14ac:dyDescent="0.2">
      <c r="A2296" t="s">
        <v>7964</v>
      </c>
      <c r="B2296" t="s">
        <v>7440</v>
      </c>
      <c r="C2296" t="s">
        <v>8128</v>
      </c>
      <c r="D2296" t="s">
        <v>2953</v>
      </c>
      <c r="E2296" t="s">
        <v>8136</v>
      </c>
      <c r="F2296" t="s">
        <v>118</v>
      </c>
      <c r="G2296" t="str">
        <f>HYPERLINK("https://vk.com/wall-61101621_254612?reply=254626")</f>
        <v>https://vk.com/wall-61101621_254612?reply=254626</v>
      </c>
      <c r="H2296" t="s">
        <v>181</v>
      </c>
      <c r="I2296" t="s">
        <v>8133</v>
      </c>
      <c r="J2296" t="str">
        <f>HYPERLINK("http://vk.com/id42616723")</f>
        <v>http://vk.com/id42616723</v>
      </c>
      <c r="K2296">
        <v>38</v>
      </c>
      <c r="L2296" t="s">
        <v>121</v>
      </c>
      <c r="M2296">
        <v>36</v>
      </c>
      <c r="N2296" t="s">
        <v>122</v>
      </c>
      <c r="O2296" t="s">
        <v>160</v>
      </c>
      <c r="P2296" t="str">
        <f>HYPERLINK("http://vk.com/club61101621")</f>
        <v>http://vk.com/club61101621</v>
      </c>
      <c r="Q2296">
        <v>21119</v>
      </c>
      <c r="R2296" t="s">
        <v>124</v>
      </c>
      <c r="S2296" t="s">
        <v>125</v>
      </c>
      <c r="T2296" t="s">
        <v>4130</v>
      </c>
      <c r="U2296" t="s">
        <v>8134</v>
      </c>
      <c r="W2296">
        <v>0</v>
      </c>
      <c r="X2296">
        <v>0</v>
      </c>
      <c r="AM2296" t="s">
        <v>129</v>
      </c>
      <c r="AN2296" t="s">
        <v>130</v>
      </c>
      <c r="AP2296" t="s">
        <v>41</v>
      </c>
      <c r="AZ2296" t="s">
        <v>51</v>
      </c>
      <c r="BA2296" t="s">
        <v>52</v>
      </c>
      <c r="BL2296" t="s">
        <v>63</v>
      </c>
    </row>
    <row r="2297" spans="1:69" x14ac:dyDescent="0.2">
      <c r="A2297" t="s">
        <v>7964</v>
      </c>
      <c r="B2297" t="s">
        <v>6729</v>
      </c>
      <c r="C2297" t="s">
        <v>8095</v>
      </c>
      <c r="D2297" t="s">
        <v>332</v>
      </c>
      <c r="E2297" t="s">
        <v>8137</v>
      </c>
      <c r="F2297" t="s">
        <v>180</v>
      </c>
      <c r="G2297" t="str">
        <f>HYPERLINK("https://telesputnik.ru/forum/viewtopic.php?f=36&amp;t=42382&amp;start=37800#p2480446")</f>
        <v>https://telesputnik.ru/forum/viewtopic.php?f=36&amp;t=42382&amp;start=37800#p2480446</v>
      </c>
      <c r="H2297" t="s">
        <v>119</v>
      </c>
      <c r="I2297" t="s">
        <v>371</v>
      </c>
      <c r="J2297" t="str">
        <f>HYPERLINK("https://telesputnik.ru/forum/memberlist.php?mode=viewprofile&amp;u=53947")</f>
        <v>https://telesputnik.ru/forum/memberlist.php?mode=viewprofile&amp;u=53947</v>
      </c>
      <c r="N2297" t="s">
        <v>335</v>
      </c>
      <c r="O2297" t="s">
        <v>336</v>
      </c>
      <c r="P2297" t="str">
        <f>HYPERLINK("https://telesputnik.ru/forum/viewforum.php?f=11")</f>
        <v>https://telesputnik.ru/forum/viewforum.php?f=11</v>
      </c>
      <c r="R2297" t="s">
        <v>295</v>
      </c>
      <c r="S2297" t="s">
        <v>125</v>
      </c>
      <c r="T2297" t="s">
        <v>372</v>
      </c>
      <c r="U2297" t="s">
        <v>373</v>
      </c>
      <c r="AM2297" t="s">
        <v>129</v>
      </c>
      <c r="AN2297" t="s">
        <v>130</v>
      </c>
      <c r="AP2297" t="s">
        <v>41</v>
      </c>
      <c r="AU2297" t="s">
        <v>46</v>
      </c>
      <c r="AZ2297" t="s">
        <v>51</v>
      </c>
      <c r="BA2297" t="s">
        <v>52</v>
      </c>
    </row>
    <row r="2298" spans="1:69" x14ac:dyDescent="0.2">
      <c r="A2298" t="s">
        <v>7964</v>
      </c>
      <c r="B2298" t="s">
        <v>397</v>
      </c>
      <c r="C2298" t="s">
        <v>8138</v>
      </c>
      <c r="D2298" t="s">
        <v>7374</v>
      </c>
      <c r="E2298" t="s">
        <v>8139</v>
      </c>
      <c r="F2298" t="s">
        <v>118</v>
      </c>
      <c r="G2298" t="str">
        <f>HYPERLINK("https://vk.com/wall-27863223_291691?reply=291718")</f>
        <v>https://vk.com/wall-27863223_291691?reply=291718</v>
      </c>
      <c r="H2298" t="s">
        <v>119</v>
      </c>
      <c r="I2298" t="s">
        <v>7937</v>
      </c>
      <c r="J2298" t="str">
        <f>HYPERLINK("http://vk.com/id280630355")</f>
        <v>http://vk.com/id280630355</v>
      </c>
      <c r="K2298">
        <v>80</v>
      </c>
      <c r="L2298" t="s">
        <v>121</v>
      </c>
      <c r="M2298">
        <v>42</v>
      </c>
      <c r="N2298" t="s">
        <v>122</v>
      </c>
      <c r="O2298" t="s">
        <v>175</v>
      </c>
      <c r="P2298" t="str">
        <f>HYPERLINK("http://vk.com/club27863223")</f>
        <v>http://vk.com/club27863223</v>
      </c>
      <c r="Q2298">
        <v>134698</v>
      </c>
      <c r="R2298" t="s">
        <v>124</v>
      </c>
      <c r="S2298" t="s">
        <v>125</v>
      </c>
      <c r="T2298" t="s">
        <v>256</v>
      </c>
      <c r="U2298" t="s">
        <v>7938</v>
      </c>
      <c r="W2298">
        <v>0</v>
      </c>
      <c r="X2298">
        <v>0</v>
      </c>
      <c r="AM2298" t="s">
        <v>129</v>
      </c>
      <c r="AN2298" t="s">
        <v>130</v>
      </c>
      <c r="AP2298" t="s">
        <v>41</v>
      </c>
      <c r="AU2298" t="s">
        <v>46</v>
      </c>
      <c r="AZ2298" t="s">
        <v>51</v>
      </c>
      <c r="BA2298" t="s">
        <v>52</v>
      </c>
      <c r="BL2298" t="s">
        <v>63</v>
      </c>
    </row>
    <row r="2299" spans="1:69" x14ac:dyDescent="0.2">
      <c r="A2299" t="s">
        <v>7964</v>
      </c>
      <c r="B2299" t="s">
        <v>2517</v>
      </c>
      <c r="C2299" t="s">
        <v>8140</v>
      </c>
      <c r="D2299" t="s">
        <v>204</v>
      </c>
      <c r="E2299" t="s">
        <v>8141</v>
      </c>
      <c r="F2299" t="s">
        <v>180</v>
      </c>
      <c r="G2299" t="str">
        <f>HYPERLINK("https://play.google.com/store/apps/details?id=ru.iflex.android.a3colortv&amp;reviewId=gp:AOqpTOHkZzns8bFfgdRtrwOPueck1y0LNIwAPCjJGEfl6QAYMJc_gfAVKA7dZTZDDoKALgIkFJyx7-9gKNki_g")</f>
        <v>https://play.google.com/store/apps/details?id=ru.iflex.android.a3colortv&amp;reviewId=gp:AOqpTOHkZzns8bFfgdRtrwOPueck1y0LNIwAPCjJGEfl6QAYMJc_gfAVKA7dZTZDDoKALgIkFJyx7-9gKNki_g</v>
      </c>
      <c r="H2299" t="s">
        <v>228</v>
      </c>
      <c r="I2299" t="s">
        <v>8142</v>
      </c>
      <c r="J2299" t="str">
        <f>HYPERLINK("https://plus.google.com/108952579325464920305")</f>
        <v>https://plus.google.com/108952579325464920305</v>
      </c>
      <c r="L2299" t="s">
        <v>151</v>
      </c>
      <c r="N2299" t="s">
        <v>207</v>
      </c>
      <c r="O2299" t="s">
        <v>204</v>
      </c>
      <c r="P2299" t="str">
        <f>HYPERLINK("https://play.google.com/store/apps/details?id=ru.iflex.android.a3colortv&amp;hl=ru")</f>
        <v>https://play.google.com/store/apps/details?id=ru.iflex.android.a3colortv&amp;hl=ru</v>
      </c>
      <c r="R2299" t="s">
        <v>184</v>
      </c>
      <c r="S2299" t="s">
        <v>125</v>
      </c>
      <c r="W2299">
        <v>0</v>
      </c>
      <c r="X2299">
        <v>0</v>
      </c>
      <c r="AH2299">
        <v>1</v>
      </c>
      <c r="AM2299" t="s">
        <v>129</v>
      </c>
      <c r="AN2299" t="s">
        <v>130</v>
      </c>
      <c r="AP2299" t="s">
        <v>41</v>
      </c>
      <c r="AY2299" t="s">
        <v>50</v>
      </c>
      <c r="AZ2299" t="s">
        <v>51</v>
      </c>
      <c r="BA2299" t="s">
        <v>52</v>
      </c>
      <c r="BQ2299" t="s">
        <v>68</v>
      </c>
    </row>
    <row r="2300" spans="1:69" x14ac:dyDescent="0.2">
      <c r="A2300" t="s">
        <v>7964</v>
      </c>
      <c r="B2300" t="s">
        <v>8143</v>
      </c>
      <c r="C2300" t="s">
        <v>8095</v>
      </c>
      <c r="D2300" t="s">
        <v>332</v>
      </c>
      <c r="E2300" t="s">
        <v>8144</v>
      </c>
      <c r="F2300" t="s">
        <v>180</v>
      </c>
      <c r="G2300" t="str">
        <f>HYPERLINK("https://telesputnik.ru/forum/viewtopic.php?f=36&amp;t=42382&amp;start=37800#p2480444")</f>
        <v>https://telesputnik.ru/forum/viewtopic.php?f=36&amp;t=42382&amp;start=37800#p2480444</v>
      </c>
      <c r="H2300" t="s">
        <v>119</v>
      </c>
      <c r="I2300" t="s">
        <v>7004</v>
      </c>
      <c r="J2300" t="str">
        <f>HYPERLINK("https://telesputnik.ru/forum/memberlist.php?mode=viewprofile&amp;u=48123")</f>
        <v>https://telesputnik.ru/forum/memberlist.php?mode=viewprofile&amp;u=48123</v>
      </c>
      <c r="N2300" t="s">
        <v>335</v>
      </c>
      <c r="O2300" t="s">
        <v>336</v>
      </c>
      <c r="P2300" t="str">
        <f>HYPERLINK("https://telesputnik.ru/forum/viewforum.php?f=11")</f>
        <v>https://telesputnik.ru/forum/viewforum.php?f=11</v>
      </c>
      <c r="R2300" t="s">
        <v>295</v>
      </c>
      <c r="S2300" t="s">
        <v>125</v>
      </c>
      <c r="AM2300" t="s">
        <v>129</v>
      </c>
      <c r="AN2300" t="s">
        <v>130</v>
      </c>
      <c r="AP2300" t="s">
        <v>41</v>
      </c>
      <c r="AU2300" t="s">
        <v>46</v>
      </c>
      <c r="AW2300" t="s">
        <v>48</v>
      </c>
      <c r="AX2300" t="s">
        <v>49</v>
      </c>
      <c r="AZ2300" t="s">
        <v>51</v>
      </c>
      <c r="BA2300" t="s">
        <v>52</v>
      </c>
    </row>
    <row r="2301" spans="1:69" x14ac:dyDescent="0.2">
      <c r="A2301" t="s">
        <v>7964</v>
      </c>
      <c r="B2301" t="s">
        <v>4277</v>
      </c>
      <c r="C2301" t="s">
        <v>8145</v>
      </c>
      <c r="D2301" t="s">
        <v>2326</v>
      </c>
      <c r="E2301" t="s">
        <v>8146</v>
      </c>
      <c r="F2301" t="s">
        <v>118</v>
      </c>
      <c r="G2301" t="str">
        <f>HYPERLINK("https://vk.com/topic-27863223_35421989?post=115891")</f>
        <v>https://vk.com/topic-27863223_35421989?post=115891</v>
      </c>
      <c r="H2301" t="s">
        <v>119</v>
      </c>
      <c r="I2301" t="s">
        <v>8147</v>
      </c>
      <c r="J2301" t="str">
        <f>HYPERLINK("http://vk.com/id82512051")</f>
        <v>http://vk.com/id82512051</v>
      </c>
      <c r="K2301">
        <v>1670</v>
      </c>
      <c r="L2301" t="s">
        <v>121</v>
      </c>
      <c r="M2301">
        <v>30</v>
      </c>
      <c r="N2301" t="s">
        <v>122</v>
      </c>
      <c r="O2301" t="s">
        <v>175</v>
      </c>
      <c r="P2301" t="str">
        <f>HYPERLINK("http://vk.com/club27863223")</f>
        <v>http://vk.com/club27863223</v>
      </c>
      <c r="Q2301">
        <v>134698</v>
      </c>
      <c r="R2301" t="s">
        <v>124</v>
      </c>
      <c r="S2301" t="s">
        <v>125</v>
      </c>
      <c r="T2301" t="s">
        <v>627</v>
      </c>
      <c r="U2301" t="s">
        <v>8148</v>
      </c>
      <c r="AM2301" t="s">
        <v>129</v>
      </c>
      <c r="AN2301" t="s">
        <v>130</v>
      </c>
      <c r="AP2301" t="s">
        <v>41</v>
      </c>
      <c r="AU2301" t="s">
        <v>46</v>
      </c>
      <c r="AY2301" t="s">
        <v>50</v>
      </c>
      <c r="AZ2301" t="s">
        <v>51</v>
      </c>
      <c r="BA2301" t="s">
        <v>52</v>
      </c>
    </row>
    <row r="2302" spans="1:69" x14ac:dyDescent="0.2">
      <c r="A2302" t="s">
        <v>7964</v>
      </c>
      <c r="B2302" t="s">
        <v>3061</v>
      </c>
      <c r="C2302" t="s">
        <v>8145</v>
      </c>
      <c r="D2302" t="s">
        <v>8149</v>
      </c>
      <c r="E2302" t="s">
        <v>8150</v>
      </c>
      <c r="F2302" t="s">
        <v>118</v>
      </c>
      <c r="G2302" t="str">
        <f>HYPERLINK("https://vk.com/wall-148372101_919427?reply=919654&amp;thread=919442")</f>
        <v>https://vk.com/wall-148372101_919427?reply=919654&amp;thread=919442</v>
      </c>
      <c r="H2302" t="s">
        <v>119</v>
      </c>
      <c r="I2302" t="s">
        <v>8151</v>
      </c>
      <c r="J2302" t="str">
        <f>HYPERLINK("http://vk.com/id224860253")</f>
        <v>http://vk.com/id224860253</v>
      </c>
      <c r="K2302">
        <v>10</v>
      </c>
      <c r="L2302" t="s">
        <v>121</v>
      </c>
      <c r="N2302" t="s">
        <v>122</v>
      </c>
      <c r="O2302" t="s">
        <v>8152</v>
      </c>
      <c r="P2302" t="str">
        <f>HYPERLINK("http://vk.com/club148372101")</f>
        <v>http://vk.com/club148372101</v>
      </c>
      <c r="Q2302">
        <v>2690</v>
      </c>
      <c r="R2302" t="s">
        <v>124</v>
      </c>
      <c r="S2302" t="s">
        <v>125</v>
      </c>
      <c r="T2302" t="s">
        <v>523</v>
      </c>
      <c r="U2302" t="s">
        <v>3874</v>
      </c>
      <c r="AM2302" t="s">
        <v>129</v>
      </c>
      <c r="AN2302" t="s">
        <v>130</v>
      </c>
      <c r="AP2302" t="s">
        <v>41</v>
      </c>
      <c r="AU2302" t="s">
        <v>46</v>
      </c>
      <c r="AW2302" t="s">
        <v>48</v>
      </c>
      <c r="AZ2302" t="s">
        <v>51</v>
      </c>
      <c r="BA2302" t="s">
        <v>52</v>
      </c>
    </row>
    <row r="2303" spans="1:69" x14ac:dyDescent="0.2">
      <c r="A2303" t="s">
        <v>7964</v>
      </c>
      <c r="B2303" t="s">
        <v>7447</v>
      </c>
      <c r="C2303" t="s">
        <v>8153</v>
      </c>
      <c r="D2303" t="s">
        <v>8154</v>
      </c>
      <c r="E2303" t="s">
        <v>8155</v>
      </c>
      <c r="F2303" t="s">
        <v>118</v>
      </c>
      <c r="G2303" t="str">
        <f>HYPERLINK("https://vk.com/wall-53997646_165530?reply=165551&amp;thread=165536")</f>
        <v>https://vk.com/wall-53997646_165530?reply=165551&amp;thread=165536</v>
      </c>
      <c r="H2303" t="s">
        <v>119</v>
      </c>
      <c r="I2303" t="s">
        <v>8147</v>
      </c>
      <c r="J2303" t="str">
        <f>HYPERLINK("http://vk.com/id82512051")</f>
        <v>http://vk.com/id82512051</v>
      </c>
      <c r="K2303">
        <v>1670</v>
      </c>
      <c r="L2303" t="s">
        <v>121</v>
      </c>
      <c r="M2303">
        <v>30</v>
      </c>
      <c r="N2303" t="s">
        <v>122</v>
      </c>
      <c r="O2303" t="s">
        <v>8156</v>
      </c>
      <c r="P2303" t="str">
        <f>HYPERLINK("http://vk.com/club53997646")</f>
        <v>http://vk.com/club53997646</v>
      </c>
      <c r="Q2303">
        <v>539226</v>
      </c>
      <c r="R2303" t="s">
        <v>124</v>
      </c>
      <c r="S2303" t="s">
        <v>125</v>
      </c>
      <c r="T2303" t="s">
        <v>627</v>
      </c>
      <c r="U2303" t="s">
        <v>8148</v>
      </c>
      <c r="AM2303" t="s">
        <v>129</v>
      </c>
      <c r="AN2303" t="s">
        <v>130</v>
      </c>
      <c r="AP2303" t="s">
        <v>41</v>
      </c>
      <c r="AU2303" t="s">
        <v>46</v>
      </c>
      <c r="AZ2303" t="s">
        <v>51</v>
      </c>
      <c r="BA2303" t="s">
        <v>52</v>
      </c>
    </row>
    <row r="2304" spans="1:69" x14ac:dyDescent="0.2">
      <c r="A2304" t="s">
        <v>7964</v>
      </c>
      <c r="B2304" t="s">
        <v>5654</v>
      </c>
      <c r="C2304" t="s">
        <v>6454</v>
      </c>
      <c r="D2304" t="s">
        <v>5736</v>
      </c>
      <c r="E2304" t="s">
        <v>8157</v>
      </c>
      <c r="F2304" t="s">
        <v>180</v>
      </c>
      <c r="G2304" t="str">
        <f>HYPERLINK("https://www.ozon.ru/context/detail/id/180483128/#59185702")</f>
        <v>https://www.ozon.ru/context/detail/id/180483128/#59185702</v>
      </c>
      <c r="H2304" t="s">
        <v>181</v>
      </c>
      <c r="I2304" t="s">
        <v>8158</v>
      </c>
      <c r="J2304" t="str">
        <f>HYPERLINK("https://www.ozon.ru/context/client_opinion/ClientGuid/43e3a620-37e7-443f-8c1d-827e64437da5/")</f>
        <v>https://www.ozon.ru/context/client_opinion/ClientGuid/43e3a620-37e7-443f-8c1d-827e64437da5/</v>
      </c>
      <c r="L2304" t="s">
        <v>121</v>
      </c>
      <c r="N2304" t="s">
        <v>183</v>
      </c>
      <c r="O2304" t="s">
        <v>5738</v>
      </c>
      <c r="P2304" t="str">
        <f>HYPERLINK("https://www.ozon.ru/context/detail/id/180483128/")</f>
        <v>https://www.ozon.ru/context/detail/id/180483128/</v>
      </c>
      <c r="R2304" t="s">
        <v>184</v>
      </c>
      <c r="S2304" t="s">
        <v>125</v>
      </c>
      <c r="W2304">
        <v>0</v>
      </c>
      <c r="X2304">
        <v>0</v>
      </c>
      <c r="AH2304">
        <v>5</v>
      </c>
      <c r="AM2304" t="s">
        <v>129</v>
      </c>
      <c r="AN2304" t="s">
        <v>130</v>
      </c>
      <c r="AP2304" t="s">
        <v>41</v>
      </c>
      <c r="AZ2304" t="s">
        <v>51</v>
      </c>
      <c r="BA2304" t="s">
        <v>52</v>
      </c>
      <c r="BK2304" t="s">
        <v>62</v>
      </c>
      <c r="BL2304" t="s">
        <v>63</v>
      </c>
    </row>
    <row r="2305" spans="1:65" x14ac:dyDescent="0.2">
      <c r="A2305" t="s">
        <v>7964</v>
      </c>
      <c r="B2305" t="s">
        <v>3072</v>
      </c>
      <c r="C2305" t="s">
        <v>8159</v>
      </c>
      <c r="D2305" t="s">
        <v>129</v>
      </c>
      <c r="E2305" t="s">
        <v>8160</v>
      </c>
      <c r="F2305" t="s">
        <v>180</v>
      </c>
      <c r="G2305" t="str">
        <f>HYPERLINK("https://twitter.com/360582757/status/1414936617425547269")</f>
        <v>https://twitter.com/360582757/status/1414936617425547269</v>
      </c>
      <c r="H2305" t="s">
        <v>119</v>
      </c>
      <c r="I2305" t="s">
        <v>175</v>
      </c>
      <c r="J2305" t="str">
        <f>HYPERLINK("http://twitter.com/tricolortv")</f>
        <v>http://twitter.com/tricolortv</v>
      </c>
      <c r="K2305">
        <v>5663</v>
      </c>
      <c r="N2305" t="s">
        <v>350</v>
      </c>
      <c r="R2305" t="s">
        <v>124</v>
      </c>
      <c r="S2305" t="s">
        <v>125</v>
      </c>
      <c r="T2305" t="s">
        <v>137</v>
      </c>
      <c r="U2305" t="s">
        <v>137</v>
      </c>
      <c r="W2305">
        <v>0</v>
      </c>
      <c r="X2305">
        <v>0</v>
      </c>
      <c r="AE2305">
        <v>0</v>
      </c>
      <c r="AF2305">
        <v>0</v>
      </c>
      <c r="AJ2305" t="s">
        <v>1436</v>
      </c>
      <c r="AK2305" t="s">
        <v>129</v>
      </c>
      <c r="AL2305" t="str">
        <f>HYPERLINK("https://pbs.twimg.com/media/E6LdVedX0AI2fOz.jpg")</f>
        <v>https://pbs.twimg.com/media/E6LdVedX0AI2fOz.jpg</v>
      </c>
      <c r="AM2305" t="s">
        <v>129</v>
      </c>
      <c r="AN2305" t="s">
        <v>130</v>
      </c>
      <c r="BI2305" t="s">
        <v>60</v>
      </c>
    </row>
    <row r="2306" spans="1:65" x14ac:dyDescent="0.2">
      <c r="A2306" t="s">
        <v>7964</v>
      </c>
      <c r="B2306" t="s">
        <v>2009</v>
      </c>
      <c r="C2306" t="s">
        <v>8161</v>
      </c>
      <c r="D2306" t="s">
        <v>129</v>
      </c>
      <c r="E2306" t="s">
        <v>8162</v>
      </c>
      <c r="F2306" t="s">
        <v>180</v>
      </c>
      <c r="G2306" t="str">
        <f>HYPERLINK("https://www.facebook.com/tricolortv/posts/4081435455244027")</f>
        <v>https://www.facebook.com/tricolortv/posts/4081435455244027</v>
      </c>
      <c r="H2306" t="s">
        <v>119</v>
      </c>
      <c r="I2306" t="s">
        <v>175</v>
      </c>
      <c r="J2306" t="str">
        <f>HYPERLINK("https://www.facebook.com/206198386101106")</f>
        <v>https://www.facebook.com/206198386101106</v>
      </c>
      <c r="K2306">
        <v>16432</v>
      </c>
      <c r="L2306" t="s">
        <v>340</v>
      </c>
      <c r="N2306" t="s">
        <v>305</v>
      </c>
      <c r="O2306" t="s">
        <v>175</v>
      </c>
      <c r="P2306" t="str">
        <f>HYPERLINK("https://www.facebook.com/206198386101106")</f>
        <v>https://www.facebook.com/206198386101106</v>
      </c>
      <c r="Q2306">
        <v>16432</v>
      </c>
      <c r="R2306" t="s">
        <v>124</v>
      </c>
      <c r="W2306">
        <v>0</v>
      </c>
      <c r="X2306">
        <v>0</v>
      </c>
      <c r="Y2306">
        <v>0</v>
      </c>
      <c r="Z2306">
        <v>0</v>
      </c>
      <c r="AA2306">
        <v>0</v>
      </c>
      <c r="AB2306">
        <v>0</v>
      </c>
      <c r="AC2306">
        <v>0</v>
      </c>
      <c r="AE2306">
        <v>0</v>
      </c>
      <c r="AF2306">
        <v>0</v>
      </c>
      <c r="AJ2306" t="s">
        <v>1436</v>
      </c>
      <c r="AK2306" t="s">
        <v>129</v>
      </c>
      <c r="AL2306" t="s">
        <v>8163</v>
      </c>
      <c r="AM2306" t="s">
        <v>129</v>
      </c>
      <c r="AN2306" t="s">
        <v>130</v>
      </c>
      <c r="BI2306" t="s">
        <v>60</v>
      </c>
    </row>
    <row r="2307" spans="1:65" x14ac:dyDescent="0.2">
      <c r="A2307" t="s">
        <v>7964</v>
      </c>
      <c r="B2307" t="s">
        <v>7750</v>
      </c>
      <c r="C2307" t="s">
        <v>8164</v>
      </c>
      <c r="D2307" t="s">
        <v>8165</v>
      </c>
      <c r="E2307" t="s">
        <v>8166</v>
      </c>
      <c r="F2307" t="s">
        <v>180</v>
      </c>
      <c r="G2307" t="str">
        <f>HYPERLINK("https://ok.ru/group/51085510115462/topic/153442034165126")</f>
        <v>https://ok.ru/group/51085510115462/topic/153442034165126</v>
      </c>
      <c r="H2307" t="s">
        <v>119</v>
      </c>
      <c r="I2307" t="s">
        <v>175</v>
      </c>
      <c r="J2307" t="str">
        <f>HYPERLINK("https://ok.ru/group/51085510115462")</f>
        <v>https://ok.ru/group/51085510115462</v>
      </c>
      <c r="K2307">
        <v>94768</v>
      </c>
      <c r="L2307" t="s">
        <v>340</v>
      </c>
      <c r="N2307" t="s">
        <v>347</v>
      </c>
      <c r="O2307" t="s">
        <v>175</v>
      </c>
      <c r="P2307" t="str">
        <f>HYPERLINK("https://ok.ru/group/51085510115462")</f>
        <v>https://ok.ru/group/51085510115462</v>
      </c>
      <c r="Q2307">
        <v>94768</v>
      </c>
      <c r="R2307" t="s">
        <v>124</v>
      </c>
      <c r="W2307">
        <v>27</v>
      </c>
      <c r="X2307">
        <v>27</v>
      </c>
      <c r="Y2307">
        <v>0</v>
      </c>
      <c r="Z2307">
        <v>0</v>
      </c>
      <c r="AA2307">
        <v>0</v>
      </c>
      <c r="AB2307">
        <v>0</v>
      </c>
      <c r="AE2307">
        <v>2</v>
      </c>
      <c r="AF2307">
        <v>1</v>
      </c>
      <c r="AJ2307" t="s">
        <v>1436</v>
      </c>
      <c r="AK2307" t="s">
        <v>129</v>
      </c>
      <c r="AL2307" t="str">
        <f>HYPERLINK("https://i.mycdn.me/image?id=916878707846&amp;t=20&amp;plc=API&amp;aid=1131601408&amp;tkn=*pcIB2COhWEnhn8JjSQsOZuER9cI")</f>
        <v>https://i.mycdn.me/image?id=916878707846&amp;t=20&amp;plc=API&amp;aid=1131601408&amp;tkn=*pcIB2COhWEnhn8JjSQsOZuER9cI</v>
      </c>
      <c r="AM2307" t="s">
        <v>129</v>
      </c>
      <c r="AN2307" t="s">
        <v>130</v>
      </c>
      <c r="BI2307" t="s">
        <v>60</v>
      </c>
    </row>
    <row r="2308" spans="1:65" x14ac:dyDescent="0.2">
      <c r="A2308" t="s">
        <v>7964</v>
      </c>
      <c r="B2308" t="s">
        <v>1514</v>
      </c>
      <c r="C2308" t="s">
        <v>8167</v>
      </c>
      <c r="D2308" t="s">
        <v>8168</v>
      </c>
      <c r="E2308" t="s">
        <v>8169</v>
      </c>
      <c r="F2308" t="s">
        <v>118</v>
      </c>
      <c r="G2308" t="str">
        <f>HYPERLINK("https://vk.com/topic-45087434_33350962?post=131817")</f>
        <v>https://vk.com/topic-45087434_33350962?post=131817</v>
      </c>
      <c r="H2308" t="s">
        <v>181</v>
      </c>
      <c r="I2308" t="s">
        <v>8170</v>
      </c>
      <c r="J2308" t="str">
        <f>HYPERLINK("http://vk.com/id10957036")</f>
        <v>http://vk.com/id10957036</v>
      </c>
      <c r="K2308">
        <v>57</v>
      </c>
      <c r="L2308" t="s">
        <v>121</v>
      </c>
      <c r="N2308" t="s">
        <v>122</v>
      </c>
      <c r="O2308" t="s">
        <v>8171</v>
      </c>
      <c r="P2308" t="str">
        <f>HYPERLINK("http://vk.com/club45087434")</f>
        <v>http://vk.com/club45087434</v>
      </c>
      <c r="Q2308">
        <v>11708</v>
      </c>
      <c r="R2308" t="s">
        <v>124</v>
      </c>
      <c r="S2308" t="s">
        <v>125</v>
      </c>
      <c r="T2308" t="s">
        <v>137</v>
      </c>
      <c r="U2308" t="s">
        <v>137</v>
      </c>
      <c r="AM2308" t="s">
        <v>129</v>
      </c>
      <c r="AN2308" t="s">
        <v>130</v>
      </c>
      <c r="AP2308" t="s">
        <v>41</v>
      </c>
      <c r="AZ2308" t="s">
        <v>51</v>
      </c>
      <c r="BA2308" t="s">
        <v>52</v>
      </c>
    </row>
    <row r="2309" spans="1:65" x14ac:dyDescent="0.2">
      <c r="A2309" t="s">
        <v>7964</v>
      </c>
      <c r="B2309" t="s">
        <v>3092</v>
      </c>
      <c r="C2309" t="s">
        <v>8172</v>
      </c>
      <c r="D2309" t="s">
        <v>7969</v>
      </c>
      <c r="E2309" t="s">
        <v>8173</v>
      </c>
      <c r="F2309" t="s">
        <v>118</v>
      </c>
      <c r="G2309" t="str">
        <f>HYPERLINK("https://vk.com/wall-22935147_368314?reply=368344")</f>
        <v>https://vk.com/wall-22935147_368314?reply=368344</v>
      </c>
      <c r="H2309" t="s">
        <v>119</v>
      </c>
      <c r="I2309" t="s">
        <v>5110</v>
      </c>
      <c r="J2309" t="str">
        <f>HYPERLINK("http://vk.com/id521162897")</f>
        <v>http://vk.com/id521162897</v>
      </c>
      <c r="L2309" t="s">
        <v>121</v>
      </c>
      <c r="N2309" t="s">
        <v>122</v>
      </c>
      <c r="O2309" t="s">
        <v>1093</v>
      </c>
      <c r="P2309" t="str">
        <f>HYPERLINK("http://vk.com/club22935147")</f>
        <v>http://vk.com/club22935147</v>
      </c>
      <c r="Q2309">
        <v>8943</v>
      </c>
      <c r="R2309" t="s">
        <v>124</v>
      </c>
      <c r="S2309" t="s">
        <v>125</v>
      </c>
      <c r="T2309" t="s">
        <v>169</v>
      </c>
      <c r="U2309" t="s">
        <v>169</v>
      </c>
      <c r="W2309">
        <v>0</v>
      </c>
      <c r="X2309">
        <v>0</v>
      </c>
      <c r="AM2309" t="s">
        <v>129</v>
      </c>
      <c r="AN2309" t="s">
        <v>130</v>
      </c>
      <c r="AP2309" t="s">
        <v>41</v>
      </c>
      <c r="AY2309" t="s">
        <v>50</v>
      </c>
      <c r="AZ2309" t="s">
        <v>51</v>
      </c>
      <c r="BA2309" t="s">
        <v>52</v>
      </c>
      <c r="BL2309" t="s">
        <v>63</v>
      </c>
    </row>
    <row r="2310" spans="1:65" x14ac:dyDescent="0.2">
      <c r="A2310" t="s">
        <v>7964</v>
      </c>
      <c r="B2310" t="s">
        <v>8174</v>
      </c>
      <c r="C2310" t="s">
        <v>8175</v>
      </c>
      <c r="D2310" t="s">
        <v>8176</v>
      </c>
      <c r="E2310" t="s">
        <v>8177</v>
      </c>
      <c r="F2310" t="s">
        <v>118</v>
      </c>
      <c r="G2310" t="str">
        <f>HYPERLINK("https://www.youtube.com/watch?v=igCObKAcMBQ&amp;lc=UgzgbzEItMjZXT9q-fh4AaABAg")</f>
        <v>https://www.youtube.com/watch?v=igCObKAcMBQ&amp;lc=UgzgbzEItMjZXT9q-fh4AaABAg</v>
      </c>
      <c r="H2310" t="s">
        <v>119</v>
      </c>
      <c r="I2310" t="s">
        <v>8178</v>
      </c>
      <c r="J2310" t="str">
        <f>HYPERLINK("https://www.youtube.com/channel/UC5mZ7QY9vRmroUG__Hlv2Zg")</f>
        <v>https://www.youtube.com/channel/UC5mZ7QY9vRmroUG__Hlv2Zg</v>
      </c>
      <c r="K2310">
        <v>7</v>
      </c>
      <c r="L2310" t="s">
        <v>121</v>
      </c>
      <c r="N2310" t="s">
        <v>248</v>
      </c>
      <c r="O2310" t="s">
        <v>1910</v>
      </c>
      <c r="P2310" t="str">
        <f>HYPERLINK("https://www.youtube.com/channel/UCQgd9Ks9oBckRf9hadmZFdA")</f>
        <v>https://www.youtube.com/channel/UCQgd9Ks9oBckRf9hadmZFdA</v>
      </c>
      <c r="Q2310">
        <v>66700</v>
      </c>
      <c r="R2310" t="s">
        <v>124</v>
      </c>
      <c r="S2310" t="s">
        <v>125</v>
      </c>
      <c r="W2310">
        <v>0</v>
      </c>
      <c r="X2310">
        <v>0</v>
      </c>
      <c r="AE2310">
        <v>0</v>
      </c>
      <c r="AM2310" t="s">
        <v>129</v>
      </c>
      <c r="AN2310" t="s">
        <v>130</v>
      </c>
      <c r="AP2310" t="s">
        <v>41</v>
      </c>
      <c r="AU2310" t="s">
        <v>46</v>
      </c>
      <c r="AY2310" t="s">
        <v>50</v>
      </c>
      <c r="AZ2310" t="s">
        <v>51</v>
      </c>
      <c r="BA2310" t="s">
        <v>52</v>
      </c>
      <c r="BM2310" t="s">
        <v>64</v>
      </c>
    </row>
    <row r="2311" spans="1:65" x14ac:dyDescent="0.2">
      <c r="A2311" t="s">
        <v>7964</v>
      </c>
      <c r="B2311" t="s">
        <v>449</v>
      </c>
      <c r="C2311" t="s">
        <v>8179</v>
      </c>
      <c r="D2311" t="s">
        <v>8180</v>
      </c>
      <c r="E2311" t="s">
        <v>8181</v>
      </c>
      <c r="F2311" t="s">
        <v>118</v>
      </c>
      <c r="G2311" t="str">
        <f>HYPERLINK("https://vk.com/wall-147508780_28096?reply=28097")</f>
        <v>https://vk.com/wall-147508780_28096?reply=28097</v>
      </c>
      <c r="H2311" t="s">
        <v>119</v>
      </c>
      <c r="I2311" t="s">
        <v>8182</v>
      </c>
      <c r="J2311" t="str">
        <f>HYPERLINK("http://vk.com/id434894603")</f>
        <v>http://vk.com/id434894603</v>
      </c>
      <c r="K2311">
        <v>66</v>
      </c>
      <c r="L2311" t="s">
        <v>121</v>
      </c>
      <c r="N2311" t="s">
        <v>122</v>
      </c>
      <c r="O2311" t="s">
        <v>8183</v>
      </c>
      <c r="P2311" t="str">
        <f>HYPERLINK("http://vk.com/club147508780")</f>
        <v>http://vk.com/club147508780</v>
      </c>
      <c r="Q2311">
        <v>2430</v>
      </c>
      <c r="R2311" t="s">
        <v>124</v>
      </c>
      <c r="S2311" t="s">
        <v>125</v>
      </c>
      <c r="T2311" t="s">
        <v>428</v>
      </c>
      <c r="U2311" t="s">
        <v>8184</v>
      </c>
      <c r="AM2311" t="s">
        <v>129</v>
      </c>
      <c r="AN2311" t="s">
        <v>130</v>
      </c>
      <c r="AP2311" t="s">
        <v>41</v>
      </c>
      <c r="AU2311" t="s">
        <v>46</v>
      </c>
      <c r="AZ2311" t="s">
        <v>51</v>
      </c>
      <c r="BA2311" t="s">
        <v>52</v>
      </c>
    </row>
    <row r="2312" spans="1:65" x14ac:dyDescent="0.2">
      <c r="A2312" t="s">
        <v>7964</v>
      </c>
      <c r="B2312" t="s">
        <v>1566</v>
      </c>
      <c r="C2312" t="s">
        <v>8185</v>
      </c>
      <c r="D2312" t="s">
        <v>7374</v>
      </c>
      <c r="E2312" t="s">
        <v>8186</v>
      </c>
      <c r="F2312" t="s">
        <v>118</v>
      </c>
      <c r="G2312" t="str">
        <f>HYPERLINK("https://vk.com/wall-27863223_291691?reply=291713")</f>
        <v>https://vk.com/wall-27863223_291691?reply=291713</v>
      </c>
      <c r="H2312" t="s">
        <v>119</v>
      </c>
      <c r="I2312" t="s">
        <v>8187</v>
      </c>
      <c r="J2312" t="str">
        <f>HYPERLINK("http://vk.com/id179362216")</f>
        <v>http://vk.com/id179362216</v>
      </c>
      <c r="K2312">
        <v>171</v>
      </c>
      <c r="L2312" t="s">
        <v>121</v>
      </c>
      <c r="M2312">
        <v>33</v>
      </c>
      <c r="N2312" t="s">
        <v>122</v>
      </c>
      <c r="O2312" t="s">
        <v>175</v>
      </c>
      <c r="P2312" t="str">
        <f>HYPERLINK("http://vk.com/club27863223")</f>
        <v>http://vk.com/club27863223</v>
      </c>
      <c r="Q2312">
        <v>134698</v>
      </c>
      <c r="R2312" t="s">
        <v>124</v>
      </c>
      <c r="S2312" t="s">
        <v>125</v>
      </c>
      <c r="T2312" t="s">
        <v>612</v>
      </c>
      <c r="U2312" t="s">
        <v>5651</v>
      </c>
      <c r="W2312">
        <v>0</v>
      </c>
      <c r="X2312">
        <v>0</v>
      </c>
      <c r="AJ2312" t="s">
        <v>8188</v>
      </c>
      <c r="AK2312" t="s">
        <v>129</v>
      </c>
      <c r="AL2312" t="str">
        <f>HYPERLINK("https://sun9-88.userapi.com/impg/f_0ghYAjgW3xbTJErXxZtrqoECeQxkvUsXFzLA/1CfYumheYec.jpg?size=1023x2160&amp;quality=96&amp;sign=a01cbc4c2005d570ce6b069fcc595931&amp;c_uniq_tag=udLtl6A2nKc415I6klPtq8wgLlPcoXI5O7ViRRyBL1c&amp;type=album")</f>
        <v>https://sun9-88.userapi.com/impg/f_0ghYAjgW3xbTJErXxZtrqoECeQxkvUsXFzLA/1CfYumheYec.jpg?size=1023x2160&amp;quality=96&amp;sign=a01cbc4c2005d570ce6b069fcc595931&amp;c_uniq_tag=udLtl6A2nKc415I6klPtq8wgLlPcoXI5O7ViRRyBL1c&amp;type=album</v>
      </c>
      <c r="AM2312" t="s">
        <v>129</v>
      </c>
      <c r="AN2312" t="s">
        <v>130</v>
      </c>
      <c r="AP2312" t="s">
        <v>41</v>
      </c>
      <c r="AY2312" t="s">
        <v>50</v>
      </c>
      <c r="AZ2312" t="s">
        <v>51</v>
      </c>
      <c r="BA2312" t="s">
        <v>52</v>
      </c>
    </row>
    <row r="2313" spans="1:65" x14ac:dyDescent="0.2">
      <c r="A2313" t="s">
        <v>7964</v>
      </c>
      <c r="B2313" t="s">
        <v>1566</v>
      </c>
      <c r="C2313" t="s">
        <v>8189</v>
      </c>
      <c r="D2313" t="s">
        <v>129</v>
      </c>
      <c r="E2313" t="s">
        <v>8180</v>
      </c>
      <c r="F2313" t="s">
        <v>180</v>
      </c>
      <c r="G2313" t="str">
        <f>HYPERLINK("https://vk.com/wall-147508780_28096")</f>
        <v>https://vk.com/wall-147508780_28096</v>
      </c>
      <c r="H2313" t="s">
        <v>119</v>
      </c>
      <c r="I2313" t="s">
        <v>8183</v>
      </c>
      <c r="J2313" t="str">
        <f>HYPERLINK("http://vk.com/club147508780")</f>
        <v>http://vk.com/club147508780</v>
      </c>
      <c r="K2313">
        <v>2430</v>
      </c>
      <c r="L2313" t="s">
        <v>340</v>
      </c>
      <c r="N2313" t="s">
        <v>122</v>
      </c>
      <c r="O2313" t="s">
        <v>8183</v>
      </c>
      <c r="P2313" t="str">
        <f>HYPERLINK("http://vk.com/club147508780")</f>
        <v>http://vk.com/club147508780</v>
      </c>
      <c r="Q2313">
        <v>2430</v>
      </c>
      <c r="R2313" t="s">
        <v>124</v>
      </c>
      <c r="S2313" t="s">
        <v>125</v>
      </c>
      <c r="T2313" t="s">
        <v>1819</v>
      </c>
      <c r="U2313" t="s">
        <v>8190</v>
      </c>
      <c r="W2313">
        <v>2</v>
      </c>
      <c r="X2313">
        <v>2</v>
      </c>
      <c r="AE2313">
        <v>1</v>
      </c>
      <c r="AF2313">
        <v>0</v>
      </c>
      <c r="AG2313">
        <v>1336</v>
      </c>
      <c r="AM2313" t="s">
        <v>129</v>
      </c>
      <c r="AN2313" t="s">
        <v>130</v>
      </c>
      <c r="AP2313" t="s">
        <v>41</v>
      </c>
      <c r="AW2313" t="s">
        <v>48</v>
      </c>
      <c r="AZ2313" t="s">
        <v>51</v>
      </c>
      <c r="BA2313" t="s">
        <v>52</v>
      </c>
    </row>
    <row r="2314" spans="1:65" x14ac:dyDescent="0.2">
      <c r="A2314" t="s">
        <v>7964</v>
      </c>
      <c r="B2314" t="s">
        <v>5214</v>
      </c>
      <c r="C2314" t="s">
        <v>8191</v>
      </c>
      <c r="D2314" t="s">
        <v>6359</v>
      </c>
      <c r="E2314" t="s">
        <v>8192</v>
      </c>
      <c r="F2314" t="s">
        <v>180</v>
      </c>
      <c r="G2314" t="str">
        <f>HYPERLINK("https://www.ozon.ru/context/detail/id/203401815/#59161816")</f>
        <v>https://www.ozon.ru/context/detail/id/203401815/#59161816</v>
      </c>
      <c r="H2314" t="s">
        <v>181</v>
      </c>
      <c r="I2314" t="s">
        <v>8193</v>
      </c>
      <c r="J2314" t="str">
        <f>HYPERLINK("https://www.ozon.ru/context/client_opinion/ClientGuid/9addc6b9-6472-4231-81e7-c55c48e2e1f2/")</f>
        <v>https://www.ozon.ru/context/client_opinion/ClientGuid/9addc6b9-6472-4231-81e7-c55c48e2e1f2/</v>
      </c>
      <c r="L2314" t="s">
        <v>121</v>
      </c>
      <c r="N2314" t="s">
        <v>183</v>
      </c>
      <c r="O2314" t="s">
        <v>6359</v>
      </c>
      <c r="P2314" t="str">
        <f>HYPERLINK("https://www.ozon.ru/context/detail/id/203401815/")</f>
        <v>https://www.ozon.ru/context/detail/id/203401815/</v>
      </c>
      <c r="R2314" t="s">
        <v>184</v>
      </c>
      <c r="S2314" t="s">
        <v>125</v>
      </c>
      <c r="W2314">
        <v>0</v>
      </c>
      <c r="X2314">
        <v>0</v>
      </c>
      <c r="AH2314">
        <v>5</v>
      </c>
      <c r="AJ2314" t="s">
        <v>129</v>
      </c>
      <c r="AK2314" t="s">
        <v>129</v>
      </c>
      <c r="AL2314" t="str">
        <f>HYPERLINK("https://cdn1.ozone.ru/s3/rp-photo-5/1baf5057-2114-4bc3-87cc-ac3eb6d53a6d.jpeg")</f>
        <v>https://cdn1.ozone.ru/s3/rp-photo-5/1baf5057-2114-4bc3-87cc-ac3eb6d53a6d.jpeg</v>
      </c>
      <c r="AM2314" t="s">
        <v>129</v>
      </c>
      <c r="AN2314" t="s">
        <v>130</v>
      </c>
      <c r="AP2314" t="s">
        <v>41</v>
      </c>
      <c r="AT2314" t="s">
        <v>45</v>
      </c>
      <c r="AY2314" t="s">
        <v>50</v>
      </c>
      <c r="AZ2314" t="s">
        <v>51</v>
      </c>
      <c r="BA2314" t="s">
        <v>52</v>
      </c>
    </row>
    <row r="2315" spans="1:65" x14ac:dyDescent="0.2">
      <c r="A2315" t="s">
        <v>7964</v>
      </c>
      <c r="B2315" t="s">
        <v>3471</v>
      </c>
      <c r="C2315" t="s">
        <v>8194</v>
      </c>
      <c r="D2315" t="s">
        <v>2953</v>
      </c>
      <c r="E2315" t="s">
        <v>8195</v>
      </c>
      <c r="F2315" t="s">
        <v>118</v>
      </c>
      <c r="G2315" t="str">
        <f>HYPERLINK("https://vk.com/wall-61101621_254612?reply=254616")</f>
        <v>https://vk.com/wall-61101621_254612?reply=254616</v>
      </c>
      <c r="H2315" t="s">
        <v>119</v>
      </c>
      <c r="I2315" t="s">
        <v>3125</v>
      </c>
      <c r="J2315" t="str">
        <f>HYPERLINK("http://vk.com/id163176940")</f>
        <v>http://vk.com/id163176940</v>
      </c>
      <c r="K2315">
        <v>20</v>
      </c>
      <c r="L2315" t="s">
        <v>121</v>
      </c>
      <c r="N2315" t="s">
        <v>122</v>
      </c>
      <c r="O2315" t="s">
        <v>160</v>
      </c>
      <c r="P2315" t="str">
        <f>HYPERLINK("http://vk.com/club61101621")</f>
        <v>http://vk.com/club61101621</v>
      </c>
      <c r="Q2315">
        <v>21119</v>
      </c>
      <c r="R2315" t="s">
        <v>124</v>
      </c>
      <c r="S2315" t="s">
        <v>125</v>
      </c>
      <c r="T2315" t="s">
        <v>1103</v>
      </c>
      <c r="U2315" t="s">
        <v>1104</v>
      </c>
      <c r="W2315">
        <v>0</v>
      </c>
      <c r="X2315">
        <v>0</v>
      </c>
      <c r="AM2315" t="s">
        <v>129</v>
      </c>
      <c r="AN2315" t="s">
        <v>130</v>
      </c>
      <c r="AP2315" t="s">
        <v>41</v>
      </c>
      <c r="AZ2315" t="s">
        <v>51</v>
      </c>
      <c r="BA2315" t="s">
        <v>52</v>
      </c>
      <c r="BL2315" t="s">
        <v>63</v>
      </c>
    </row>
    <row r="2316" spans="1:65" x14ac:dyDescent="0.2">
      <c r="A2316" t="s">
        <v>7964</v>
      </c>
      <c r="B2316" t="s">
        <v>1586</v>
      </c>
      <c r="C2316" t="s">
        <v>8196</v>
      </c>
      <c r="D2316" t="s">
        <v>651</v>
      </c>
      <c r="E2316" t="s">
        <v>8197</v>
      </c>
      <c r="F2316" t="s">
        <v>180</v>
      </c>
      <c r="G2316" t="str">
        <f>HYPERLINK("https://www.ozon.ru/context/detail/id/227979649/#59160457")</f>
        <v>https://www.ozon.ru/context/detail/id/227979649/#59160457</v>
      </c>
      <c r="H2316" t="s">
        <v>181</v>
      </c>
      <c r="I2316" t="s">
        <v>1778</v>
      </c>
      <c r="J2316" t="str">
        <f>HYPERLINK("https://www.ozon.ru/context/client_opinion/ClientGuid/e7e26876-1a2f-40de-b4af-e8c7afe75b3f/")</f>
        <v>https://www.ozon.ru/context/client_opinion/ClientGuid/e7e26876-1a2f-40de-b4af-e8c7afe75b3f/</v>
      </c>
      <c r="L2316" t="s">
        <v>151</v>
      </c>
      <c r="N2316" t="s">
        <v>183</v>
      </c>
      <c r="O2316" t="s">
        <v>654</v>
      </c>
      <c r="P2316" t="str">
        <f>HYPERLINK("https://www.ozon.ru/context/detail/id/227979649/")</f>
        <v>https://www.ozon.ru/context/detail/id/227979649/</v>
      </c>
      <c r="R2316" t="s">
        <v>184</v>
      </c>
      <c r="S2316" t="s">
        <v>125</v>
      </c>
      <c r="W2316">
        <v>0</v>
      </c>
      <c r="X2316">
        <v>0</v>
      </c>
      <c r="AH2316">
        <v>5</v>
      </c>
      <c r="AM2316" t="s">
        <v>129</v>
      </c>
      <c r="AN2316" t="s">
        <v>130</v>
      </c>
      <c r="AP2316" t="s">
        <v>41</v>
      </c>
      <c r="AT2316" t="s">
        <v>45</v>
      </c>
      <c r="AZ2316" t="s">
        <v>51</v>
      </c>
      <c r="BA2316" t="s">
        <v>52</v>
      </c>
      <c r="BL2316" t="s">
        <v>63</v>
      </c>
    </row>
    <row r="2317" spans="1:65" x14ac:dyDescent="0.2">
      <c r="A2317" t="s">
        <v>7964</v>
      </c>
      <c r="B2317" t="s">
        <v>1002</v>
      </c>
      <c r="C2317" t="s">
        <v>8194</v>
      </c>
      <c r="D2317" t="s">
        <v>2953</v>
      </c>
      <c r="E2317" t="s">
        <v>8198</v>
      </c>
      <c r="F2317" t="s">
        <v>118</v>
      </c>
      <c r="G2317" t="str">
        <f>HYPERLINK("https://vk.com/wall-61101621_254612?w=wall-61101621_254612_r254615")</f>
        <v>https://vk.com/wall-61101621_254612?w=wall-61101621_254612_r254615</v>
      </c>
      <c r="H2317" t="s">
        <v>119</v>
      </c>
      <c r="I2317" t="s">
        <v>8199</v>
      </c>
      <c r="J2317" t="str">
        <f>HYPERLINK("http://vk.com/id21381161")</f>
        <v>http://vk.com/id21381161</v>
      </c>
      <c r="K2317">
        <v>56</v>
      </c>
      <c r="L2317" t="s">
        <v>121</v>
      </c>
      <c r="N2317" t="s">
        <v>122</v>
      </c>
      <c r="O2317" t="s">
        <v>160</v>
      </c>
      <c r="P2317" t="str">
        <f>HYPERLINK("http://vk.com/club61101621")</f>
        <v>http://vk.com/club61101621</v>
      </c>
      <c r="Q2317">
        <v>21119</v>
      </c>
      <c r="R2317" t="s">
        <v>124</v>
      </c>
      <c r="S2317" t="s">
        <v>125</v>
      </c>
      <c r="T2317" t="s">
        <v>6649</v>
      </c>
      <c r="U2317" t="s">
        <v>6650</v>
      </c>
      <c r="W2317">
        <v>0</v>
      </c>
      <c r="X2317">
        <v>0</v>
      </c>
      <c r="AM2317" t="s">
        <v>129</v>
      </c>
      <c r="AN2317" t="s">
        <v>130</v>
      </c>
      <c r="AP2317" t="s">
        <v>41</v>
      </c>
      <c r="AZ2317" t="s">
        <v>51</v>
      </c>
      <c r="BA2317" t="s">
        <v>52</v>
      </c>
      <c r="BL2317" t="s">
        <v>63</v>
      </c>
    </row>
    <row r="2318" spans="1:65" x14ac:dyDescent="0.2">
      <c r="A2318" t="s">
        <v>7964</v>
      </c>
      <c r="B2318" t="s">
        <v>5224</v>
      </c>
      <c r="C2318" t="s">
        <v>8200</v>
      </c>
      <c r="D2318" t="s">
        <v>8201</v>
      </c>
      <c r="E2318" t="s">
        <v>8202</v>
      </c>
      <c r="F2318" t="s">
        <v>118</v>
      </c>
      <c r="G2318" t="str">
        <f>HYPERLINK("https://vk.com/wall-26825629_1687434?reply=1687646&amp;thread=1687437")</f>
        <v>https://vk.com/wall-26825629_1687434?reply=1687646&amp;thread=1687437</v>
      </c>
      <c r="H2318" t="s">
        <v>181</v>
      </c>
      <c r="I2318" t="s">
        <v>8203</v>
      </c>
      <c r="J2318" t="str">
        <f>HYPERLINK("http://vk.com/id445504593")</f>
        <v>http://vk.com/id445504593</v>
      </c>
      <c r="K2318">
        <v>435</v>
      </c>
      <c r="L2318" t="s">
        <v>121</v>
      </c>
      <c r="N2318" t="s">
        <v>122</v>
      </c>
      <c r="O2318" t="s">
        <v>8204</v>
      </c>
      <c r="P2318" t="str">
        <f>HYPERLINK("http://vk.com/club26825629")</f>
        <v>http://vk.com/club26825629</v>
      </c>
      <c r="Q2318">
        <v>190025</v>
      </c>
      <c r="R2318" t="s">
        <v>124</v>
      </c>
      <c r="S2318" t="s">
        <v>125</v>
      </c>
      <c r="T2318" t="s">
        <v>264</v>
      </c>
      <c r="U2318" t="s">
        <v>8205</v>
      </c>
      <c r="AM2318" t="s">
        <v>129</v>
      </c>
      <c r="AN2318" t="s">
        <v>130</v>
      </c>
      <c r="AP2318" t="s">
        <v>41</v>
      </c>
      <c r="AZ2318" t="s">
        <v>51</v>
      </c>
      <c r="BA2318" t="s">
        <v>52</v>
      </c>
    </row>
    <row r="2319" spans="1:65" x14ac:dyDescent="0.2">
      <c r="A2319" t="s">
        <v>7964</v>
      </c>
      <c r="B2319" t="s">
        <v>1006</v>
      </c>
      <c r="C2319" t="s">
        <v>8206</v>
      </c>
      <c r="D2319" t="s">
        <v>8207</v>
      </c>
      <c r="E2319" t="s">
        <v>8208</v>
      </c>
      <c r="F2319" t="s">
        <v>118</v>
      </c>
      <c r="G2319" t="str">
        <f>HYPERLINK("https://www.youtube.com/watch?v=huCwx0SLKuI&amp;lc=UgzemkO0jKGe5LByiTx4AaABAg")</f>
        <v>https://www.youtube.com/watch?v=huCwx0SLKuI&amp;lc=UgzemkO0jKGe5LByiTx4AaABAg</v>
      </c>
      <c r="H2319" t="s">
        <v>228</v>
      </c>
      <c r="I2319" t="s">
        <v>8209</v>
      </c>
      <c r="J2319" t="str">
        <f>HYPERLINK("https://www.youtube.com/channel/UCXtvx-qhizvmIOMLuwYbfkA")</f>
        <v>https://www.youtube.com/channel/UCXtvx-qhizvmIOMLuwYbfkA</v>
      </c>
      <c r="K2319">
        <v>4</v>
      </c>
      <c r="N2319" t="s">
        <v>248</v>
      </c>
      <c r="O2319" t="s">
        <v>8210</v>
      </c>
      <c r="P2319" t="str">
        <f>HYPERLINK("https://www.youtube.com/channel/UChByHbR51Fl50uIsIgLLmIA")</f>
        <v>https://www.youtube.com/channel/UChByHbR51Fl50uIsIgLLmIA</v>
      </c>
      <c r="Q2319">
        <v>309000</v>
      </c>
      <c r="R2319" t="s">
        <v>124</v>
      </c>
      <c r="S2319" t="s">
        <v>125</v>
      </c>
      <c r="W2319">
        <v>3</v>
      </c>
      <c r="X2319">
        <v>3</v>
      </c>
      <c r="AE2319">
        <v>0</v>
      </c>
      <c r="AM2319" t="s">
        <v>129</v>
      </c>
      <c r="AN2319" t="s">
        <v>130</v>
      </c>
      <c r="AP2319" t="s">
        <v>41</v>
      </c>
      <c r="AY2319" t="s">
        <v>50</v>
      </c>
      <c r="AZ2319" t="s">
        <v>51</v>
      </c>
      <c r="BA2319" t="s">
        <v>52</v>
      </c>
    </row>
    <row r="2320" spans="1:65" x14ac:dyDescent="0.2">
      <c r="A2320" t="s">
        <v>7964</v>
      </c>
      <c r="B2320" t="s">
        <v>1006</v>
      </c>
      <c r="C2320" t="s">
        <v>8200</v>
      </c>
      <c r="D2320" t="s">
        <v>129</v>
      </c>
      <c r="E2320" t="s">
        <v>8211</v>
      </c>
      <c r="F2320" t="s">
        <v>180</v>
      </c>
      <c r="G2320" t="str">
        <f>HYPERLINK("https://vk.com/wall-77003093_174168")</f>
        <v>https://vk.com/wall-77003093_174168</v>
      </c>
      <c r="H2320" t="s">
        <v>119</v>
      </c>
      <c r="I2320" t="s">
        <v>8062</v>
      </c>
      <c r="J2320" t="str">
        <f>HYPERLINK("http://vk.com/club77003093")</f>
        <v>http://vk.com/club77003093</v>
      </c>
      <c r="K2320">
        <v>6840</v>
      </c>
      <c r="L2320" t="s">
        <v>340</v>
      </c>
      <c r="N2320" t="s">
        <v>122</v>
      </c>
      <c r="O2320" t="s">
        <v>8062</v>
      </c>
      <c r="P2320" t="str">
        <f>HYPERLINK("http://vk.com/club77003093")</f>
        <v>http://vk.com/club77003093</v>
      </c>
      <c r="Q2320">
        <v>6840</v>
      </c>
      <c r="R2320" t="s">
        <v>124</v>
      </c>
      <c r="W2320">
        <v>0</v>
      </c>
      <c r="X2320">
        <v>0</v>
      </c>
      <c r="AE2320">
        <v>3</v>
      </c>
      <c r="AF2320">
        <v>1</v>
      </c>
      <c r="AG2320">
        <v>1503</v>
      </c>
      <c r="AM2320" t="s">
        <v>129</v>
      </c>
      <c r="AN2320" t="s">
        <v>130</v>
      </c>
      <c r="AP2320" t="s">
        <v>41</v>
      </c>
      <c r="AZ2320" t="s">
        <v>51</v>
      </c>
      <c r="BB2320" t="s">
        <v>53</v>
      </c>
      <c r="BL2320" t="s">
        <v>63</v>
      </c>
      <c r="BM2320" t="s">
        <v>64</v>
      </c>
    </row>
    <row r="2321" spans="1:77" x14ac:dyDescent="0.2">
      <c r="A2321" t="s">
        <v>7964</v>
      </c>
      <c r="B2321" t="s">
        <v>7121</v>
      </c>
      <c r="C2321" t="s">
        <v>8212</v>
      </c>
      <c r="D2321" t="s">
        <v>7374</v>
      </c>
      <c r="E2321" t="s">
        <v>8213</v>
      </c>
      <c r="F2321" t="s">
        <v>118</v>
      </c>
      <c r="G2321" t="str">
        <f>HYPERLINK("https://vk.com/wall-27863223_291691?w=wall-27863223_291691_r291711")</f>
        <v>https://vk.com/wall-27863223_291691?w=wall-27863223_291691_r291711</v>
      </c>
      <c r="H2321" t="s">
        <v>228</v>
      </c>
      <c r="I2321" t="s">
        <v>8214</v>
      </c>
      <c r="J2321" t="str">
        <f>HYPERLINK("http://vk.com/id219378102")</f>
        <v>http://vk.com/id219378102</v>
      </c>
      <c r="K2321">
        <v>76</v>
      </c>
      <c r="L2321" t="s">
        <v>121</v>
      </c>
      <c r="N2321" t="s">
        <v>122</v>
      </c>
      <c r="O2321" t="s">
        <v>175</v>
      </c>
      <c r="P2321" t="str">
        <f>HYPERLINK("http://vk.com/club27863223")</f>
        <v>http://vk.com/club27863223</v>
      </c>
      <c r="Q2321">
        <v>134698</v>
      </c>
      <c r="R2321" t="s">
        <v>124</v>
      </c>
      <c r="S2321" t="s">
        <v>125</v>
      </c>
      <c r="W2321">
        <v>0</v>
      </c>
      <c r="X2321">
        <v>0</v>
      </c>
      <c r="AJ2321" t="s">
        <v>8215</v>
      </c>
      <c r="AK2321" t="s">
        <v>8216</v>
      </c>
      <c r="AL2321" t="str">
        <f>HYPERLINK("https://sun9-83.userapi.com/impg/EUYgYRSDIUTRKjEj2lOAVToj0hp5U5qyoStX-Q/m_G7TjNIV-A.jpg?size=1920x1440&amp;quality=96&amp;sign=4bc5d7e332feacd34d4347ee13a5b6f7&amp;c_uniq_tag=SeLTdAHZ99pgC8LBVuiyxbV8x0V-h6c-P_aFEl5OReI&amp;type=album")</f>
        <v>https://sun9-83.userapi.com/impg/EUYgYRSDIUTRKjEj2lOAVToj0hp5U5qyoStX-Q/m_G7TjNIV-A.jpg?size=1920x1440&amp;quality=96&amp;sign=4bc5d7e332feacd34d4347ee13a5b6f7&amp;c_uniq_tag=SeLTdAHZ99pgC8LBVuiyxbV8x0V-h6c-P_aFEl5OReI&amp;type=album</v>
      </c>
      <c r="AM2321" t="s">
        <v>129</v>
      </c>
      <c r="AN2321" t="s">
        <v>130</v>
      </c>
      <c r="AP2321" t="s">
        <v>41</v>
      </c>
      <c r="AU2321" t="s">
        <v>46</v>
      </c>
      <c r="AY2321" t="s">
        <v>50</v>
      </c>
      <c r="AZ2321" t="s">
        <v>51</v>
      </c>
      <c r="BA2321" t="s">
        <v>52</v>
      </c>
    </row>
    <row r="2322" spans="1:77" x14ac:dyDescent="0.2">
      <c r="A2322" t="s">
        <v>7964</v>
      </c>
      <c r="B2322" t="s">
        <v>6115</v>
      </c>
      <c r="C2322" t="s">
        <v>8200</v>
      </c>
      <c r="D2322" t="s">
        <v>2953</v>
      </c>
      <c r="E2322" t="s">
        <v>8217</v>
      </c>
      <c r="F2322" t="s">
        <v>118</v>
      </c>
      <c r="G2322" t="str">
        <f>HYPERLINK("https://vk.com/wall-61101621_254612?reply=254614")</f>
        <v>https://vk.com/wall-61101621_254612?reply=254614</v>
      </c>
      <c r="H2322" t="s">
        <v>119</v>
      </c>
      <c r="I2322" t="s">
        <v>8218</v>
      </c>
      <c r="J2322" t="str">
        <f>HYPERLINK("http://vk.com/id553213598")</f>
        <v>http://vk.com/id553213598</v>
      </c>
      <c r="K2322">
        <v>18</v>
      </c>
      <c r="L2322" t="s">
        <v>121</v>
      </c>
      <c r="N2322" t="s">
        <v>122</v>
      </c>
      <c r="O2322" t="s">
        <v>160</v>
      </c>
      <c r="P2322" t="str">
        <f>HYPERLINK("http://vk.com/club61101621")</f>
        <v>http://vk.com/club61101621</v>
      </c>
      <c r="Q2322">
        <v>21119</v>
      </c>
      <c r="R2322" t="s">
        <v>124</v>
      </c>
      <c r="S2322" t="s">
        <v>125</v>
      </c>
      <c r="T2322" t="s">
        <v>218</v>
      </c>
      <c r="U2322" t="s">
        <v>2855</v>
      </c>
      <c r="W2322">
        <v>0</v>
      </c>
      <c r="X2322">
        <v>0</v>
      </c>
      <c r="AM2322" t="s">
        <v>129</v>
      </c>
      <c r="AN2322" t="s">
        <v>130</v>
      </c>
      <c r="AP2322" t="s">
        <v>41</v>
      </c>
      <c r="AZ2322" t="s">
        <v>51</v>
      </c>
      <c r="BA2322" t="s">
        <v>52</v>
      </c>
      <c r="BO2322" t="s">
        <v>66</v>
      </c>
    </row>
    <row r="2323" spans="1:77" x14ac:dyDescent="0.2">
      <c r="A2323" t="s">
        <v>7964</v>
      </c>
      <c r="B2323" t="s">
        <v>5232</v>
      </c>
      <c r="C2323" t="s">
        <v>8219</v>
      </c>
      <c r="D2323" t="s">
        <v>8220</v>
      </c>
      <c r="E2323" t="s">
        <v>2260</v>
      </c>
      <c r="F2323" t="s">
        <v>118</v>
      </c>
      <c r="G2323" t="str">
        <f>HYPERLINK("https://www.facebook.com/story.php?story_fbid=4159738310781475&amp;id=100002360413124&amp;comment_id=4160346110720695&amp;reply_comment_id=4161684160586890")</f>
        <v>https://www.facebook.com/story.php?story_fbid=4159738310781475&amp;id=100002360413124&amp;comment_id=4160346110720695&amp;reply_comment_id=4161684160586890</v>
      </c>
      <c r="H2323" t="s">
        <v>119</v>
      </c>
      <c r="I2323" t="s">
        <v>695</v>
      </c>
      <c r="J2323" t="str">
        <f>HYPERLINK("https://www.facebook.com/100002360413124")</f>
        <v>https://www.facebook.com/100002360413124</v>
      </c>
      <c r="K2323">
        <v>5211</v>
      </c>
      <c r="L2323" t="s">
        <v>121</v>
      </c>
      <c r="N2323" t="s">
        <v>305</v>
      </c>
      <c r="O2323" t="s">
        <v>695</v>
      </c>
      <c r="P2323" t="str">
        <f>HYPERLINK("https://www.facebook.com/100002360413124")</f>
        <v>https://www.facebook.com/100002360413124</v>
      </c>
      <c r="Q2323">
        <v>5211</v>
      </c>
      <c r="R2323" t="s">
        <v>124</v>
      </c>
      <c r="S2323" t="s">
        <v>125</v>
      </c>
      <c r="T2323" t="s">
        <v>372</v>
      </c>
      <c r="U2323" t="s">
        <v>373</v>
      </c>
      <c r="W2323">
        <v>3</v>
      </c>
      <c r="X2323">
        <v>3</v>
      </c>
      <c r="AE2323">
        <v>0</v>
      </c>
      <c r="AM2323" t="s">
        <v>129</v>
      </c>
      <c r="AN2323" t="s">
        <v>130</v>
      </c>
      <c r="AP2323" t="s">
        <v>41</v>
      </c>
      <c r="AU2323" t="s">
        <v>46</v>
      </c>
      <c r="AZ2323" t="s">
        <v>51</v>
      </c>
      <c r="BA2323" t="s">
        <v>52</v>
      </c>
      <c r="BY2323" t="s">
        <v>76</v>
      </c>
    </row>
    <row r="2324" spans="1:77" x14ac:dyDescent="0.2">
      <c r="A2324" t="s">
        <v>7964</v>
      </c>
      <c r="B2324" t="s">
        <v>3163</v>
      </c>
      <c r="C2324" t="s">
        <v>8221</v>
      </c>
      <c r="D2324" t="s">
        <v>1186</v>
      </c>
      <c r="E2324" t="s">
        <v>8222</v>
      </c>
      <c r="F2324" t="s">
        <v>180</v>
      </c>
      <c r="G2324" t="str">
        <f>HYPERLINK("https://4pda.to/forum/index.php?showtopic=916407&amp;st=3080#entry107961511")</f>
        <v>https://4pda.to/forum/index.php?showtopic=916407&amp;st=3080#entry107961511</v>
      </c>
      <c r="H2324" t="s">
        <v>119</v>
      </c>
      <c r="I2324" t="s">
        <v>8223</v>
      </c>
      <c r="J2324" t="str">
        <f>HYPERLINK("https://4pda.to/forum/index.php?showuser=485134")</f>
        <v>https://4pda.to/forum/index.php?showuser=485134</v>
      </c>
      <c r="N2324" t="s">
        <v>293</v>
      </c>
      <c r="O2324" t="s">
        <v>1189</v>
      </c>
      <c r="P2324" t="str">
        <f>HYPERLINK("https://4pda.to/forum/index.php?showforum=319")</f>
        <v>https://4pda.to/forum/index.php?showforum=319</v>
      </c>
      <c r="R2324" t="s">
        <v>295</v>
      </c>
      <c r="S2324" t="s">
        <v>125</v>
      </c>
      <c r="AM2324" t="s">
        <v>129</v>
      </c>
      <c r="AN2324" t="s">
        <v>130</v>
      </c>
      <c r="AP2324" t="s">
        <v>41</v>
      </c>
      <c r="AU2324" t="s">
        <v>46</v>
      </c>
      <c r="AZ2324" t="s">
        <v>51</v>
      </c>
      <c r="BA2324" t="s">
        <v>52</v>
      </c>
    </row>
    <row r="2325" spans="1:77" x14ac:dyDescent="0.2">
      <c r="A2325" t="s">
        <v>7964</v>
      </c>
      <c r="B2325" t="s">
        <v>1054</v>
      </c>
      <c r="C2325" t="s">
        <v>8224</v>
      </c>
      <c r="D2325" t="s">
        <v>986</v>
      </c>
      <c r="E2325" t="s">
        <v>8225</v>
      </c>
      <c r="F2325" t="s">
        <v>118</v>
      </c>
      <c r="G2325" t="str">
        <f>HYPERLINK("https://vk.com/wall-27863223_291396?w=wall-27863223_291396_r291709")</f>
        <v>https://vk.com/wall-27863223_291396?w=wall-27863223_291396_r291709</v>
      </c>
      <c r="H2325" t="s">
        <v>119</v>
      </c>
      <c r="I2325" t="s">
        <v>988</v>
      </c>
      <c r="J2325" t="str">
        <f>HYPERLINK("http://vk.com/id227266248")</f>
        <v>http://vk.com/id227266248</v>
      </c>
      <c r="K2325">
        <v>7</v>
      </c>
      <c r="L2325" t="s">
        <v>121</v>
      </c>
      <c r="M2325">
        <v>39</v>
      </c>
      <c r="N2325" t="s">
        <v>122</v>
      </c>
      <c r="O2325" t="s">
        <v>175</v>
      </c>
      <c r="P2325" t="str">
        <f>HYPERLINK("http://vk.com/club27863223")</f>
        <v>http://vk.com/club27863223</v>
      </c>
      <c r="Q2325">
        <v>134698</v>
      </c>
      <c r="R2325" t="s">
        <v>124</v>
      </c>
      <c r="S2325" t="s">
        <v>125</v>
      </c>
      <c r="T2325" t="s">
        <v>989</v>
      </c>
      <c r="U2325" t="s">
        <v>990</v>
      </c>
      <c r="W2325">
        <v>0</v>
      </c>
      <c r="X2325">
        <v>0</v>
      </c>
      <c r="AM2325" t="s">
        <v>129</v>
      </c>
      <c r="AN2325" t="s">
        <v>130</v>
      </c>
      <c r="AP2325" t="s">
        <v>41</v>
      </c>
      <c r="AU2325" t="s">
        <v>46</v>
      </c>
      <c r="BA2325" t="s">
        <v>52</v>
      </c>
      <c r="BE2325" t="s">
        <v>56</v>
      </c>
    </row>
    <row r="2326" spans="1:77" x14ac:dyDescent="0.2">
      <c r="A2326" t="s">
        <v>7964</v>
      </c>
      <c r="B2326" t="s">
        <v>3853</v>
      </c>
      <c r="C2326" t="s">
        <v>8226</v>
      </c>
      <c r="D2326" t="s">
        <v>8227</v>
      </c>
      <c r="E2326" t="s">
        <v>8228</v>
      </c>
      <c r="F2326" t="s">
        <v>118</v>
      </c>
      <c r="G2326" t="str">
        <f>HYPERLINK("https://www.youtube.com/watch?v=qMfaUb-GALQ&amp;lc=UgylPi83jYTM6SbVJrN4AaABAg")</f>
        <v>https://www.youtube.com/watch?v=qMfaUb-GALQ&amp;lc=UgylPi83jYTM6SbVJrN4AaABAg</v>
      </c>
      <c r="H2326" t="s">
        <v>119</v>
      </c>
      <c r="I2326" t="s">
        <v>8229</v>
      </c>
      <c r="J2326" t="str">
        <f>HYPERLINK("https://www.youtube.com/channel/UCScOfnRY2adH4Ih5HDZedVw")</f>
        <v>https://www.youtube.com/channel/UCScOfnRY2adH4Ih5HDZedVw</v>
      </c>
      <c r="K2326">
        <v>32</v>
      </c>
      <c r="N2326" t="s">
        <v>248</v>
      </c>
      <c r="O2326" t="s">
        <v>8230</v>
      </c>
      <c r="P2326" t="str">
        <f>HYPERLINK("https://www.youtube.com/channel/UCl9mBQKv5ajlIkL6xZ7Tcyw")</f>
        <v>https://www.youtube.com/channel/UCl9mBQKv5ajlIkL6xZ7Tcyw</v>
      </c>
      <c r="Q2326">
        <v>18500</v>
      </c>
      <c r="R2326" t="s">
        <v>124</v>
      </c>
      <c r="S2326" t="s">
        <v>125</v>
      </c>
      <c r="W2326">
        <v>0</v>
      </c>
      <c r="X2326">
        <v>0</v>
      </c>
      <c r="AE2326">
        <v>0</v>
      </c>
      <c r="AM2326" t="s">
        <v>129</v>
      </c>
      <c r="AN2326" t="s">
        <v>130</v>
      </c>
      <c r="AP2326" t="s">
        <v>41</v>
      </c>
      <c r="AU2326" t="s">
        <v>46</v>
      </c>
      <c r="AZ2326" t="s">
        <v>51</v>
      </c>
      <c r="BA2326" t="s">
        <v>52</v>
      </c>
    </row>
    <row r="2327" spans="1:77" x14ac:dyDescent="0.2">
      <c r="A2327" t="s">
        <v>7964</v>
      </c>
      <c r="B2327" t="s">
        <v>8231</v>
      </c>
      <c r="C2327" t="s">
        <v>8232</v>
      </c>
      <c r="D2327" t="s">
        <v>8233</v>
      </c>
      <c r="E2327" t="s">
        <v>8234</v>
      </c>
      <c r="F2327" t="s">
        <v>118</v>
      </c>
      <c r="G2327" t="str">
        <f>HYPERLINK("https://telegram.me/iptv_prov_chat/181227")</f>
        <v>https://telegram.me/iptv_prov_chat/181227</v>
      </c>
      <c r="H2327" t="s">
        <v>119</v>
      </c>
      <c r="I2327" t="s">
        <v>8235</v>
      </c>
      <c r="J2327" t="str">
        <f>HYPERLINK("https://telegram.me/jetmeua")</f>
        <v>https://telegram.me/jetmeua</v>
      </c>
      <c r="N2327" t="s">
        <v>143</v>
      </c>
      <c r="O2327" t="s">
        <v>8236</v>
      </c>
      <c r="P2327" t="str">
        <f>HYPERLINK("https://telegram.me/iptv_prov_chat")</f>
        <v>https://telegram.me/iptv_prov_chat</v>
      </c>
      <c r="Q2327">
        <v>20882</v>
      </c>
      <c r="R2327" t="s">
        <v>145</v>
      </c>
      <c r="AM2327" t="s">
        <v>129</v>
      </c>
      <c r="AN2327" t="s">
        <v>130</v>
      </c>
      <c r="AP2327" t="s">
        <v>41</v>
      </c>
      <c r="AW2327" t="s">
        <v>48</v>
      </c>
      <c r="AZ2327" t="s">
        <v>51</v>
      </c>
      <c r="BA2327" t="s">
        <v>52</v>
      </c>
    </row>
    <row r="2328" spans="1:77" x14ac:dyDescent="0.2">
      <c r="A2328" t="s">
        <v>7964</v>
      </c>
      <c r="B2328" t="s">
        <v>2637</v>
      </c>
      <c r="C2328" t="s">
        <v>8237</v>
      </c>
      <c r="D2328" t="s">
        <v>7969</v>
      </c>
      <c r="E2328" t="s">
        <v>8238</v>
      </c>
      <c r="F2328" t="s">
        <v>118</v>
      </c>
      <c r="G2328" t="str">
        <f>HYPERLINK("https://vk.com/wall-22935147_368314?reply=368343")</f>
        <v>https://vk.com/wall-22935147_368314?reply=368343</v>
      </c>
      <c r="H2328" t="s">
        <v>119</v>
      </c>
      <c r="I2328" t="s">
        <v>7971</v>
      </c>
      <c r="J2328" t="str">
        <f>HYPERLINK("http://vk.com/id4291789")</f>
        <v>http://vk.com/id4291789</v>
      </c>
      <c r="K2328">
        <v>823</v>
      </c>
      <c r="L2328" t="s">
        <v>121</v>
      </c>
      <c r="M2328">
        <v>44</v>
      </c>
      <c r="N2328" t="s">
        <v>122</v>
      </c>
      <c r="O2328" t="s">
        <v>1093</v>
      </c>
      <c r="P2328" t="str">
        <f>HYPERLINK("http://vk.com/club22935147")</f>
        <v>http://vk.com/club22935147</v>
      </c>
      <c r="Q2328">
        <v>8943</v>
      </c>
      <c r="R2328" t="s">
        <v>124</v>
      </c>
      <c r="S2328" t="s">
        <v>125</v>
      </c>
      <c r="T2328" t="s">
        <v>2166</v>
      </c>
      <c r="U2328" t="s">
        <v>7972</v>
      </c>
      <c r="W2328">
        <v>0</v>
      </c>
      <c r="X2328">
        <v>0</v>
      </c>
      <c r="AM2328" t="s">
        <v>129</v>
      </c>
      <c r="AN2328" t="s">
        <v>130</v>
      </c>
      <c r="AP2328" t="s">
        <v>41</v>
      </c>
      <c r="AY2328" t="s">
        <v>50</v>
      </c>
      <c r="AZ2328" t="s">
        <v>51</v>
      </c>
      <c r="BA2328" t="s">
        <v>52</v>
      </c>
      <c r="BL2328" t="s">
        <v>63</v>
      </c>
    </row>
    <row r="2329" spans="1:77" x14ac:dyDescent="0.2">
      <c r="A2329" t="s">
        <v>7964</v>
      </c>
      <c r="B2329" t="s">
        <v>1633</v>
      </c>
      <c r="C2329" t="s">
        <v>8239</v>
      </c>
      <c r="D2329" t="s">
        <v>8240</v>
      </c>
      <c r="E2329" t="s">
        <v>8241</v>
      </c>
      <c r="F2329" t="s">
        <v>118</v>
      </c>
      <c r="G2329" t="str">
        <f>HYPERLINK("https://vk.com/wall-71902985_1071638?reply=1072074&amp;thread=1071686")</f>
        <v>https://vk.com/wall-71902985_1071638?reply=1072074&amp;thread=1071686</v>
      </c>
      <c r="H2329" t="s">
        <v>119</v>
      </c>
      <c r="I2329" t="s">
        <v>8242</v>
      </c>
      <c r="J2329" t="str">
        <f>HYPERLINK("http://vk.com/id2371837")</f>
        <v>http://vk.com/id2371837</v>
      </c>
      <c r="K2329">
        <v>1602</v>
      </c>
      <c r="L2329" t="s">
        <v>121</v>
      </c>
      <c r="N2329" t="s">
        <v>122</v>
      </c>
      <c r="O2329" t="s">
        <v>8243</v>
      </c>
      <c r="P2329" t="str">
        <f>HYPERLINK("http://vk.com/club71902985")</f>
        <v>http://vk.com/club71902985</v>
      </c>
      <c r="Q2329">
        <v>62819</v>
      </c>
      <c r="R2329" t="s">
        <v>124</v>
      </c>
      <c r="S2329" t="s">
        <v>125</v>
      </c>
      <c r="T2329" t="s">
        <v>5115</v>
      </c>
      <c r="U2329" t="s">
        <v>5116</v>
      </c>
      <c r="AM2329" t="s">
        <v>129</v>
      </c>
      <c r="AN2329" t="s">
        <v>130</v>
      </c>
      <c r="AP2329" t="s">
        <v>41</v>
      </c>
      <c r="AW2329" t="s">
        <v>48</v>
      </c>
      <c r="AY2329" t="s">
        <v>50</v>
      </c>
      <c r="AZ2329" t="s">
        <v>51</v>
      </c>
      <c r="BA2329" t="s">
        <v>52</v>
      </c>
    </row>
    <row r="2330" spans="1:77" x14ac:dyDescent="0.2">
      <c r="A2330" t="s">
        <v>7964</v>
      </c>
      <c r="B2330" t="s">
        <v>4361</v>
      </c>
      <c r="C2330" t="s">
        <v>8244</v>
      </c>
      <c r="D2330" t="s">
        <v>7240</v>
      </c>
      <c r="E2330" t="s">
        <v>8245</v>
      </c>
      <c r="F2330" t="s">
        <v>118</v>
      </c>
      <c r="G2330" t="str">
        <f>HYPERLINK("https://vk.com/wall-25564835_222884?reply=222970&amp;thread=222925")</f>
        <v>https://vk.com/wall-25564835_222884?reply=222970&amp;thread=222925</v>
      </c>
      <c r="H2330" t="s">
        <v>181</v>
      </c>
      <c r="I2330" t="s">
        <v>8246</v>
      </c>
      <c r="J2330" t="str">
        <f>HYPERLINK("http://vk.com/id564885129")</f>
        <v>http://vk.com/id564885129</v>
      </c>
      <c r="K2330">
        <v>199</v>
      </c>
      <c r="L2330" t="s">
        <v>151</v>
      </c>
      <c r="N2330" t="s">
        <v>122</v>
      </c>
      <c r="O2330" t="s">
        <v>7243</v>
      </c>
      <c r="P2330" t="str">
        <f>HYPERLINK("http://vk.com/club25564835")</f>
        <v>http://vk.com/club25564835</v>
      </c>
      <c r="Q2330">
        <v>5788</v>
      </c>
      <c r="R2330" t="s">
        <v>124</v>
      </c>
      <c r="S2330" t="s">
        <v>125</v>
      </c>
      <c r="AM2330" t="s">
        <v>129</v>
      </c>
      <c r="AN2330" t="s">
        <v>130</v>
      </c>
      <c r="AP2330" t="s">
        <v>41</v>
      </c>
      <c r="AW2330" t="s">
        <v>48</v>
      </c>
      <c r="AX2330" t="s">
        <v>49</v>
      </c>
      <c r="AZ2330" t="s">
        <v>51</v>
      </c>
      <c r="BA2330" t="s">
        <v>52</v>
      </c>
      <c r="BL2330" t="s">
        <v>63</v>
      </c>
    </row>
    <row r="2331" spans="1:77" x14ac:dyDescent="0.2">
      <c r="A2331" t="s">
        <v>7964</v>
      </c>
      <c r="B2331" t="s">
        <v>5788</v>
      </c>
      <c r="C2331" t="s">
        <v>8247</v>
      </c>
      <c r="D2331" t="s">
        <v>8240</v>
      </c>
      <c r="E2331" t="s">
        <v>8248</v>
      </c>
      <c r="F2331" t="s">
        <v>118</v>
      </c>
      <c r="G2331" t="str">
        <f>HYPERLINK("https://vk.com/wall-71902985_1071638?reply=1072071&amp;thread=1071686")</f>
        <v>https://vk.com/wall-71902985_1071638?reply=1072071&amp;thread=1071686</v>
      </c>
      <c r="H2331" t="s">
        <v>181</v>
      </c>
      <c r="I2331" t="s">
        <v>8246</v>
      </c>
      <c r="J2331" t="str">
        <f>HYPERLINK("http://vk.com/id564885129")</f>
        <v>http://vk.com/id564885129</v>
      </c>
      <c r="K2331">
        <v>199</v>
      </c>
      <c r="L2331" t="s">
        <v>151</v>
      </c>
      <c r="N2331" t="s">
        <v>122</v>
      </c>
      <c r="O2331" t="s">
        <v>8243</v>
      </c>
      <c r="P2331" t="str">
        <f>HYPERLINK("http://vk.com/club71902985")</f>
        <v>http://vk.com/club71902985</v>
      </c>
      <c r="Q2331">
        <v>62819</v>
      </c>
      <c r="R2331" t="s">
        <v>124</v>
      </c>
      <c r="S2331" t="s">
        <v>125</v>
      </c>
      <c r="AM2331" t="s">
        <v>129</v>
      </c>
      <c r="AN2331" t="s">
        <v>130</v>
      </c>
      <c r="AP2331" t="s">
        <v>41</v>
      </c>
      <c r="AY2331" t="s">
        <v>50</v>
      </c>
      <c r="AZ2331" t="s">
        <v>51</v>
      </c>
      <c r="BA2331" t="s">
        <v>52</v>
      </c>
    </row>
    <row r="2332" spans="1:77" x14ac:dyDescent="0.2">
      <c r="A2332" t="s">
        <v>7964</v>
      </c>
      <c r="B2332" t="s">
        <v>6463</v>
      </c>
      <c r="C2332" t="s">
        <v>8249</v>
      </c>
      <c r="D2332" t="s">
        <v>7565</v>
      </c>
      <c r="E2332" t="s">
        <v>8250</v>
      </c>
      <c r="F2332" t="s">
        <v>118</v>
      </c>
      <c r="G2332" t="str">
        <f>HYPERLINK("https://vk.com/wall-199277766_727?reply=735")</f>
        <v>https://vk.com/wall-199277766_727?reply=735</v>
      </c>
      <c r="H2332" t="s">
        <v>119</v>
      </c>
      <c r="I2332" t="s">
        <v>254</v>
      </c>
      <c r="J2332" t="str">
        <f>HYPERLINK("http://vk.com/id286061518")</f>
        <v>http://vk.com/id286061518</v>
      </c>
      <c r="K2332">
        <v>5170</v>
      </c>
      <c r="L2332" t="s">
        <v>121</v>
      </c>
      <c r="M2332">
        <v>34</v>
      </c>
      <c r="N2332" t="s">
        <v>122</v>
      </c>
      <c r="O2332" t="s">
        <v>255</v>
      </c>
      <c r="P2332" t="str">
        <f>HYPERLINK("http://vk.com/club199277766")</f>
        <v>http://vk.com/club199277766</v>
      </c>
      <c r="Q2332">
        <v>53</v>
      </c>
      <c r="R2332" t="s">
        <v>124</v>
      </c>
      <c r="S2332" t="s">
        <v>125</v>
      </c>
      <c r="T2332" t="s">
        <v>256</v>
      </c>
      <c r="U2332" t="s">
        <v>257</v>
      </c>
      <c r="AM2332" t="s">
        <v>129</v>
      </c>
      <c r="AN2332" t="s">
        <v>130</v>
      </c>
      <c r="AP2332" t="s">
        <v>41</v>
      </c>
      <c r="AU2332" t="s">
        <v>46</v>
      </c>
      <c r="BA2332" t="s">
        <v>52</v>
      </c>
      <c r="BE2332" t="s">
        <v>56</v>
      </c>
    </row>
    <row r="2333" spans="1:77" x14ac:dyDescent="0.2">
      <c r="A2333" t="s">
        <v>7964</v>
      </c>
      <c r="B2333" t="s">
        <v>535</v>
      </c>
      <c r="C2333" t="s">
        <v>8251</v>
      </c>
      <c r="D2333" t="s">
        <v>8252</v>
      </c>
      <c r="E2333" t="s">
        <v>8253</v>
      </c>
      <c r="F2333" t="s">
        <v>118</v>
      </c>
      <c r="G2333" t="str">
        <f>HYPERLINK("https://vk.com/wall-22935147_368275?reply=368342")</f>
        <v>https://vk.com/wall-22935147_368275?reply=368342</v>
      </c>
      <c r="H2333" t="s">
        <v>119</v>
      </c>
      <c r="I2333" t="s">
        <v>8254</v>
      </c>
      <c r="J2333" t="str">
        <f>HYPERLINK("http://vk.com/id446400390")</f>
        <v>http://vk.com/id446400390</v>
      </c>
      <c r="K2333">
        <v>184</v>
      </c>
      <c r="L2333" t="s">
        <v>121</v>
      </c>
      <c r="N2333" t="s">
        <v>122</v>
      </c>
      <c r="O2333" t="s">
        <v>1093</v>
      </c>
      <c r="P2333" t="str">
        <f>HYPERLINK("http://vk.com/club22935147")</f>
        <v>http://vk.com/club22935147</v>
      </c>
      <c r="Q2333">
        <v>8943</v>
      </c>
      <c r="R2333" t="s">
        <v>124</v>
      </c>
      <c r="S2333" t="s">
        <v>125</v>
      </c>
      <c r="W2333">
        <v>0</v>
      </c>
      <c r="X2333">
        <v>0</v>
      </c>
      <c r="AM2333" t="s">
        <v>129</v>
      </c>
      <c r="AN2333" t="s">
        <v>130</v>
      </c>
      <c r="AP2333" t="s">
        <v>41</v>
      </c>
      <c r="AX2333" t="s">
        <v>49</v>
      </c>
      <c r="AY2333" t="s">
        <v>50</v>
      </c>
      <c r="AZ2333" t="s">
        <v>51</v>
      </c>
      <c r="BA2333" t="s">
        <v>52</v>
      </c>
    </row>
    <row r="2334" spans="1:77" x14ac:dyDescent="0.2">
      <c r="A2334" t="s">
        <v>7964</v>
      </c>
      <c r="B2334" t="s">
        <v>1651</v>
      </c>
      <c r="C2334" t="s">
        <v>8255</v>
      </c>
      <c r="D2334" t="s">
        <v>8256</v>
      </c>
      <c r="E2334" t="s">
        <v>8257</v>
      </c>
      <c r="F2334" t="s">
        <v>118</v>
      </c>
      <c r="G2334" t="str">
        <f>HYPERLINK("https://vk.com/wall-200120043_2914?reply=2967")</f>
        <v>https://vk.com/wall-200120043_2914?reply=2967</v>
      </c>
      <c r="H2334" t="s">
        <v>181</v>
      </c>
      <c r="I2334" t="s">
        <v>8258</v>
      </c>
      <c r="J2334" t="str">
        <f>HYPERLINK("http://vk.com/id564951156")</f>
        <v>http://vk.com/id564951156</v>
      </c>
      <c r="K2334">
        <v>211</v>
      </c>
      <c r="L2334" t="s">
        <v>151</v>
      </c>
      <c r="M2334">
        <v>28</v>
      </c>
      <c r="N2334" t="s">
        <v>122</v>
      </c>
      <c r="O2334" t="s">
        <v>8259</v>
      </c>
      <c r="P2334" t="str">
        <f>HYPERLINK("http://vk.com/club200120043")</f>
        <v>http://vk.com/club200120043</v>
      </c>
      <c r="Q2334">
        <v>1362</v>
      </c>
      <c r="R2334" t="s">
        <v>124</v>
      </c>
      <c r="S2334" t="s">
        <v>125</v>
      </c>
      <c r="T2334" t="s">
        <v>314</v>
      </c>
      <c r="U2334" t="s">
        <v>315</v>
      </c>
      <c r="AM2334" t="s">
        <v>129</v>
      </c>
      <c r="AN2334" t="s">
        <v>130</v>
      </c>
      <c r="AP2334" t="s">
        <v>41</v>
      </c>
      <c r="AX2334" t="s">
        <v>49</v>
      </c>
      <c r="AZ2334" t="s">
        <v>51</v>
      </c>
      <c r="BD2334" t="s">
        <v>55</v>
      </c>
    </row>
    <row r="2335" spans="1:77" x14ac:dyDescent="0.2">
      <c r="A2335" t="s">
        <v>7964</v>
      </c>
      <c r="B2335" t="s">
        <v>1666</v>
      </c>
      <c r="C2335" t="s">
        <v>8260</v>
      </c>
      <c r="D2335" t="s">
        <v>8261</v>
      </c>
      <c r="E2335" t="s">
        <v>8262</v>
      </c>
      <c r="F2335" t="s">
        <v>118</v>
      </c>
      <c r="G2335" t="str">
        <f>HYPERLINK("https://vk.com/wall-89282602_74771?reply=74832")</f>
        <v>https://vk.com/wall-89282602_74771?reply=74832</v>
      </c>
      <c r="H2335" t="s">
        <v>181</v>
      </c>
      <c r="I2335" t="s">
        <v>8263</v>
      </c>
      <c r="J2335" t="str">
        <f>HYPERLINK("http://vk.com/id138777116")</f>
        <v>http://vk.com/id138777116</v>
      </c>
      <c r="K2335">
        <v>2205</v>
      </c>
      <c r="L2335" t="s">
        <v>151</v>
      </c>
      <c r="M2335">
        <v>29</v>
      </c>
      <c r="N2335" t="s">
        <v>122</v>
      </c>
      <c r="O2335" t="s">
        <v>8264</v>
      </c>
      <c r="P2335" t="str">
        <f>HYPERLINK("http://vk.com/club89282602")</f>
        <v>http://vk.com/club89282602</v>
      </c>
      <c r="Q2335">
        <v>6025</v>
      </c>
      <c r="R2335" t="s">
        <v>124</v>
      </c>
      <c r="S2335" t="s">
        <v>125</v>
      </c>
      <c r="T2335" t="s">
        <v>126</v>
      </c>
      <c r="U2335" t="s">
        <v>8265</v>
      </c>
      <c r="AM2335" t="s">
        <v>129</v>
      </c>
      <c r="AN2335" t="s">
        <v>130</v>
      </c>
      <c r="AP2335" t="s">
        <v>41</v>
      </c>
      <c r="AZ2335" t="s">
        <v>51</v>
      </c>
      <c r="BB2335" t="s">
        <v>53</v>
      </c>
    </row>
    <row r="2336" spans="1:77" x14ac:dyDescent="0.2">
      <c r="A2336" t="s">
        <v>7964</v>
      </c>
      <c r="B2336" t="s">
        <v>7835</v>
      </c>
      <c r="C2336" t="s">
        <v>8266</v>
      </c>
      <c r="D2336" t="s">
        <v>175</v>
      </c>
      <c r="E2336" t="s">
        <v>8267</v>
      </c>
      <c r="F2336" t="s">
        <v>180</v>
      </c>
      <c r="G2336" t="str">
        <f>HYPERLINK("https://yandex.ru/maps/org/239036136725#3_YDUTfiHIpofl1pU71TBSfxzMazRDW")</f>
        <v>https://yandex.ru/maps/org/239036136725#3_YDUTfiHIpofl1pU71TBSfxzMazRDW</v>
      </c>
      <c r="H2336" t="s">
        <v>181</v>
      </c>
      <c r="I2336" t="s">
        <v>8268</v>
      </c>
      <c r="J2336" t="str">
        <f>HYPERLINK("https://yandex.ru/maps/org/239036136725#3_YDUTfiHIpofl1pU71TBSfxzMazRDW")</f>
        <v>https://yandex.ru/maps/org/239036136725#3_YDUTfiHIpofl1pU71TBSfxzMazRDW</v>
      </c>
      <c r="L2336" t="s">
        <v>121</v>
      </c>
      <c r="N2336" t="s">
        <v>236</v>
      </c>
      <c r="O2336" t="s">
        <v>175</v>
      </c>
      <c r="P2336" t="str">
        <f>HYPERLINK("https://yandex.ru/maps/org/239036136725")</f>
        <v>https://yandex.ru/maps/org/239036136725</v>
      </c>
      <c r="R2336" t="s">
        <v>184</v>
      </c>
      <c r="S2336" t="s">
        <v>125</v>
      </c>
      <c r="T2336" t="s">
        <v>570</v>
      </c>
      <c r="U2336" t="s">
        <v>8269</v>
      </c>
      <c r="W2336">
        <v>0</v>
      </c>
      <c r="X2336">
        <v>0</v>
      </c>
      <c r="AH2336">
        <v>5</v>
      </c>
      <c r="AM2336" t="s">
        <v>129</v>
      </c>
      <c r="AN2336" t="s">
        <v>130</v>
      </c>
      <c r="AP2336" t="s">
        <v>41</v>
      </c>
      <c r="AX2336" t="s">
        <v>49</v>
      </c>
      <c r="AZ2336" t="s">
        <v>51</v>
      </c>
      <c r="BD2336" t="s">
        <v>55</v>
      </c>
    </row>
    <row r="2337" spans="1:89" x14ac:dyDescent="0.2">
      <c r="A2337" t="s">
        <v>7964</v>
      </c>
      <c r="B2337" t="s">
        <v>1674</v>
      </c>
      <c r="C2337" t="s">
        <v>8270</v>
      </c>
      <c r="D2337" t="s">
        <v>204</v>
      </c>
      <c r="E2337" t="s">
        <v>8271</v>
      </c>
      <c r="F2337" t="s">
        <v>180</v>
      </c>
      <c r="G2337" t="str">
        <f>HYPERLINK("https://play.google.com/store/apps/details?id=ru.iflex.android.a3colortv&amp;reviewId=gp:AOqpTOHNP5tf4nDHv25to4k75HVah1bhgW09kaUFIbXN_CbkBaawB9IHRCYxmumqL32dZlO6QU3oopQl-E2hwQ")</f>
        <v>https://play.google.com/store/apps/details?id=ru.iflex.android.a3colortv&amp;reviewId=gp:AOqpTOHNP5tf4nDHv25to4k75HVah1bhgW09kaUFIbXN_CbkBaawB9IHRCYxmumqL32dZlO6QU3oopQl-E2hwQ</v>
      </c>
      <c r="H2337" t="s">
        <v>228</v>
      </c>
      <c r="I2337" t="s">
        <v>8272</v>
      </c>
      <c r="J2337" t="str">
        <f>HYPERLINK("https://plus.google.com/101773410613331285280")</f>
        <v>https://plus.google.com/101773410613331285280</v>
      </c>
      <c r="N2337" t="s">
        <v>207</v>
      </c>
      <c r="O2337" t="s">
        <v>204</v>
      </c>
      <c r="P2337" t="str">
        <f>HYPERLINK("https://play.google.com/store/apps/details?id=ru.iflex.android.a3colortv&amp;hl=ru")</f>
        <v>https://play.google.com/store/apps/details?id=ru.iflex.android.a3colortv&amp;hl=ru</v>
      </c>
      <c r="R2337" t="s">
        <v>184</v>
      </c>
      <c r="S2337" t="s">
        <v>125</v>
      </c>
      <c r="W2337">
        <v>0</v>
      </c>
      <c r="X2337">
        <v>0</v>
      </c>
      <c r="AH2337">
        <v>1</v>
      </c>
      <c r="AM2337" t="s">
        <v>129</v>
      </c>
      <c r="AN2337" t="s">
        <v>130</v>
      </c>
      <c r="AP2337" t="s">
        <v>41</v>
      </c>
      <c r="AY2337" t="s">
        <v>50</v>
      </c>
      <c r="AZ2337" t="s">
        <v>51</v>
      </c>
      <c r="BA2337" t="s">
        <v>52</v>
      </c>
      <c r="BQ2337" t="s">
        <v>68</v>
      </c>
    </row>
    <row r="2338" spans="1:89" x14ac:dyDescent="0.2">
      <c r="A2338" t="s">
        <v>7964</v>
      </c>
      <c r="B2338" t="s">
        <v>1678</v>
      </c>
      <c r="C2338" t="s">
        <v>8273</v>
      </c>
      <c r="D2338" t="s">
        <v>8274</v>
      </c>
      <c r="E2338" t="s">
        <v>8275</v>
      </c>
      <c r="F2338" t="s">
        <v>118</v>
      </c>
      <c r="G2338" t="str">
        <f>HYPERLINK("https://www.youtube.com/watch?v=uB2vMHA7IWA&amp;lc=UgyVDsNdU2FOz-HB7oF4AaABAg")</f>
        <v>https://www.youtube.com/watch?v=uB2vMHA7IWA&amp;lc=UgyVDsNdU2FOz-HB7oF4AaABAg</v>
      </c>
      <c r="H2338" t="s">
        <v>119</v>
      </c>
      <c r="I2338" t="s">
        <v>8276</v>
      </c>
      <c r="J2338" t="str">
        <f>HYPERLINK("https://www.youtube.com/channel/UC0_W2zukPwkFjz_tBjDdxww")</f>
        <v>https://www.youtube.com/channel/UC0_W2zukPwkFjz_tBjDdxww</v>
      </c>
      <c r="K2338">
        <v>0</v>
      </c>
      <c r="N2338" t="s">
        <v>248</v>
      </c>
      <c r="O2338" t="s">
        <v>8277</v>
      </c>
      <c r="P2338" t="str">
        <f>HYPERLINK("https://www.youtube.com/channel/UCqbjmSvKVIoFaxmeKtmy9-Q")</f>
        <v>https://www.youtube.com/channel/UCqbjmSvKVIoFaxmeKtmy9-Q</v>
      </c>
      <c r="Q2338">
        <v>56200</v>
      </c>
      <c r="R2338" t="s">
        <v>124</v>
      </c>
      <c r="S2338" t="s">
        <v>125</v>
      </c>
      <c r="W2338">
        <v>1</v>
      </c>
      <c r="X2338">
        <v>1</v>
      </c>
      <c r="AE2338">
        <v>0</v>
      </c>
      <c r="AM2338" t="s">
        <v>129</v>
      </c>
      <c r="AN2338" t="s">
        <v>130</v>
      </c>
      <c r="AP2338" t="s">
        <v>41</v>
      </c>
      <c r="AY2338" t="s">
        <v>50</v>
      </c>
      <c r="AZ2338" t="s">
        <v>51</v>
      </c>
      <c r="BA2338" t="s">
        <v>52</v>
      </c>
    </row>
    <row r="2339" spans="1:89" x14ac:dyDescent="0.2">
      <c r="A2339" t="s">
        <v>7964</v>
      </c>
      <c r="B2339" t="s">
        <v>2138</v>
      </c>
      <c r="C2339" t="s">
        <v>8278</v>
      </c>
      <c r="D2339" t="s">
        <v>8279</v>
      </c>
      <c r="E2339" t="s">
        <v>8280</v>
      </c>
      <c r="F2339" t="s">
        <v>118</v>
      </c>
      <c r="G2339" t="str">
        <f>HYPERLINK("https://www.youtube.com/watch?v=EqgtyKTiOeM&amp;lc=Ugzkd_lQC6Sgjcq6EMd4AaABAg")</f>
        <v>https://www.youtube.com/watch?v=EqgtyKTiOeM&amp;lc=Ugzkd_lQC6Sgjcq6EMd4AaABAg</v>
      </c>
      <c r="H2339" t="s">
        <v>119</v>
      </c>
      <c r="I2339" t="s">
        <v>8281</v>
      </c>
      <c r="J2339" t="str">
        <f>HYPERLINK("https://www.youtube.com/channel/UCtqbrA3XwGHwT7Q-cMIX2QA")</f>
        <v>https://www.youtube.com/channel/UCtqbrA3XwGHwT7Q-cMIX2QA</v>
      </c>
      <c r="K2339">
        <v>162</v>
      </c>
      <c r="N2339" t="s">
        <v>248</v>
      </c>
      <c r="O2339" t="s">
        <v>8282</v>
      </c>
      <c r="P2339" t="str">
        <f>HYPERLINK("https://www.youtube.com/channel/UCjVxI227ReV5Mp7dH9Q0PLw")</f>
        <v>https://www.youtube.com/channel/UCjVxI227ReV5Mp7dH9Q0PLw</v>
      </c>
      <c r="Q2339">
        <v>152</v>
      </c>
      <c r="R2339" t="s">
        <v>124</v>
      </c>
      <c r="S2339" t="s">
        <v>125</v>
      </c>
      <c r="W2339">
        <v>1</v>
      </c>
      <c r="X2339">
        <v>1</v>
      </c>
      <c r="AE2339">
        <v>1</v>
      </c>
      <c r="AM2339" t="s">
        <v>129</v>
      </c>
      <c r="AN2339" t="s">
        <v>130</v>
      </c>
      <c r="AP2339" t="s">
        <v>41</v>
      </c>
      <c r="AZ2339" t="s">
        <v>51</v>
      </c>
      <c r="BA2339" t="s">
        <v>52</v>
      </c>
      <c r="BM2339" t="s">
        <v>64</v>
      </c>
    </row>
    <row r="2340" spans="1:89" x14ac:dyDescent="0.2">
      <c r="A2340" t="s">
        <v>7964</v>
      </c>
      <c r="B2340" t="s">
        <v>1690</v>
      </c>
      <c r="C2340" t="s">
        <v>8283</v>
      </c>
      <c r="D2340" t="s">
        <v>8284</v>
      </c>
      <c r="E2340" t="s">
        <v>8285</v>
      </c>
      <c r="F2340" t="s">
        <v>180</v>
      </c>
      <c r="G2340" t="str">
        <f>HYPERLINK("https://www.google.com/maps/reviews/data=!4m5!14m4!1m3!1m2!1s113094846146522702786!2s0x0:0x86980124b4ac9ba8?hl=en-NL")</f>
        <v>https://www.google.com/maps/reviews/data=!4m5!14m4!1m3!1m2!1s113094846146522702786!2s0x0:0x86980124b4ac9ba8?hl=en-NL</v>
      </c>
      <c r="H2340" t="s">
        <v>181</v>
      </c>
      <c r="I2340" t="s">
        <v>8286</v>
      </c>
      <c r="J2340" t="str">
        <f>HYPERLINK("https://maps.google.com/maps/contrib/113094846146522702786")</f>
        <v>https://maps.google.com/maps/contrib/113094846146522702786</v>
      </c>
      <c r="L2340" t="s">
        <v>121</v>
      </c>
      <c r="N2340" t="s">
        <v>673</v>
      </c>
      <c r="O2340" t="s">
        <v>8284</v>
      </c>
      <c r="P2340" t="str">
        <f>HYPERLINK("https://maps.google.com/maps/place/data=!3m1!4b1!4m5!3m4!1s0x0:0x86980124b4ac9ba8!8m2!3d56.325680!4d38.156930")</f>
        <v>https://maps.google.com/maps/place/data=!3m1!4b1!4m5!3m4!1s0x0:0x86980124b4ac9ba8!8m2!3d56.325680!4d38.156930</v>
      </c>
      <c r="R2340" t="s">
        <v>184</v>
      </c>
      <c r="S2340" t="s">
        <v>125</v>
      </c>
      <c r="T2340" t="s">
        <v>153</v>
      </c>
      <c r="U2340" t="s">
        <v>8287</v>
      </c>
      <c r="W2340">
        <v>0</v>
      </c>
      <c r="X2340">
        <v>0</v>
      </c>
      <c r="AH2340">
        <v>5</v>
      </c>
      <c r="AM2340" t="s">
        <v>129</v>
      </c>
      <c r="AN2340" t="s">
        <v>130</v>
      </c>
      <c r="AP2340" t="s">
        <v>41</v>
      </c>
      <c r="AX2340" t="s">
        <v>49</v>
      </c>
      <c r="AZ2340" t="s">
        <v>51</v>
      </c>
      <c r="BA2340" t="s">
        <v>52</v>
      </c>
    </row>
    <row r="2341" spans="1:89" x14ac:dyDescent="0.2">
      <c r="A2341" t="s">
        <v>7964</v>
      </c>
      <c r="B2341" t="s">
        <v>6164</v>
      </c>
      <c r="C2341" t="s">
        <v>8288</v>
      </c>
      <c r="D2341" t="s">
        <v>204</v>
      </c>
      <c r="E2341" t="s">
        <v>8289</v>
      </c>
      <c r="F2341" t="s">
        <v>180</v>
      </c>
      <c r="G2341" t="str">
        <f>HYPERLINK("https://play.google.com/store/apps/details?id=ru.iflex.android.a3colortv&amp;reviewId=gp:AOqpTOFFxO6Czm_Yrvi4n5ZQDNmpvS6VUwaiEbjaql6EYrPCFobl6VdNjlWGMDQBah662476wGT7_SKRC-90VQ")</f>
        <v>https://play.google.com/store/apps/details?id=ru.iflex.android.a3colortv&amp;reviewId=gp:AOqpTOFFxO6Czm_Yrvi4n5ZQDNmpvS6VUwaiEbjaql6EYrPCFobl6VdNjlWGMDQBah662476wGT7_SKRC-90VQ</v>
      </c>
      <c r="H2341" t="s">
        <v>181</v>
      </c>
      <c r="I2341" t="s">
        <v>8290</v>
      </c>
      <c r="J2341" t="str">
        <f>HYPERLINK("https://plus.google.com/109809550296289076201")</f>
        <v>https://plus.google.com/109809550296289076201</v>
      </c>
      <c r="L2341" t="s">
        <v>121</v>
      </c>
      <c r="N2341" t="s">
        <v>207</v>
      </c>
      <c r="O2341" t="s">
        <v>204</v>
      </c>
      <c r="P2341" t="str">
        <f>HYPERLINK("https://play.google.com/store/apps/details?id=ru.iflex.android.a3colortv&amp;hl=ru")</f>
        <v>https://play.google.com/store/apps/details?id=ru.iflex.android.a3colortv&amp;hl=ru</v>
      </c>
      <c r="R2341" t="s">
        <v>184</v>
      </c>
      <c r="S2341" t="s">
        <v>125</v>
      </c>
      <c r="W2341">
        <v>0</v>
      </c>
      <c r="X2341">
        <v>0</v>
      </c>
      <c r="AH2341">
        <v>5</v>
      </c>
      <c r="AM2341" t="s">
        <v>129</v>
      </c>
      <c r="AN2341" t="s">
        <v>130</v>
      </c>
      <c r="AP2341" t="s">
        <v>41</v>
      </c>
      <c r="AZ2341" t="s">
        <v>51</v>
      </c>
      <c r="BA2341" t="s">
        <v>52</v>
      </c>
      <c r="BQ2341" t="s">
        <v>68</v>
      </c>
    </row>
    <row r="2342" spans="1:89" x14ac:dyDescent="0.2">
      <c r="A2342" t="s">
        <v>7964</v>
      </c>
      <c r="B2342" t="s">
        <v>6164</v>
      </c>
      <c r="C2342" t="s">
        <v>8291</v>
      </c>
      <c r="D2342" t="s">
        <v>4951</v>
      </c>
      <c r="E2342" t="s">
        <v>8292</v>
      </c>
      <c r="F2342" t="s">
        <v>180</v>
      </c>
      <c r="G2342" t="str">
        <f>HYPERLINK("https://telesputnik.ru/forum/viewtopic.php?f=36&amp;t=86505&amp;start=160#p2480513")</f>
        <v>https://telesputnik.ru/forum/viewtopic.php?f=36&amp;t=86505&amp;start=160#p2480513</v>
      </c>
      <c r="H2342" t="s">
        <v>119</v>
      </c>
      <c r="I2342" t="s">
        <v>371</v>
      </c>
      <c r="J2342" t="str">
        <f>HYPERLINK("https://telesputnik.ru/forum/memberlist.php?mode=viewprofile&amp;u=53947")</f>
        <v>https://telesputnik.ru/forum/memberlist.php?mode=viewprofile&amp;u=53947</v>
      </c>
      <c r="N2342" t="s">
        <v>335</v>
      </c>
      <c r="O2342" t="s">
        <v>909</v>
      </c>
      <c r="P2342" t="str">
        <f>HYPERLINK("https://telesputnik.ru/forum/viewforum.php?f=36")</f>
        <v>https://telesputnik.ru/forum/viewforum.php?f=36</v>
      </c>
      <c r="R2342" t="s">
        <v>295</v>
      </c>
      <c r="S2342" t="s">
        <v>125</v>
      </c>
      <c r="T2342" t="s">
        <v>372</v>
      </c>
      <c r="U2342" t="s">
        <v>373</v>
      </c>
      <c r="AM2342" t="s">
        <v>129</v>
      </c>
      <c r="AN2342" t="s">
        <v>130</v>
      </c>
      <c r="AP2342" t="s">
        <v>41</v>
      </c>
      <c r="AU2342" t="s">
        <v>46</v>
      </c>
      <c r="AY2342" t="s">
        <v>50</v>
      </c>
      <c r="AZ2342" t="s">
        <v>51</v>
      </c>
      <c r="BA2342" t="s">
        <v>52</v>
      </c>
    </row>
    <row r="2343" spans="1:89" x14ac:dyDescent="0.2">
      <c r="A2343" t="s">
        <v>7964</v>
      </c>
      <c r="B2343" t="s">
        <v>2724</v>
      </c>
      <c r="C2343" t="s">
        <v>8293</v>
      </c>
      <c r="D2343" t="s">
        <v>7374</v>
      </c>
      <c r="E2343" t="s">
        <v>8294</v>
      </c>
      <c r="F2343" t="s">
        <v>118</v>
      </c>
      <c r="G2343" t="str">
        <f>HYPERLINK("https://vk.com/wall-27863223_291691?w=wall-27863223_291691_r291707")</f>
        <v>https://vk.com/wall-27863223_291691?w=wall-27863223_291691_r291707</v>
      </c>
      <c r="H2343" t="s">
        <v>119</v>
      </c>
      <c r="I2343" t="s">
        <v>8295</v>
      </c>
      <c r="J2343" t="str">
        <f>HYPERLINK("http://vk.com/id421549518")</f>
        <v>http://vk.com/id421549518</v>
      </c>
      <c r="K2343">
        <v>931</v>
      </c>
      <c r="L2343" t="s">
        <v>151</v>
      </c>
      <c r="M2343">
        <v>115</v>
      </c>
      <c r="N2343" t="s">
        <v>122</v>
      </c>
      <c r="O2343" t="s">
        <v>175</v>
      </c>
      <c r="P2343" t="str">
        <f>HYPERLINK("http://vk.com/club27863223")</f>
        <v>http://vk.com/club27863223</v>
      </c>
      <c r="Q2343">
        <v>134698</v>
      </c>
      <c r="R2343" t="s">
        <v>124</v>
      </c>
      <c r="S2343" t="s">
        <v>125</v>
      </c>
      <c r="W2343">
        <v>0</v>
      </c>
      <c r="X2343">
        <v>0</v>
      </c>
      <c r="AM2343" t="s">
        <v>129</v>
      </c>
      <c r="AN2343" t="s">
        <v>130</v>
      </c>
      <c r="AP2343" t="s">
        <v>41</v>
      </c>
      <c r="AZ2343" t="s">
        <v>51</v>
      </c>
      <c r="BA2343" t="s">
        <v>52</v>
      </c>
      <c r="BL2343" t="s">
        <v>63</v>
      </c>
    </row>
    <row r="2344" spans="1:89" x14ac:dyDescent="0.2">
      <c r="A2344" t="s">
        <v>7964</v>
      </c>
      <c r="B2344" t="s">
        <v>1710</v>
      </c>
      <c r="C2344" t="s">
        <v>8266</v>
      </c>
      <c r="D2344" t="s">
        <v>175</v>
      </c>
      <c r="E2344" t="s">
        <v>8296</v>
      </c>
      <c r="F2344" t="s">
        <v>180</v>
      </c>
      <c r="G2344" t="str">
        <f>HYPERLINK("https://yandex.ru/maps/org/1092205215#AjEEsAk_FSlT1gOYBiz0KV3UsYUi7e")</f>
        <v>https://yandex.ru/maps/org/1092205215#AjEEsAk_FSlT1gOYBiz0KV3UsYUi7e</v>
      </c>
      <c r="H2344" t="s">
        <v>228</v>
      </c>
      <c r="I2344" t="s">
        <v>8297</v>
      </c>
      <c r="J2344" t="str">
        <f>HYPERLINK("https://yandex.ru/user/nt3c77jwd6rpqqh2xx7ahy559g")</f>
        <v>https://yandex.ru/user/nt3c77jwd6rpqqh2xx7ahy559g</v>
      </c>
      <c r="L2344" t="s">
        <v>151</v>
      </c>
      <c r="N2344" t="s">
        <v>236</v>
      </c>
      <c r="O2344" t="s">
        <v>175</v>
      </c>
      <c r="P2344" t="str">
        <f>HYPERLINK("https://yandex.ru/maps/org/1092205215")</f>
        <v>https://yandex.ru/maps/org/1092205215</v>
      </c>
      <c r="R2344" t="s">
        <v>184</v>
      </c>
      <c r="S2344" t="s">
        <v>125</v>
      </c>
      <c r="T2344" t="s">
        <v>778</v>
      </c>
      <c r="U2344" t="s">
        <v>779</v>
      </c>
      <c r="W2344">
        <v>0</v>
      </c>
      <c r="X2344">
        <v>0</v>
      </c>
      <c r="AH2344">
        <v>1</v>
      </c>
      <c r="AM2344" t="s">
        <v>129</v>
      </c>
      <c r="AN2344" t="s">
        <v>130</v>
      </c>
      <c r="AP2344" t="s">
        <v>41</v>
      </c>
      <c r="AX2344" t="s">
        <v>49</v>
      </c>
      <c r="AY2344" t="s">
        <v>50</v>
      </c>
      <c r="BA2344" t="s">
        <v>52</v>
      </c>
      <c r="BF2344" t="s">
        <v>57</v>
      </c>
      <c r="BL2344" t="s">
        <v>63</v>
      </c>
      <c r="CK2344" t="s">
        <v>88</v>
      </c>
    </row>
    <row r="2345" spans="1:89" x14ac:dyDescent="0.2">
      <c r="A2345" t="s">
        <v>7964</v>
      </c>
      <c r="B2345" t="s">
        <v>1122</v>
      </c>
      <c r="C2345" t="s">
        <v>8298</v>
      </c>
      <c r="D2345" t="s">
        <v>7374</v>
      </c>
      <c r="E2345" t="s">
        <v>8299</v>
      </c>
      <c r="F2345" t="s">
        <v>118</v>
      </c>
      <c r="G2345" t="str">
        <f>HYPERLINK("https://vk.com/wall-27863223_291691?reply=291705&amp;thread=291701")</f>
        <v>https://vk.com/wall-27863223_291691?reply=291705&amp;thread=291701</v>
      </c>
      <c r="H2345" t="s">
        <v>119</v>
      </c>
      <c r="I2345" t="s">
        <v>8300</v>
      </c>
      <c r="J2345" t="str">
        <f>HYPERLINK("http://vk.com/id69239264")</f>
        <v>http://vk.com/id69239264</v>
      </c>
      <c r="K2345">
        <v>385</v>
      </c>
      <c r="L2345" t="s">
        <v>151</v>
      </c>
      <c r="N2345" t="s">
        <v>122</v>
      </c>
      <c r="O2345" t="s">
        <v>175</v>
      </c>
      <c r="P2345" t="str">
        <f>HYPERLINK("http://vk.com/club27863223")</f>
        <v>http://vk.com/club27863223</v>
      </c>
      <c r="Q2345">
        <v>134698</v>
      </c>
      <c r="R2345" t="s">
        <v>124</v>
      </c>
      <c r="S2345" t="s">
        <v>125</v>
      </c>
      <c r="T2345" t="s">
        <v>1229</v>
      </c>
      <c r="U2345" t="s">
        <v>8301</v>
      </c>
      <c r="AM2345" t="s">
        <v>129</v>
      </c>
      <c r="AN2345" t="s">
        <v>130</v>
      </c>
      <c r="AP2345" t="s">
        <v>41</v>
      </c>
      <c r="AU2345" t="s">
        <v>46</v>
      </c>
      <c r="AW2345" t="s">
        <v>48</v>
      </c>
      <c r="AZ2345" t="s">
        <v>51</v>
      </c>
      <c r="BA2345" t="s">
        <v>52</v>
      </c>
    </row>
    <row r="2346" spans="1:89" x14ac:dyDescent="0.2">
      <c r="A2346" t="s">
        <v>7964</v>
      </c>
      <c r="B2346" t="s">
        <v>2737</v>
      </c>
      <c r="C2346" t="s">
        <v>8302</v>
      </c>
      <c r="D2346" t="s">
        <v>7374</v>
      </c>
      <c r="E2346" t="s">
        <v>8303</v>
      </c>
      <c r="F2346" t="s">
        <v>118</v>
      </c>
      <c r="G2346" t="str">
        <f>HYPERLINK("https://vk.com/wall-27863223_291691?reply=291702")</f>
        <v>https://vk.com/wall-27863223_291691?reply=291702</v>
      </c>
      <c r="H2346" t="s">
        <v>119</v>
      </c>
      <c r="I2346" t="s">
        <v>8295</v>
      </c>
      <c r="J2346" t="str">
        <f>HYPERLINK("http://vk.com/id421549518")</f>
        <v>http://vk.com/id421549518</v>
      </c>
      <c r="K2346">
        <v>931</v>
      </c>
      <c r="L2346" t="s">
        <v>151</v>
      </c>
      <c r="M2346">
        <v>115</v>
      </c>
      <c r="N2346" t="s">
        <v>122</v>
      </c>
      <c r="O2346" t="s">
        <v>175</v>
      </c>
      <c r="P2346" t="str">
        <f>HYPERLINK("http://vk.com/club27863223")</f>
        <v>http://vk.com/club27863223</v>
      </c>
      <c r="Q2346">
        <v>134698</v>
      </c>
      <c r="R2346" t="s">
        <v>124</v>
      </c>
      <c r="S2346" t="s">
        <v>125</v>
      </c>
      <c r="W2346">
        <v>0</v>
      </c>
      <c r="X2346">
        <v>0</v>
      </c>
      <c r="AM2346" t="s">
        <v>129</v>
      </c>
      <c r="AN2346" t="s">
        <v>130</v>
      </c>
      <c r="AP2346" t="s">
        <v>41</v>
      </c>
      <c r="BA2346" t="s">
        <v>52</v>
      </c>
      <c r="BE2346" t="s">
        <v>56</v>
      </c>
    </row>
    <row r="2347" spans="1:89" x14ac:dyDescent="0.2">
      <c r="A2347" t="s">
        <v>7964</v>
      </c>
      <c r="B2347" t="s">
        <v>8304</v>
      </c>
      <c r="C2347" t="s">
        <v>8302</v>
      </c>
      <c r="D2347" t="s">
        <v>7374</v>
      </c>
      <c r="E2347" t="s">
        <v>8305</v>
      </c>
      <c r="F2347" t="s">
        <v>118</v>
      </c>
      <c r="G2347" t="str">
        <f>HYPERLINK("https://vk.com/wall-27863223_291691?reply=291701")</f>
        <v>https://vk.com/wall-27863223_291691?reply=291701</v>
      </c>
      <c r="H2347" t="s">
        <v>119</v>
      </c>
      <c r="I2347" t="s">
        <v>8300</v>
      </c>
      <c r="J2347" t="str">
        <f>HYPERLINK("http://vk.com/id69239264")</f>
        <v>http://vk.com/id69239264</v>
      </c>
      <c r="K2347">
        <v>385</v>
      </c>
      <c r="L2347" t="s">
        <v>151</v>
      </c>
      <c r="N2347" t="s">
        <v>122</v>
      </c>
      <c r="O2347" t="s">
        <v>175</v>
      </c>
      <c r="P2347" t="str">
        <f>HYPERLINK("http://vk.com/club27863223")</f>
        <v>http://vk.com/club27863223</v>
      </c>
      <c r="Q2347">
        <v>134698</v>
      </c>
      <c r="R2347" t="s">
        <v>124</v>
      </c>
      <c r="S2347" t="s">
        <v>125</v>
      </c>
      <c r="T2347" t="s">
        <v>1229</v>
      </c>
      <c r="U2347" t="s">
        <v>8301</v>
      </c>
      <c r="W2347">
        <v>0</v>
      </c>
      <c r="X2347">
        <v>0</v>
      </c>
      <c r="AM2347" t="s">
        <v>129</v>
      </c>
      <c r="AN2347" t="s">
        <v>130</v>
      </c>
      <c r="AP2347" t="s">
        <v>41</v>
      </c>
      <c r="AU2347" t="s">
        <v>46</v>
      </c>
      <c r="AZ2347" t="s">
        <v>51</v>
      </c>
      <c r="BA2347" t="s">
        <v>52</v>
      </c>
    </row>
    <row r="2348" spans="1:89" x14ac:dyDescent="0.2">
      <c r="A2348" t="s">
        <v>7964</v>
      </c>
      <c r="B2348" t="s">
        <v>645</v>
      </c>
      <c r="C2348" t="s">
        <v>8306</v>
      </c>
      <c r="D2348" t="s">
        <v>8307</v>
      </c>
      <c r="E2348" t="s">
        <v>8308</v>
      </c>
      <c r="F2348" t="s">
        <v>118</v>
      </c>
      <c r="G2348" t="str">
        <f>HYPERLINK("https://www.youtube.com/watch?v=tXyRiulkFpw&amp;lc=Ugyz4DSTPTsC7fuuvkd4AaABAg.9PipqiG5zEh9Pj4iZupdNQ")</f>
        <v>https://www.youtube.com/watch?v=tXyRiulkFpw&amp;lc=Ugyz4DSTPTsC7fuuvkd4AaABAg.9PipqiG5zEh9Pj4iZupdNQ</v>
      </c>
      <c r="H2348" t="s">
        <v>119</v>
      </c>
      <c r="I2348" t="s">
        <v>8309</v>
      </c>
      <c r="J2348" t="str">
        <f>HYPERLINK("https://www.youtube.com/channel/UCQV88VPA_pHot0EBE_ehEKA")</f>
        <v>https://www.youtube.com/channel/UCQV88VPA_pHot0EBE_ehEKA</v>
      </c>
      <c r="K2348">
        <v>45</v>
      </c>
      <c r="L2348" t="s">
        <v>121</v>
      </c>
      <c r="N2348" t="s">
        <v>248</v>
      </c>
      <c r="O2348" t="s">
        <v>6687</v>
      </c>
      <c r="P2348" t="str">
        <f>HYPERLINK("https://www.youtube.com/channel/UCGA5WbTknsqqFvlUd2auUEg")</f>
        <v>https://www.youtube.com/channel/UCGA5WbTknsqqFvlUd2auUEg</v>
      </c>
      <c r="Q2348">
        <v>2170</v>
      </c>
      <c r="R2348" t="s">
        <v>124</v>
      </c>
      <c r="W2348">
        <v>0</v>
      </c>
      <c r="X2348">
        <v>0</v>
      </c>
      <c r="AM2348" t="s">
        <v>129</v>
      </c>
      <c r="AN2348" t="s">
        <v>130</v>
      </c>
      <c r="AP2348" t="s">
        <v>41</v>
      </c>
      <c r="AZ2348" t="s">
        <v>51</v>
      </c>
      <c r="BA2348" t="s">
        <v>52</v>
      </c>
      <c r="BL2348" t="s">
        <v>63</v>
      </c>
      <c r="BM2348" t="s">
        <v>64</v>
      </c>
    </row>
    <row r="2349" spans="1:89" x14ac:dyDescent="0.2">
      <c r="A2349" t="s">
        <v>7964</v>
      </c>
      <c r="B2349" t="s">
        <v>2181</v>
      </c>
      <c r="C2349" t="s">
        <v>8310</v>
      </c>
      <c r="D2349" t="s">
        <v>8311</v>
      </c>
      <c r="E2349" t="s">
        <v>8312</v>
      </c>
      <c r="F2349" t="s">
        <v>118</v>
      </c>
      <c r="G2349" t="str">
        <f>HYPERLINK("https://vk.com/wall-61354357_78030?reply=78164")</f>
        <v>https://vk.com/wall-61354357_78030?reply=78164</v>
      </c>
      <c r="H2349" t="s">
        <v>181</v>
      </c>
      <c r="I2349" t="s">
        <v>8313</v>
      </c>
      <c r="J2349" t="str">
        <f>HYPERLINK("http://vk.com/id89011940")</f>
        <v>http://vk.com/id89011940</v>
      </c>
      <c r="K2349">
        <v>144</v>
      </c>
      <c r="L2349" t="s">
        <v>151</v>
      </c>
      <c r="N2349" t="s">
        <v>122</v>
      </c>
      <c r="O2349" t="s">
        <v>8314</v>
      </c>
      <c r="P2349" t="str">
        <f>HYPERLINK("http://vk.com/club61354357")</f>
        <v>http://vk.com/club61354357</v>
      </c>
      <c r="Q2349">
        <v>10947</v>
      </c>
      <c r="R2349" t="s">
        <v>124</v>
      </c>
      <c r="S2349" t="s">
        <v>125</v>
      </c>
      <c r="T2349" t="s">
        <v>1283</v>
      </c>
      <c r="U2349" t="s">
        <v>4354</v>
      </c>
      <c r="AM2349" t="s">
        <v>129</v>
      </c>
      <c r="AN2349" t="s">
        <v>130</v>
      </c>
      <c r="AP2349" t="s">
        <v>41</v>
      </c>
      <c r="AW2349" t="s">
        <v>48</v>
      </c>
      <c r="AZ2349" t="s">
        <v>51</v>
      </c>
      <c r="BA2349" t="s">
        <v>52</v>
      </c>
    </row>
    <row r="2350" spans="1:89" x14ac:dyDescent="0.2">
      <c r="A2350" t="s">
        <v>7964</v>
      </c>
      <c r="B2350" t="s">
        <v>2181</v>
      </c>
      <c r="C2350" t="s">
        <v>8315</v>
      </c>
      <c r="D2350" t="s">
        <v>3166</v>
      </c>
      <c r="E2350" t="s">
        <v>8316</v>
      </c>
      <c r="F2350" t="s">
        <v>118</v>
      </c>
      <c r="G2350" t="str">
        <f>HYPERLINK("https://vk.com/wall-27863223_291605?reply=291697")</f>
        <v>https://vk.com/wall-27863223_291605?reply=291697</v>
      </c>
      <c r="H2350" t="s">
        <v>119</v>
      </c>
      <c r="I2350" t="s">
        <v>8317</v>
      </c>
      <c r="J2350" t="str">
        <f>HYPERLINK("http://vk.com/id387884668")</f>
        <v>http://vk.com/id387884668</v>
      </c>
      <c r="K2350">
        <v>60</v>
      </c>
      <c r="L2350" t="s">
        <v>151</v>
      </c>
      <c r="N2350" t="s">
        <v>122</v>
      </c>
      <c r="O2350" t="s">
        <v>175</v>
      </c>
      <c r="P2350" t="str">
        <f>HYPERLINK("http://vk.com/club27863223")</f>
        <v>http://vk.com/club27863223</v>
      </c>
      <c r="Q2350">
        <v>134698</v>
      </c>
      <c r="R2350" t="s">
        <v>124</v>
      </c>
      <c r="S2350" t="s">
        <v>125</v>
      </c>
      <c r="T2350" t="s">
        <v>5146</v>
      </c>
      <c r="U2350" t="s">
        <v>8318</v>
      </c>
      <c r="W2350">
        <v>0</v>
      </c>
      <c r="X2350">
        <v>0</v>
      </c>
      <c r="AM2350" t="s">
        <v>129</v>
      </c>
      <c r="AN2350" t="s">
        <v>130</v>
      </c>
      <c r="AP2350" t="s">
        <v>41</v>
      </c>
      <c r="AT2350" t="s">
        <v>45</v>
      </c>
      <c r="AZ2350" t="s">
        <v>51</v>
      </c>
      <c r="BA2350" t="s">
        <v>52</v>
      </c>
      <c r="BL2350" t="s">
        <v>63</v>
      </c>
    </row>
    <row r="2351" spans="1:89" x14ac:dyDescent="0.2">
      <c r="A2351" t="s">
        <v>7964</v>
      </c>
      <c r="B2351" t="s">
        <v>1779</v>
      </c>
      <c r="C2351" t="s">
        <v>8319</v>
      </c>
      <c r="D2351" t="s">
        <v>8320</v>
      </c>
      <c r="E2351" t="s">
        <v>8321</v>
      </c>
      <c r="F2351" t="s">
        <v>118</v>
      </c>
      <c r="G2351" t="str">
        <f>HYPERLINK("https://vk.com/wall-52686519_25831?reply=25834")</f>
        <v>https://vk.com/wall-52686519_25831?reply=25834</v>
      </c>
      <c r="H2351" t="s">
        <v>119</v>
      </c>
      <c r="I2351" t="s">
        <v>8322</v>
      </c>
      <c r="J2351" t="str">
        <f>HYPERLINK("http://vk.com/id66792973")</f>
        <v>http://vk.com/id66792973</v>
      </c>
      <c r="K2351">
        <v>353</v>
      </c>
      <c r="L2351" t="s">
        <v>121</v>
      </c>
      <c r="M2351">
        <v>29</v>
      </c>
      <c r="N2351" t="s">
        <v>122</v>
      </c>
      <c r="O2351" t="s">
        <v>4240</v>
      </c>
      <c r="P2351" t="str">
        <f>HYPERLINK("http://vk.com/club52686519")</f>
        <v>http://vk.com/club52686519</v>
      </c>
      <c r="Q2351">
        <v>19756</v>
      </c>
      <c r="R2351" t="s">
        <v>124</v>
      </c>
      <c r="S2351" t="s">
        <v>125</v>
      </c>
      <c r="AM2351" t="s">
        <v>129</v>
      </c>
      <c r="AN2351" t="s">
        <v>130</v>
      </c>
      <c r="AP2351" t="s">
        <v>41</v>
      </c>
      <c r="AU2351" t="s">
        <v>46</v>
      </c>
      <c r="AZ2351" t="s">
        <v>51</v>
      </c>
      <c r="BA2351" t="s">
        <v>52</v>
      </c>
    </row>
    <row r="2352" spans="1:89" x14ac:dyDescent="0.2">
      <c r="A2352" t="s">
        <v>7964</v>
      </c>
      <c r="B2352" t="s">
        <v>6197</v>
      </c>
      <c r="C2352" t="s">
        <v>8323</v>
      </c>
      <c r="D2352" t="s">
        <v>8324</v>
      </c>
      <c r="E2352" t="s">
        <v>8325</v>
      </c>
      <c r="F2352" t="s">
        <v>118</v>
      </c>
      <c r="G2352" t="str">
        <f>HYPERLINK("https://telegram.me/forum_turkey/237138")</f>
        <v>https://telegram.me/forum_turkey/237138</v>
      </c>
      <c r="H2352" t="s">
        <v>181</v>
      </c>
      <c r="I2352" t="s">
        <v>8326</v>
      </c>
      <c r="J2352" t="str">
        <f>HYPERLINK("https://telegram.me/terfree")</f>
        <v>https://telegram.me/terfree</v>
      </c>
      <c r="L2352" t="s">
        <v>121</v>
      </c>
      <c r="N2352" t="s">
        <v>143</v>
      </c>
      <c r="O2352" t="s">
        <v>8327</v>
      </c>
      <c r="P2352" t="str">
        <f>HYPERLINK("https://telegram.me/forum_turkey")</f>
        <v>https://telegram.me/forum_turkey</v>
      </c>
      <c r="Q2352">
        <v>9505</v>
      </c>
      <c r="R2352" t="s">
        <v>145</v>
      </c>
      <c r="AM2352" t="s">
        <v>129</v>
      </c>
      <c r="AN2352" t="s">
        <v>130</v>
      </c>
      <c r="AP2352" t="s">
        <v>41</v>
      </c>
      <c r="AZ2352" t="s">
        <v>51</v>
      </c>
      <c r="BA2352" t="s">
        <v>52</v>
      </c>
    </row>
    <row r="2353" spans="1:77" x14ac:dyDescent="0.2">
      <c r="A2353" t="s">
        <v>7964</v>
      </c>
      <c r="B2353" t="s">
        <v>8328</v>
      </c>
      <c r="C2353" t="s">
        <v>8329</v>
      </c>
      <c r="D2353" t="s">
        <v>8330</v>
      </c>
      <c r="E2353" t="s">
        <v>8331</v>
      </c>
      <c r="F2353" t="s">
        <v>118</v>
      </c>
      <c r="G2353" t="str">
        <f>HYPERLINK("https://telegram.me/warframe_ru/238409")</f>
        <v>https://telegram.me/warframe_ru/238409</v>
      </c>
      <c r="H2353" t="s">
        <v>119</v>
      </c>
      <c r="I2353" t="s">
        <v>8332</v>
      </c>
      <c r="J2353" t="str">
        <f>HYPERLINK("https://telegram.me/us_apollo")</f>
        <v>https://telegram.me/us_apollo</v>
      </c>
      <c r="N2353" t="s">
        <v>143</v>
      </c>
      <c r="O2353" t="s">
        <v>8333</v>
      </c>
      <c r="P2353" t="str">
        <f>HYPERLINK("https://telegram.me/warframe_ru")</f>
        <v>https://telegram.me/warframe_ru</v>
      </c>
      <c r="Q2353">
        <v>107</v>
      </c>
      <c r="R2353" t="s">
        <v>145</v>
      </c>
      <c r="AM2353" t="s">
        <v>129</v>
      </c>
      <c r="AN2353" t="s">
        <v>130</v>
      </c>
      <c r="AP2353" t="s">
        <v>41</v>
      </c>
      <c r="AU2353" t="s">
        <v>46</v>
      </c>
      <c r="AZ2353" t="s">
        <v>51</v>
      </c>
      <c r="BA2353" t="s">
        <v>52</v>
      </c>
    </row>
    <row r="2354" spans="1:77" x14ac:dyDescent="0.2">
      <c r="A2354" t="s">
        <v>7964</v>
      </c>
      <c r="B2354" t="s">
        <v>8334</v>
      </c>
      <c r="C2354" t="s">
        <v>8335</v>
      </c>
      <c r="D2354" t="s">
        <v>4524</v>
      </c>
      <c r="E2354" t="s">
        <v>8336</v>
      </c>
      <c r="F2354" t="s">
        <v>180</v>
      </c>
      <c r="G2354" t="str">
        <f>HYPERLINK("https://www.ozon.ru/context/detail/id/203873196/#59062763")</f>
        <v>https://www.ozon.ru/context/detail/id/203873196/#59062763</v>
      </c>
      <c r="H2354" t="s">
        <v>181</v>
      </c>
      <c r="I2354" t="s">
        <v>2171</v>
      </c>
      <c r="J2354" t="str">
        <f>HYPERLINK("https://www.ozon.ru/context/client_opinion/ClientGuid/73692473-d9c6-4488-9354-4055c725881e/")</f>
        <v>https://www.ozon.ru/context/client_opinion/ClientGuid/73692473-d9c6-4488-9354-4055c725881e/</v>
      </c>
      <c r="L2354" t="s">
        <v>151</v>
      </c>
      <c r="N2354" t="s">
        <v>183</v>
      </c>
      <c r="O2354" t="s">
        <v>4524</v>
      </c>
      <c r="P2354" t="str">
        <f>HYPERLINK("https://www.ozon.ru/context/detail/id/203873196/")</f>
        <v>https://www.ozon.ru/context/detail/id/203873196/</v>
      </c>
      <c r="R2354" t="s">
        <v>184</v>
      </c>
      <c r="S2354" t="s">
        <v>125</v>
      </c>
      <c r="W2354">
        <v>0</v>
      </c>
      <c r="X2354">
        <v>0</v>
      </c>
      <c r="AH2354">
        <v>5</v>
      </c>
      <c r="AM2354" t="s">
        <v>129</v>
      </c>
      <c r="AN2354" t="s">
        <v>130</v>
      </c>
      <c r="AP2354" t="s">
        <v>41</v>
      </c>
      <c r="AZ2354" t="s">
        <v>51</v>
      </c>
      <c r="BA2354" t="s">
        <v>52</v>
      </c>
      <c r="BL2354" t="s">
        <v>63</v>
      </c>
    </row>
    <row r="2355" spans="1:77" x14ac:dyDescent="0.2">
      <c r="A2355" t="s">
        <v>7964</v>
      </c>
      <c r="B2355" t="s">
        <v>8337</v>
      </c>
      <c r="C2355" t="s">
        <v>8221</v>
      </c>
      <c r="D2355" t="s">
        <v>1186</v>
      </c>
      <c r="E2355" t="s">
        <v>8338</v>
      </c>
      <c r="F2355" t="s">
        <v>180</v>
      </c>
      <c r="G2355" t="str">
        <f>HYPERLINK("https://4pda.to/forum/index.php?showtopic=916407&amp;st=3080#entry107955057")</f>
        <v>https://4pda.to/forum/index.php?showtopic=916407&amp;st=3080#entry107955057</v>
      </c>
      <c r="H2355" t="s">
        <v>119</v>
      </c>
      <c r="I2355" t="s">
        <v>8339</v>
      </c>
      <c r="J2355" t="str">
        <f>HYPERLINK("https://4pda.to/forum/index.php?showuser=2336164")</f>
        <v>https://4pda.to/forum/index.php?showuser=2336164</v>
      </c>
      <c r="N2355" t="s">
        <v>293</v>
      </c>
      <c r="O2355" t="s">
        <v>1189</v>
      </c>
      <c r="P2355" t="str">
        <f>HYPERLINK("https://4pda.to/forum/index.php?showforum=319")</f>
        <v>https://4pda.to/forum/index.php?showforum=319</v>
      </c>
      <c r="R2355" t="s">
        <v>295</v>
      </c>
      <c r="S2355" t="s">
        <v>125</v>
      </c>
      <c r="AM2355" t="s">
        <v>129</v>
      </c>
      <c r="AN2355" t="s">
        <v>130</v>
      </c>
      <c r="AP2355" t="s">
        <v>41</v>
      </c>
      <c r="AZ2355" t="s">
        <v>51</v>
      </c>
      <c r="BA2355" t="s">
        <v>52</v>
      </c>
      <c r="BL2355" t="s">
        <v>63</v>
      </c>
    </row>
    <row r="2356" spans="1:77" x14ac:dyDescent="0.2">
      <c r="A2356" t="s">
        <v>7964</v>
      </c>
      <c r="B2356" t="s">
        <v>8340</v>
      </c>
      <c r="C2356" t="s">
        <v>8341</v>
      </c>
      <c r="D2356" t="s">
        <v>7179</v>
      </c>
      <c r="E2356" t="s">
        <v>8342</v>
      </c>
      <c r="F2356" t="s">
        <v>118</v>
      </c>
      <c r="G2356" t="str">
        <f>HYPERLINK("https://otzovik.com/review_12164109.html#89902696")</f>
        <v>https://otzovik.com/review_12164109.html#89902696</v>
      </c>
      <c r="H2356" t="s">
        <v>119</v>
      </c>
      <c r="I2356" t="s">
        <v>8343</v>
      </c>
      <c r="J2356" t="str">
        <f>HYPERLINK("http://otzovik.com/profile/Nik+Julianna")</f>
        <v>http://otzovik.com/profile/Nik+Julianna</v>
      </c>
      <c r="N2356" t="s">
        <v>390</v>
      </c>
      <c r="O2356" t="s">
        <v>7181</v>
      </c>
      <c r="P2356" t="str">
        <f>HYPERLINK("https://otzovik.com/reviews/sputnikoviy_resiver_general_satellite_u510_trikolor_tv/")</f>
        <v>https://otzovik.com/reviews/sputnikoviy_resiver_general_satellite_u510_trikolor_tv/</v>
      </c>
      <c r="R2356" t="s">
        <v>184</v>
      </c>
      <c r="S2356" t="s">
        <v>125</v>
      </c>
      <c r="AM2356" t="s">
        <v>129</v>
      </c>
      <c r="AN2356" t="s">
        <v>130</v>
      </c>
      <c r="AP2356" t="s">
        <v>41</v>
      </c>
      <c r="AZ2356" t="s">
        <v>51</v>
      </c>
      <c r="BA2356" t="s">
        <v>52</v>
      </c>
      <c r="BL2356" t="s">
        <v>63</v>
      </c>
    </row>
    <row r="2357" spans="1:77" x14ac:dyDescent="0.2">
      <c r="A2357" t="s">
        <v>7964</v>
      </c>
      <c r="B2357" t="s">
        <v>8344</v>
      </c>
      <c r="C2357" t="s">
        <v>8345</v>
      </c>
      <c r="D2357" t="s">
        <v>8346</v>
      </c>
      <c r="E2357" t="s">
        <v>2260</v>
      </c>
      <c r="F2357" t="s">
        <v>118</v>
      </c>
      <c r="G2357" t="str">
        <f>HYPERLINK("https://www.facebook.com/story.php?story_fbid=2897208203878133&amp;id=100007669441427&amp;comment_id=2897356407196646")</f>
        <v>https://www.facebook.com/story.php?story_fbid=2897208203878133&amp;id=100007669441427&amp;comment_id=2897356407196646</v>
      </c>
      <c r="H2357" t="s">
        <v>119</v>
      </c>
      <c r="I2357" t="s">
        <v>695</v>
      </c>
      <c r="J2357" t="str">
        <f>HYPERLINK("https://www.facebook.com/100002360413124")</f>
        <v>https://www.facebook.com/100002360413124</v>
      </c>
      <c r="K2357">
        <v>5211</v>
      </c>
      <c r="L2357" t="s">
        <v>121</v>
      </c>
      <c r="N2357" t="s">
        <v>305</v>
      </c>
      <c r="O2357" t="s">
        <v>7088</v>
      </c>
      <c r="P2357" t="str">
        <f>HYPERLINK("https://www.facebook.com/100007669441427")</f>
        <v>https://www.facebook.com/100007669441427</v>
      </c>
      <c r="Q2357">
        <v>4552</v>
      </c>
      <c r="R2357" t="s">
        <v>124</v>
      </c>
      <c r="S2357" t="s">
        <v>125</v>
      </c>
      <c r="T2357" t="s">
        <v>372</v>
      </c>
      <c r="U2357" t="s">
        <v>373</v>
      </c>
      <c r="W2357">
        <v>0</v>
      </c>
      <c r="X2357">
        <v>0</v>
      </c>
      <c r="AE2357">
        <v>0</v>
      </c>
      <c r="AM2357" t="s">
        <v>129</v>
      </c>
      <c r="AN2357" t="s">
        <v>130</v>
      </c>
      <c r="AP2357" t="s">
        <v>41</v>
      </c>
      <c r="AU2357" t="s">
        <v>46</v>
      </c>
      <c r="AZ2357" t="s">
        <v>51</v>
      </c>
      <c r="BA2357" t="s">
        <v>52</v>
      </c>
      <c r="BY2357" t="s">
        <v>76</v>
      </c>
    </row>
    <row r="2358" spans="1:77" x14ac:dyDescent="0.2">
      <c r="A2358" t="s">
        <v>7964</v>
      </c>
      <c r="B2358" t="s">
        <v>8347</v>
      </c>
      <c r="C2358" t="s">
        <v>8348</v>
      </c>
      <c r="D2358" t="s">
        <v>2326</v>
      </c>
      <c r="E2358" t="s">
        <v>8349</v>
      </c>
      <c r="F2358" t="s">
        <v>118</v>
      </c>
      <c r="G2358" t="str">
        <f>HYPERLINK("https://vk.com/topic-27863223_35421989?post=115887")</f>
        <v>https://vk.com/topic-27863223_35421989?post=115887</v>
      </c>
      <c r="H2358" t="s">
        <v>119</v>
      </c>
      <c r="I2358" t="s">
        <v>8350</v>
      </c>
      <c r="J2358" t="str">
        <f>HYPERLINK("http://vk.com/id136680214")</f>
        <v>http://vk.com/id136680214</v>
      </c>
      <c r="K2358">
        <v>754</v>
      </c>
      <c r="L2358" t="s">
        <v>151</v>
      </c>
      <c r="M2358">
        <v>25</v>
      </c>
      <c r="N2358" t="s">
        <v>122</v>
      </c>
      <c r="O2358" t="s">
        <v>175</v>
      </c>
      <c r="P2358" t="str">
        <f>HYPERLINK("http://vk.com/club27863223")</f>
        <v>http://vk.com/club27863223</v>
      </c>
      <c r="Q2358">
        <v>134698</v>
      </c>
      <c r="R2358" t="s">
        <v>124</v>
      </c>
      <c r="S2358" t="s">
        <v>125</v>
      </c>
      <c r="T2358" t="s">
        <v>169</v>
      </c>
      <c r="U2358" t="s">
        <v>169</v>
      </c>
      <c r="AM2358" t="s">
        <v>129</v>
      </c>
      <c r="AN2358" t="s">
        <v>130</v>
      </c>
      <c r="AP2358" t="s">
        <v>41</v>
      </c>
      <c r="AU2358" t="s">
        <v>46</v>
      </c>
      <c r="AZ2358" t="s">
        <v>51</v>
      </c>
      <c r="BA2358" t="s">
        <v>52</v>
      </c>
    </row>
    <row r="2359" spans="1:77" x14ac:dyDescent="0.2">
      <c r="A2359" t="s">
        <v>7964</v>
      </c>
      <c r="B2359" t="s">
        <v>8351</v>
      </c>
      <c r="C2359" t="s">
        <v>8352</v>
      </c>
      <c r="D2359" t="s">
        <v>986</v>
      </c>
      <c r="E2359" t="s">
        <v>8353</v>
      </c>
      <c r="F2359" t="s">
        <v>118</v>
      </c>
      <c r="G2359" t="str">
        <f>HYPERLINK("https://vk.com/wall-27863223_291396?reply=291696&amp;thread=291403")</f>
        <v>https://vk.com/wall-27863223_291396?reply=291696&amp;thread=291403</v>
      </c>
      <c r="H2359" t="s">
        <v>119</v>
      </c>
      <c r="I2359" t="s">
        <v>8350</v>
      </c>
      <c r="J2359" t="str">
        <f>HYPERLINK("http://vk.com/id136680214")</f>
        <v>http://vk.com/id136680214</v>
      </c>
      <c r="K2359">
        <v>754</v>
      </c>
      <c r="L2359" t="s">
        <v>151</v>
      </c>
      <c r="M2359">
        <v>25</v>
      </c>
      <c r="N2359" t="s">
        <v>122</v>
      </c>
      <c r="O2359" t="s">
        <v>175</v>
      </c>
      <c r="P2359" t="str">
        <f>HYPERLINK("http://vk.com/club27863223")</f>
        <v>http://vk.com/club27863223</v>
      </c>
      <c r="Q2359">
        <v>134698</v>
      </c>
      <c r="R2359" t="s">
        <v>124</v>
      </c>
      <c r="S2359" t="s">
        <v>125</v>
      </c>
      <c r="T2359" t="s">
        <v>169</v>
      </c>
      <c r="U2359" t="s">
        <v>169</v>
      </c>
      <c r="AM2359" t="s">
        <v>129</v>
      </c>
      <c r="AN2359" t="s">
        <v>130</v>
      </c>
      <c r="AP2359" t="s">
        <v>41</v>
      </c>
      <c r="AU2359" t="s">
        <v>46</v>
      </c>
      <c r="AZ2359" t="s">
        <v>51</v>
      </c>
      <c r="BA2359" t="s">
        <v>52</v>
      </c>
    </row>
    <row r="2360" spans="1:77" x14ac:dyDescent="0.2">
      <c r="A2360" t="s">
        <v>7964</v>
      </c>
      <c r="B2360" t="s">
        <v>8354</v>
      </c>
      <c r="C2360" t="s">
        <v>8355</v>
      </c>
      <c r="D2360" t="s">
        <v>986</v>
      </c>
      <c r="E2360" t="s">
        <v>8356</v>
      </c>
      <c r="F2360" t="s">
        <v>118</v>
      </c>
      <c r="G2360" t="str">
        <f>HYPERLINK("https://vk.com/wall-27863223_291396?w=wall-27863223_291396_r291694")</f>
        <v>https://vk.com/wall-27863223_291396?w=wall-27863223_291396_r291694</v>
      </c>
      <c r="H2360" t="s">
        <v>119</v>
      </c>
      <c r="I2360" t="s">
        <v>8350</v>
      </c>
      <c r="J2360" t="str">
        <f>HYPERLINK("http://vk.com/id136680214")</f>
        <v>http://vk.com/id136680214</v>
      </c>
      <c r="K2360">
        <v>754</v>
      </c>
      <c r="L2360" t="s">
        <v>151</v>
      </c>
      <c r="M2360">
        <v>25</v>
      </c>
      <c r="N2360" t="s">
        <v>122</v>
      </c>
      <c r="O2360" t="s">
        <v>175</v>
      </c>
      <c r="P2360" t="str">
        <f>HYPERLINK("http://vk.com/club27863223")</f>
        <v>http://vk.com/club27863223</v>
      </c>
      <c r="Q2360">
        <v>134698</v>
      </c>
      <c r="R2360" t="s">
        <v>124</v>
      </c>
      <c r="S2360" t="s">
        <v>125</v>
      </c>
      <c r="T2360" t="s">
        <v>169</v>
      </c>
      <c r="U2360" t="s">
        <v>169</v>
      </c>
      <c r="W2360">
        <v>0</v>
      </c>
      <c r="X2360">
        <v>0</v>
      </c>
      <c r="AM2360" t="s">
        <v>129</v>
      </c>
      <c r="AN2360" t="s">
        <v>130</v>
      </c>
      <c r="AP2360" t="s">
        <v>41</v>
      </c>
      <c r="AU2360" t="s">
        <v>46</v>
      </c>
      <c r="BA2360" t="s">
        <v>52</v>
      </c>
      <c r="BE2360" t="s">
        <v>56</v>
      </c>
    </row>
    <row r="2361" spans="1:77" x14ac:dyDescent="0.2">
      <c r="A2361" t="s">
        <v>7964</v>
      </c>
      <c r="B2361" t="s">
        <v>8357</v>
      </c>
      <c r="C2361" t="s">
        <v>8128</v>
      </c>
      <c r="D2361" t="s">
        <v>8358</v>
      </c>
      <c r="E2361" t="s">
        <v>8359</v>
      </c>
      <c r="F2361" t="s">
        <v>180</v>
      </c>
      <c r="G2361" t="str">
        <f>HYPERLINK("https://otvet.mail.ru/question/225530168")</f>
        <v>https://otvet.mail.ru/question/225530168</v>
      </c>
      <c r="H2361" t="s">
        <v>119</v>
      </c>
      <c r="I2361" t="s">
        <v>8360</v>
      </c>
      <c r="J2361" t="str">
        <f>HYPERLINK("http://otvet.mail.ru/profile/id63338206")</f>
        <v>http://otvet.mail.ru/profile/id63338206</v>
      </c>
      <c r="L2361" t="s">
        <v>121</v>
      </c>
      <c r="N2361" t="s">
        <v>690</v>
      </c>
      <c r="O2361" t="s">
        <v>8361</v>
      </c>
      <c r="P2361" t="str">
        <f>HYPERLINK("https://otvet.mail.ru/office/")</f>
        <v>https://otvet.mail.ru/office/</v>
      </c>
      <c r="R2361" t="s">
        <v>295</v>
      </c>
      <c r="S2361" t="s">
        <v>125</v>
      </c>
      <c r="AM2361" t="s">
        <v>129</v>
      </c>
      <c r="AN2361" t="s">
        <v>130</v>
      </c>
      <c r="AP2361" t="s">
        <v>41</v>
      </c>
      <c r="AT2361" t="s">
        <v>45</v>
      </c>
      <c r="AZ2361" t="s">
        <v>51</v>
      </c>
      <c r="BB2361" t="s">
        <v>53</v>
      </c>
    </row>
    <row r="2362" spans="1:77" x14ac:dyDescent="0.2">
      <c r="A2362" t="s">
        <v>7964</v>
      </c>
      <c r="B2362" t="s">
        <v>4522</v>
      </c>
      <c r="C2362" t="s">
        <v>8341</v>
      </c>
      <c r="D2362" t="s">
        <v>7179</v>
      </c>
      <c r="E2362" t="s">
        <v>8362</v>
      </c>
      <c r="F2362" t="s">
        <v>118</v>
      </c>
      <c r="G2362" t="str">
        <f>HYPERLINK("https://otzovik.com/review_12164109.html#89902309")</f>
        <v>https://otzovik.com/review_12164109.html#89902309</v>
      </c>
      <c r="H2362" t="s">
        <v>181</v>
      </c>
      <c r="I2362" t="s">
        <v>8363</v>
      </c>
      <c r="J2362" t="str">
        <f>HYPERLINK("http://otzovik.com/profile/Galee777")</f>
        <v>http://otzovik.com/profile/Galee777</v>
      </c>
      <c r="N2362" t="s">
        <v>390</v>
      </c>
      <c r="O2362" t="s">
        <v>7181</v>
      </c>
      <c r="P2362" t="str">
        <f>HYPERLINK("https://otzovik.com/reviews/sputnikoviy_resiver_general_satellite_u510_trikolor_tv/")</f>
        <v>https://otzovik.com/reviews/sputnikoviy_resiver_general_satellite_u510_trikolor_tv/</v>
      </c>
      <c r="R2362" t="s">
        <v>184</v>
      </c>
      <c r="S2362" t="s">
        <v>125</v>
      </c>
      <c r="AM2362" t="s">
        <v>129</v>
      </c>
      <c r="AN2362" t="s">
        <v>130</v>
      </c>
      <c r="AP2362" t="s">
        <v>41</v>
      </c>
      <c r="AZ2362" t="s">
        <v>51</v>
      </c>
      <c r="BA2362" t="s">
        <v>52</v>
      </c>
      <c r="BL2362" t="s">
        <v>63</v>
      </c>
    </row>
    <row r="2363" spans="1:77" x14ac:dyDescent="0.2">
      <c r="A2363" t="s">
        <v>7964</v>
      </c>
      <c r="B2363" t="s">
        <v>8364</v>
      </c>
      <c r="C2363" t="s">
        <v>8319</v>
      </c>
      <c r="D2363" t="s">
        <v>8365</v>
      </c>
      <c r="E2363" t="s">
        <v>8366</v>
      </c>
      <c r="F2363" t="s">
        <v>180</v>
      </c>
      <c r="G2363" t="str">
        <f>HYPERLINK("https://www.kp.ru/daily/28302/4443271/")</f>
        <v>https://www.kp.ru/daily/28302/4443271/</v>
      </c>
      <c r="H2363" t="s">
        <v>119</v>
      </c>
      <c r="N2363" t="s">
        <v>8367</v>
      </c>
      <c r="R2363" t="s">
        <v>785</v>
      </c>
      <c r="S2363" t="s">
        <v>125</v>
      </c>
      <c r="AJ2363" t="s">
        <v>8368</v>
      </c>
      <c r="AK2363" t="s">
        <v>8369</v>
      </c>
      <c r="AL2363" t="str">
        <f>HYPERLINK("https://s16.stc.all.kpcdn.net/share/i/12/12029801/cr-1200-630.wm-asnplfru-100-tr-0-0.t-13-4443271-ttps-54-14-0083CD-1010-l-85-b-42.t-13-4443271-ttps-54-14-FFF-1010-l-85-b-42.t-207-5-asb-37-10-FFF-788-l-370-t-68.m2021-07-13T08-56-11.jpg")</f>
        <v>https://s16.stc.all.kpcdn.net/share/i/12/12029801/cr-1200-630.wm-asnplfru-100-tr-0-0.t-13-4443271-ttps-54-14-0083CD-1010-l-85-b-42.t-13-4443271-ttps-54-14-FFF-1010-l-85-b-42.t-207-5-asb-37-10-FFF-788-l-370-t-68.m2021-07-13T08-56-11.jpg</v>
      </c>
      <c r="AM2363" t="s">
        <v>129</v>
      </c>
      <c r="AN2363" t="s">
        <v>130</v>
      </c>
      <c r="AV2363" t="s">
        <v>47</v>
      </c>
    </row>
    <row r="2364" spans="1:77" x14ac:dyDescent="0.2">
      <c r="A2364" t="s">
        <v>7964</v>
      </c>
      <c r="B2364" t="s">
        <v>8370</v>
      </c>
      <c r="C2364" t="s">
        <v>8371</v>
      </c>
      <c r="D2364" t="s">
        <v>8372</v>
      </c>
      <c r="E2364" t="s">
        <v>8373</v>
      </c>
      <c r="F2364" t="s">
        <v>180</v>
      </c>
      <c r="G2364" t="str">
        <f>HYPERLINK("https://www.wildberries.ru/catalog/25656651/detail.aspx?targetUrl=ES#Comments")</f>
        <v>https://www.wildberries.ru/catalog/25656651/detail.aspx?targetUrl=ES#Comments</v>
      </c>
      <c r="H2364" t="s">
        <v>181</v>
      </c>
      <c r="I2364" t="s">
        <v>8374</v>
      </c>
      <c r="J2364" t="str">
        <f>HYPERLINK("https://www.wildberries.ru/profile/w7TDssOkw7PCu8K5wrbCssKzwrjCucKx")</f>
        <v>https://www.wildberries.ru/profile/w7TDssOkw7PCu8K5wrbCssKzwrjCucKx</v>
      </c>
      <c r="N2364" t="s">
        <v>534</v>
      </c>
      <c r="O2364" t="s">
        <v>8372</v>
      </c>
      <c r="P2364" t="str">
        <f>HYPERLINK("https://www.wildberries.ru/catalog/18926842/detail.aspx")</f>
        <v>https://www.wildberries.ru/catalog/18926842/detail.aspx</v>
      </c>
      <c r="R2364" t="s">
        <v>184</v>
      </c>
      <c r="S2364" t="s">
        <v>125</v>
      </c>
      <c r="W2364">
        <v>0</v>
      </c>
      <c r="X2364">
        <v>0</v>
      </c>
      <c r="AH2364">
        <v>5</v>
      </c>
      <c r="AM2364" t="s">
        <v>129</v>
      </c>
      <c r="AN2364" t="s">
        <v>130</v>
      </c>
      <c r="AP2364" t="s">
        <v>41</v>
      </c>
      <c r="AT2364" t="s">
        <v>45</v>
      </c>
      <c r="AZ2364" t="s">
        <v>51</v>
      </c>
      <c r="BA2364" t="s">
        <v>52</v>
      </c>
    </row>
    <row r="2365" spans="1:77" x14ac:dyDescent="0.2">
      <c r="A2365" t="s">
        <v>7964</v>
      </c>
      <c r="B2365" t="s">
        <v>8375</v>
      </c>
      <c r="C2365" t="s">
        <v>8376</v>
      </c>
      <c r="D2365" t="s">
        <v>204</v>
      </c>
      <c r="E2365" t="s">
        <v>8377</v>
      </c>
      <c r="F2365" t="s">
        <v>180</v>
      </c>
      <c r="G2365" t="str">
        <f>HYPERLINK("https://play.google.com/store/apps/details?id=ru.iflex.android.a3colortv&amp;reviewId=gp:AOqpTOEJMFbXvgDhX4D4TgORamtkf9hxBn5Ej9cormAenD_TQcEWkUXcQflmxirT_IsN_L6ingCZVu3YNCfcDA")</f>
        <v>https://play.google.com/store/apps/details?id=ru.iflex.android.a3colortv&amp;reviewId=gp:AOqpTOEJMFbXvgDhX4D4TgORamtkf9hxBn5Ej9cormAenD_TQcEWkUXcQflmxirT_IsN_L6ingCZVu3YNCfcDA</v>
      </c>
      <c r="H2365" t="s">
        <v>181</v>
      </c>
      <c r="I2365" t="s">
        <v>8378</v>
      </c>
      <c r="J2365" t="str">
        <f>HYPERLINK("https://plus.google.com/114980820236694776667")</f>
        <v>https://plus.google.com/114980820236694776667</v>
      </c>
      <c r="N2365" t="s">
        <v>207</v>
      </c>
      <c r="O2365" t="s">
        <v>204</v>
      </c>
      <c r="P2365" t="str">
        <f>HYPERLINK("https://play.google.com/store/apps/details?id=ru.iflex.android.a3colortv&amp;hl=ru")</f>
        <v>https://play.google.com/store/apps/details?id=ru.iflex.android.a3colortv&amp;hl=ru</v>
      </c>
      <c r="R2365" t="s">
        <v>184</v>
      </c>
      <c r="S2365" t="s">
        <v>125</v>
      </c>
      <c r="W2365">
        <v>0</v>
      </c>
      <c r="X2365">
        <v>0</v>
      </c>
      <c r="AH2365">
        <v>5</v>
      </c>
      <c r="AM2365" t="s">
        <v>129</v>
      </c>
      <c r="AN2365" t="s">
        <v>130</v>
      </c>
      <c r="AP2365" t="s">
        <v>41</v>
      </c>
      <c r="AZ2365" t="s">
        <v>51</v>
      </c>
      <c r="BA2365" t="s">
        <v>52</v>
      </c>
      <c r="BQ2365" t="s">
        <v>68</v>
      </c>
    </row>
    <row r="2366" spans="1:77" x14ac:dyDescent="0.2">
      <c r="A2366" t="s">
        <v>7964</v>
      </c>
      <c r="B2366" t="s">
        <v>8379</v>
      </c>
      <c r="C2366" t="s">
        <v>8291</v>
      </c>
      <c r="D2366" t="s">
        <v>4951</v>
      </c>
      <c r="E2366" t="s">
        <v>8380</v>
      </c>
      <c r="F2366" t="s">
        <v>180</v>
      </c>
      <c r="G2366" t="str">
        <f>HYPERLINK("https://telesputnik.ru/forum/viewtopic.php?f=36&amp;t=86505&amp;start=160#p2480495")</f>
        <v>https://telesputnik.ru/forum/viewtopic.php?f=36&amp;t=86505&amp;start=160#p2480495</v>
      </c>
      <c r="H2366" t="s">
        <v>119</v>
      </c>
      <c r="I2366" t="s">
        <v>1789</v>
      </c>
      <c r="J2366" t="str">
        <f>HYPERLINK("https://telesputnik.ru/forum/memberlist.php?mode=viewprofile&amp;u=50240")</f>
        <v>https://telesputnik.ru/forum/memberlist.php?mode=viewprofile&amp;u=50240</v>
      </c>
      <c r="N2366" t="s">
        <v>335</v>
      </c>
      <c r="O2366" t="s">
        <v>909</v>
      </c>
      <c r="P2366" t="str">
        <f>HYPERLINK("https://telesputnik.ru/forum/viewforum.php?f=36")</f>
        <v>https://telesputnik.ru/forum/viewforum.php?f=36</v>
      </c>
      <c r="R2366" t="s">
        <v>295</v>
      </c>
      <c r="S2366" t="s">
        <v>125</v>
      </c>
      <c r="AM2366" t="s">
        <v>129</v>
      </c>
      <c r="AN2366" t="s">
        <v>130</v>
      </c>
      <c r="AP2366" t="s">
        <v>41</v>
      </c>
      <c r="AU2366" t="s">
        <v>46</v>
      </c>
      <c r="AZ2366" t="s">
        <v>51</v>
      </c>
      <c r="BA2366" t="s">
        <v>52</v>
      </c>
    </row>
    <row r="2367" spans="1:77" x14ac:dyDescent="0.2">
      <c r="A2367" t="s">
        <v>7964</v>
      </c>
      <c r="B2367" t="s">
        <v>742</v>
      </c>
      <c r="C2367" t="s">
        <v>8381</v>
      </c>
      <c r="D2367" t="s">
        <v>4274</v>
      </c>
      <c r="E2367" t="s">
        <v>8382</v>
      </c>
      <c r="F2367" t="s">
        <v>180</v>
      </c>
      <c r="G2367" t="str">
        <f>HYPERLINK("https://4pda.to/forum/index.php?showtopic=544619&amp;st=75660#entry107953559")</f>
        <v>https://4pda.to/forum/index.php?showtopic=544619&amp;st=75660#entry107953559</v>
      </c>
      <c r="H2367" t="s">
        <v>181</v>
      </c>
      <c r="I2367" t="s">
        <v>8383</v>
      </c>
      <c r="J2367" t="str">
        <f>HYPERLINK("https://4pda.to/forum/index.php?showuser=151050")</f>
        <v>https://4pda.to/forum/index.php?showuser=151050</v>
      </c>
      <c r="N2367" t="s">
        <v>293</v>
      </c>
      <c r="O2367" t="s">
        <v>1526</v>
      </c>
      <c r="P2367" t="str">
        <f>HYPERLINK("https://4pda.to/forum/index.php?showforum=98")</f>
        <v>https://4pda.to/forum/index.php?showforum=98</v>
      </c>
      <c r="R2367" t="s">
        <v>295</v>
      </c>
      <c r="S2367" t="s">
        <v>125</v>
      </c>
      <c r="AM2367" t="s">
        <v>129</v>
      </c>
      <c r="AN2367" t="s">
        <v>130</v>
      </c>
      <c r="AP2367" t="s">
        <v>41</v>
      </c>
      <c r="AW2367" t="s">
        <v>48</v>
      </c>
      <c r="AZ2367" t="s">
        <v>51</v>
      </c>
      <c r="BA2367" t="s">
        <v>52</v>
      </c>
      <c r="BO2367" t="s">
        <v>66</v>
      </c>
    </row>
    <row r="2368" spans="1:77" x14ac:dyDescent="0.2">
      <c r="A2368" t="s">
        <v>7964</v>
      </c>
      <c r="B2368" t="s">
        <v>1231</v>
      </c>
      <c r="C2368" t="s">
        <v>8384</v>
      </c>
      <c r="D2368" t="s">
        <v>8385</v>
      </c>
      <c r="E2368" t="s">
        <v>8386</v>
      </c>
      <c r="F2368" t="s">
        <v>180</v>
      </c>
      <c r="G2368" t="str">
        <f>HYPERLINK("https://metaratings.ru/events/ufc-18-iyulya-islam-makhachev-tiago-moyzes/")</f>
        <v>https://metaratings.ru/events/ufc-18-iyulya-islam-makhachev-tiago-moyzes/</v>
      </c>
      <c r="H2368" t="s">
        <v>119</v>
      </c>
      <c r="N2368" t="s">
        <v>8387</v>
      </c>
      <c r="R2368" t="s">
        <v>785</v>
      </c>
      <c r="S2368" t="s">
        <v>125</v>
      </c>
      <c r="AJ2368" t="s">
        <v>8388</v>
      </c>
      <c r="AK2368" t="s">
        <v>8389</v>
      </c>
      <c r="AL2368" t="str">
        <f>HYPERLINK("https://metaratings.ru/upload/sprint.editor/545/545fd95ccaa77632483961e4bf2b8b93.jpg")</f>
        <v>https://metaratings.ru/upload/sprint.editor/545/545fd95ccaa77632483961e4bf2b8b93.jpg</v>
      </c>
      <c r="AM2368" t="s">
        <v>129</v>
      </c>
      <c r="AN2368" t="s">
        <v>130</v>
      </c>
      <c r="AV2368" t="s">
        <v>47</v>
      </c>
    </row>
    <row r="2369" spans="1:69" x14ac:dyDescent="0.2">
      <c r="A2369" t="s">
        <v>8390</v>
      </c>
      <c r="B2369" t="s">
        <v>1847</v>
      </c>
      <c r="C2369" t="s">
        <v>8391</v>
      </c>
      <c r="D2369" t="s">
        <v>8392</v>
      </c>
      <c r="E2369" t="s">
        <v>8393</v>
      </c>
      <c r="F2369" t="s">
        <v>118</v>
      </c>
      <c r="G2369" t="str">
        <f>HYPERLINK("https://vk.com/wall-27863223_291580?w=wall-27863223_291580_r291692")</f>
        <v>https://vk.com/wall-27863223_291580?w=wall-27863223_291580_r291692</v>
      </c>
      <c r="H2369" t="s">
        <v>119</v>
      </c>
      <c r="I2369" t="s">
        <v>8394</v>
      </c>
      <c r="J2369" t="str">
        <f>HYPERLINK("http://vk.com/id30057791")</f>
        <v>http://vk.com/id30057791</v>
      </c>
      <c r="K2369">
        <v>488</v>
      </c>
      <c r="L2369" t="s">
        <v>121</v>
      </c>
      <c r="N2369" t="s">
        <v>122</v>
      </c>
      <c r="O2369" t="s">
        <v>175</v>
      </c>
      <c r="P2369" t="str">
        <f>HYPERLINK("http://vk.com/club27863223")</f>
        <v>http://vk.com/club27863223</v>
      </c>
      <c r="Q2369">
        <v>134698</v>
      </c>
      <c r="R2369" t="s">
        <v>124</v>
      </c>
      <c r="S2369" t="s">
        <v>125</v>
      </c>
      <c r="T2369" t="s">
        <v>230</v>
      </c>
      <c r="U2369" t="s">
        <v>231</v>
      </c>
      <c r="W2369">
        <v>0</v>
      </c>
      <c r="X2369">
        <v>0</v>
      </c>
      <c r="AM2369" t="s">
        <v>129</v>
      </c>
      <c r="AN2369" t="s">
        <v>130</v>
      </c>
      <c r="AP2369" t="s">
        <v>41</v>
      </c>
      <c r="AZ2369" t="s">
        <v>51</v>
      </c>
      <c r="BA2369" t="s">
        <v>52</v>
      </c>
      <c r="BQ2369" t="s">
        <v>68</v>
      </c>
    </row>
    <row r="2370" spans="1:69" x14ac:dyDescent="0.2">
      <c r="A2370" t="s">
        <v>8390</v>
      </c>
      <c r="B2370" t="s">
        <v>7965</v>
      </c>
      <c r="C2370" t="s">
        <v>8221</v>
      </c>
      <c r="D2370" t="s">
        <v>1186</v>
      </c>
      <c r="E2370" t="s">
        <v>8395</v>
      </c>
      <c r="F2370" t="s">
        <v>180</v>
      </c>
      <c r="G2370" t="str">
        <f>HYPERLINK("https://4pda.to/forum/index.php?showtopic=916407&amp;st=3080#entry107953246")</f>
        <v>https://4pda.to/forum/index.php?showtopic=916407&amp;st=3080#entry107953246</v>
      </c>
      <c r="H2370" t="s">
        <v>119</v>
      </c>
      <c r="I2370" t="s">
        <v>1654</v>
      </c>
      <c r="J2370" t="str">
        <f>HYPERLINK("https://4pda.to/forum/index.php?showuser=5465828")</f>
        <v>https://4pda.to/forum/index.php?showuser=5465828</v>
      </c>
      <c r="N2370" t="s">
        <v>293</v>
      </c>
      <c r="O2370" t="s">
        <v>1189</v>
      </c>
      <c r="P2370" t="str">
        <f>HYPERLINK("https://4pda.to/forum/index.php?showforum=319")</f>
        <v>https://4pda.to/forum/index.php?showforum=319</v>
      </c>
      <c r="R2370" t="s">
        <v>295</v>
      </c>
      <c r="S2370" t="s">
        <v>125</v>
      </c>
      <c r="AM2370" t="s">
        <v>129</v>
      </c>
      <c r="AN2370" t="s">
        <v>130</v>
      </c>
      <c r="AP2370" t="s">
        <v>41</v>
      </c>
      <c r="AZ2370" t="s">
        <v>51</v>
      </c>
      <c r="BA2370" t="s">
        <v>52</v>
      </c>
      <c r="BL2370" t="s">
        <v>63</v>
      </c>
      <c r="BQ2370" t="s">
        <v>68</v>
      </c>
    </row>
    <row r="2371" spans="1:69" x14ac:dyDescent="0.2">
      <c r="A2371" t="s">
        <v>8390</v>
      </c>
      <c r="B2371" t="s">
        <v>131</v>
      </c>
      <c r="C2371" t="s">
        <v>8341</v>
      </c>
      <c r="D2371" t="s">
        <v>7179</v>
      </c>
      <c r="E2371" t="s">
        <v>8396</v>
      </c>
      <c r="F2371" t="s">
        <v>180</v>
      </c>
      <c r="G2371" t="str">
        <f>HYPERLINK("https://otzovik.com/review_12164109.html")</f>
        <v>https://otzovik.com/review_12164109.html</v>
      </c>
      <c r="H2371" t="s">
        <v>181</v>
      </c>
      <c r="I2371" t="s">
        <v>4901</v>
      </c>
      <c r="J2371" t="str">
        <f>HYPERLINK("http://otzovik.com/profile/Prosto+Katerina")</f>
        <v>http://otzovik.com/profile/Prosto+Katerina</v>
      </c>
      <c r="L2371" t="s">
        <v>151</v>
      </c>
      <c r="N2371" t="s">
        <v>390</v>
      </c>
      <c r="O2371" t="s">
        <v>7181</v>
      </c>
      <c r="P2371" t="str">
        <f>HYPERLINK("https://otzovik.com/reviews/sputnikoviy_resiver_general_satellite_u510_trikolor_tv/")</f>
        <v>https://otzovik.com/reviews/sputnikoviy_resiver_general_satellite_u510_trikolor_tv/</v>
      </c>
      <c r="R2371" t="s">
        <v>184</v>
      </c>
      <c r="S2371" t="s">
        <v>125</v>
      </c>
      <c r="T2371" t="s">
        <v>137</v>
      </c>
      <c r="U2371" t="s">
        <v>137</v>
      </c>
      <c r="W2371">
        <v>28</v>
      </c>
      <c r="X2371">
        <v>28</v>
      </c>
      <c r="AE2371">
        <v>2</v>
      </c>
      <c r="AH2371">
        <v>5</v>
      </c>
      <c r="AM2371" t="s">
        <v>129</v>
      </c>
      <c r="AN2371" t="s">
        <v>130</v>
      </c>
      <c r="AP2371" t="s">
        <v>41</v>
      </c>
      <c r="AZ2371" t="s">
        <v>51</v>
      </c>
      <c r="BA2371" t="s">
        <v>52</v>
      </c>
      <c r="BL2371" t="s">
        <v>63</v>
      </c>
    </row>
    <row r="2372" spans="1:69" x14ac:dyDescent="0.2">
      <c r="A2372" t="s">
        <v>8390</v>
      </c>
      <c r="B2372" t="s">
        <v>791</v>
      </c>
      <c r="C2372" t="s">
        <v>8397</v>
      </c>
      <c r="D2372" t="s">
        <v>129</v>
      </c>
      <c r="E2372" t="s">
        <v>8398</v>
      </c>
      <c r="F2372" t="s">
        <v>180</v>
      </c>
      <c r="G2372" t="str">
        <f>HYPERLINK("https://telegram.me/leominingchat/8400")</f>
        <v>https://telegram.me/leominingchat/8400</v>
      </c>
      <c r="H2372" t="s">
        <v>181</v>
      </c>
      <c r="I2372" t="s">
        <v>8399</v>
      </c>
      <c r="J2372" t="str">
        <f>HYPERLINK("https://telegram.me/arturklub")</f>
        <v>https://telegram.me/arturklub</v>
      </c>
      <c r="L2372" t="s">
        <v>121</v>
      </c>
      <c r="N2372" t="s">
        <v>143</v>
      </c>
      <c r="O2372" t="s">
        <v>8400</v>
      </c>
      <c r="P2372" t="str">
        <f>HYPERLINK("https://telegram.me/leominingchat")</f>
        <v>https://telegram.me/leominingchat</v>
      </c>
      <c r="Q2372">
        <v>2202</v>
      </c>
      <c r="R2372" t="s">
        <v>145</v>
      </c>
      <c r="AM2372" t="s">
        <v>129</v>
      </c>
      <c r="AN2372" t="s">
        <v>130</v>
      </c>
      <c r="AP2372" t="s">
        <v>41</v>
      </c>
      <c r="AT2372" t="s">
        <v>45</v>
      </c>
      <c r="AZ2372" t="s">
        <v>51</v>
      </c>
      <c r="BA2372" t="s">
        <v>52</v>
      </c>
    </row>
    <row r="2373" spans="1:69" x14ac:dyDescent="0.2">
      <c r="A2373" t="s">
        <v>8390</v>
      </c>
      <c r="B2373" t="s">
        <v>2908</v>
      </c>
      <c r="C2373" t="s">
        <v>8401</v>
      </c>
      <c r="D2373" t="s">
        <v>8402</v>
      </c>
      <c r="E2373" t="s">
        <v>8403</v>
      </c>
      <c r="F2373" t="s">
        <v>118</v>
      </c>
      <c r="G2373" t="str">
        <f>HYPERLINK("https://vk.com/wall-42918086_392258?reply=392291")</f>
        <v>https://vk.com/wall-42918086_392258?reply=392291</v>
      </c>
      <c r="H2373" t="s">
        <v>181</v>
      </c>
      <c r="I2373" t="s">
        <v>8404</v>
      </c>
      <c r="J2373" t="str">
        <f>HYPERLINK("http://vk.com/id167731240")</f>
        <v>http://vk.com/id167731240</v>
      </c>
      <c r="K2373">
        <v>150</v>
      </c>
      <c r="L2373" t="s">
        <v>151</v>
      </c>
      <c r="M2373">
        <v>47</v>
      </c>
      <c r="N2373" t="s">
        <v>122</v>
      </c>
      <c r="O2373" t="s">
        <v>8405</v>
      </c>
      <c r="P2373" t="str">
        <f>HYPERLINK("http://vk.com/club42918086")</f>
        <v>http://vk.com/club42918086</v>
      </c>
      <c r="Q2373">
        <v>22697</v>
      </c>
      <c r="R2373" t="s">
        <v>124</v>
      </c>
      <c r="S2373" t="s">
        <v>125</v>
      </c>
      <c r="T2373" t="s">
        <v>1229</v>
      </c>
      <c r="U2373" t="s">
        <v>8406</v>
      </c>
      <c r="AM2373" t="s">
        <v>129</v>
      </c>
      <c r="AN2373" t="s">
        <v>130</v>
      </c>
      <c r="AP2373" t="s">
        <v>41</v>
      </c>
      <c r="AZ2373" t="s">
        <v>51</v>
      </c>
      <c r="BA2373" t="s">
        <v>52</v>
      </c>
    </row>
    <row r="2374" spans="1:69" x14ac:dyDescent="0.2">
      <c r="A2374" t="s">
        <v>8390</v>
      </c>
      <c r="B2374" t="s">
        <v>1886</v>
      </c>
      <c r="C2374" t="s">
        <v>8407</v>
      </c>
      <c r="D2374" t="s">
        <v>204</v>
      </c>
      <c r="E2374" t="s">
        <v>8408</v>
      </c>
      <c r="F2374" t="s">
        <v>180</v>
      </c>
      <c r="G2374" t="str">
        <f>HYPERLINK("https://play.google.com/store/apps/details?id=ru.iflex.android.a3colortv&amp;reviewId=gp:AOqpTOEAVLvUpIw3oH1RAiEh_HLFVQDznEcAG3SZSgKFWC4At8kBcdKl_1L4ZkH2_WGODP571siAOwt45oJbpg")</f>
        <v>https://play.google.com/store/apps/details?id=ru.iflex.android.a3colortv&amp;reviewId=gp:AOqpTOEAVLvUpIw3oH1RAiEh_HLFVQDznEcAG3SZSgKFWC4At8kBcdKl_1L4ZkH2_WGODP571siAOwt45oJbpg</v>
      </c>
      <c r="H2374" t="s">
        <v>181</v>
      </c>
      <c r="I2374" t="s">
        <v>8409</v>
      </c>
      <c r="J2374" t="str">
        <f>HYPERLINK("https://plus.google.com/103854368622865880378")</f>
        <v>https://plus.google.com/103854368622865880378</v>
      </c>
      <c r="L2374" t="s">
        <v>121</v>
      </c>
      <c r="N2374" t="s">
        <v>207</v>
      </c>
      <c r="O2374" t="s">
        <v>204</v>
      </c>
      <c r="P2374" t="str">
        <f>HYPERLINK("https://play.google.com/store/apps/details?id=ru.iflex.android.a3colortv&amp;hl=ru")</f>
        <v>https://play.google.com/store/apps/details?id=ru.iflex.android.a3colortv&amp;hl=ru</v>
      </c>
      <c r="R2374" t="s">
        <v>184</v>
      </c>
      <c r="S2374" t="s">
        <v>125</v>
      </c>
      <c r="W2374">
        <v>0</v>
      </c>
      <c r="X2374">
        <v>0</v>
      </c>
      <c r="AH2374">
        <v>5</v>
      </c>
      <c r="AM2374" t="s">
        <v>129</v>
      </c>
      <c r="AN2374" t="s">
        <v>130</v>
      </c>
      <c r="AP2374" t="s">
        <v>41</v>
      </c>
      <c r="AZ2374" t="s">
        <v>51</v>
      </c>
      <c r="BA2374" t="s">
        <v>52</v>
      </c>
      <c r="BQ2374" t="s">
        <v>68</v>
      </c>
    </row>
    <row r="2375" spans="1:69" x14ac:dyDescent="0.2">
      <c r="A2375" t="s">
        <v>8390</v>
      </c>
      <c r="B2375" t="s">
        <v>5488</v>
      </c>
      <c r="C2375" t="s">
        <v>8410</v>
      </c>
      <c r="D2375" t="s">
        <v>8411</v>
      </c>
      <c r="E2375" t="s">
        <v>8412</v>
      </c>
      <c r="F2375" t="s">
        <v>118</v>
      </c>
      <c r="G2375" t="str">
        <f>HYPERLINK("https://telegram.me/avstreamchat/193438")</f>
        <v>https://telegram.me/avstreamchat/193438</v>
      </c>
      <c r="H2375" t="s">
        <v>119</v>
      </c>
      <c r="I2375" t="s">
        <v>8413</v>
      </c>
      <c r="J2375" t="str">
        <f>HYPERLINK("https://telegram.me/rustam88g")</f>
        <v>https://telegram.me/rustam88g</v>
      </c>
      <c r="L2375" t="s">
        <v>121</v>
      </c>
      <c r="N2375" t="s">
        <v>143</v>
      </c>
      <c r="O2375" t="s">
        <v>8414</v>
      </c>
      <c r="P2375" t="str">
        <f>HYPERLINK("https://telegram.me/avstreamchat")</f>
        <v>https://telegram.me/avstreamchat</v>
      </c>
      <c r="Q2375">
        <v>3534</v>
      </c>
      <c r="R2375" t="s">
        <v>145</v>
      </c>
      <c r="AM2375" t="s">
        <v>129</v>
      </c>
      <c r="AN2375" t="s">
        <v>130</v>
      </c>
      <c r="AP2375" t="s">
        <v>41</v>
      </c>
      <c r="AW2375" t="s">
        <v>48</v>
      </c>
      <c r="AZ2375" t="s">
        <v>51</v>
      </c>
      <c r="BA2375" t="s">
        <v>52</v>
      </c>
      <c r="BM2375" t="s">
        <v>64</v>
      </c>
    </row>
    <row r="2376" spans="1:69" x14ac:dyDescent="0.2">
      <c r="A2376" t="s">
        <v>8390</v>
      </c>
      <c r="B2376" t="s">
        <v>198</v>
      </c>
      <c r="C2376" t="s">
        <v>8415</v>
      </c>
      <c r="D2376" t="s">
        <v>8416</v>
      </c>
      <c r="E2376" t="s">
        <v>8417</v>
      </c>
      <c r="F2376" t="s">
        <v>118</v>
      </c>
      <c r="G2376" t="str">
        <f>HYPERLINK("https://www.youtube.com/watch?v=-RqKFTFtzMo&amp;lc=Ugztp0OwfuSfs55OfEB4AaABAg")</f>
        <v>https://www.youtube.com/watch?v=-RqKFTFtzMo&amp;lc=Ugztp0OwfuSfs55OfEB4AaABAg</v>
      </c>
      <c r="H2376" t="s">
        <v>119</v>
      </c>
      <c r="I2376" t="s">
        <v>8418</v>
      </c>
      <c r="J2376" t="str">
        <f>HYPERLINK("https://www.youtube.com/channel/UCb4gQat-CZXyM2wEXbiGd_A")</f>
        <v>https://www.youtube.com/channel/UCb4gQat-CZXyM2wEXbiGd_A</v>
      </c>
      <c r="K2376">
        <v>8</v>
      </c>
      <c r="L2376" t="s">
        <v>121</v>
      </c>
      <c r="N2376" t="s">
        <v>248</v>
      </c>
      <c r="O2376" t="s">
        <v>1910</v>
      </c>
      <c r="P2376" t="str">
        <f>HYPERLINK("https://www.youtube.com/channel/UCQgd9Ks9oBckRf9hadmZFdA")</f>
        <v>https://www.youtube.com/channel/UCQgd9Ks9oBckRf9hadmZFdA</v>
      </c>
      <c r="Q2376">
        <v>66700</v>
      </c>
      <c r="R2376" t="s">
        <v>124</v>
      </c>
      <c r="S2376" t="s">
        <v>125</v>
      </c>
      <c r="W2376">
        <v>1</v>
      </c>
      <c r="X2376">
        <v>1</v>
      </c>
      <c r="AE2376">
        <v>0</v>
      </c>
      <c r="AM2376" t="s">
        <v>129</v>
      </c>
      <c r="AN2376" t="s">
        <v>130</v>
      </c>
      <c r="AP2376" t="s">
        <v>41</v>
      </c>
      <c r="AU2376" t="s">
        <v>46</v>
      </c>
      <c r="AZ2376" t="s">
        <v>51</v>
      </c>
      <c r="BA2376" t="s">
        <v>52</v>
      </c>
    </row>
    <row r="2377" spans="1:69" x14ac:dyDescent="0.2">
      <c r="A2377" t="s">
        <v>8390</v>
      </c>
      <c r="B2377" t="s">
        <v>812</v>
      </c>
      <c r="C2377" t="s">
        <v>5345</v>
      </c>
      <c r="D2377" t="s">
        <v>4330</v>
      </c>
      <c r="E2377" t="s">
        <v>8419</v>
      </c>
      <c r="F2377" t="s">
        <v>180</v>
      </c>
      <c r="G2377" t="str">
        <f>HYPERLINK("https://www.ozon.ru/context/detail/id/218706300/#59008486")</f>
        <v>https://www.ozon.ru/context/detail/id/218706300/#59008486</v>
      </c>
      <c r="H2377" t="s">
        <v>181</v>
      </c>
      <c r="I2377" t="s">
        <v>512</v>
      </c>
      <c r="J2377" t="str">
        <f>HYPERLINK("https://www.ozon.ru/context/client_opinion/ClientGuid//")</f>
        <v>https://www.ozon.ru/context/client_opinion/ClientGuid//</v>
      </c>
      <c r="N2377" t="s">
        <v>183</v>
      </c>
      <c r="O2377" t="s">
        <v>4330</v>
      </c>
      <c r="P2377" t="str">
        <f>HYPERLINK("https://www.ozon.ru/context/detail/id/218706300/")</f>
        <v>https://www.ozon.ru/context/detail/id/218706300/</v>
      </c>
      <c r="R2377" t="s">
        <v>184</v>
      </c>
      <c r="S2377" t="s">
        <v>125</v>
      </c>
      <c r="W2377">
        <v>1</v>
      </c>
      <c r="X2377">
        <v>1</v>
      </c>
      <c r="AH2377">
        <v>5</v>
      </c>
      <c r="AM2377" t="s">
        <v>129</v>
      </c>
      <c r="AN2377" t="s">
        <v>130</v>
      </c>
      <c r="AP2377" t="s">
        <v>41</v>
      </c>
      <c r="AZ2377" t="s">
        <v>51</v>
      </c>
      <c r="BA2377" t="s">
        <v>52</v>
      </c>
      <c r="BL2377" t="s">
        <v>63</v>
      </c>
    </row>
    <row r="2378" spans="1:69" x14ac:dyDescent="0.2">
      <c r="A2378" t="s">
        <v>8390</v>
      </c>
      <c r="B2378" t="s">
        <v>3346</v>
      </c>
      <c r="C2378" t="s">
        <v>6116</v>
      </c>
      <c r="D2378" t="s">
        <v>8420</v>
      </c>
      <c r="E2378" t="s">
        <v>8421</v>
      </c>
      <c r="F2378" t="s">
        <v>180</v>
      </c>
      <c r="G2378" t="str">
        <f>HYPERLINK("https://www.ozon.ru/context/detail/id/202443919/#59002875")</f>
        <v>https://www.ozon.ru/context/detail/id/202443919/#59002875</v>
      </c>
      <c r="H2378" t="s">
        <v>119</v>
      </c>
      <c r="I2378" t="s">
        <v>8422</v>
      </c>
      <c r="J2378" t="str">
        <f>HYPERLINK("https://www.ozon.ru/context/client_opinion/ClientGuid/4c54f7dc-c742-4aed-82b8-30df64ad0d55/")</f>
        <v>https://www.ozon.ru/context/client_opinion/ClientGuid/4c54f7dc-c742-4aed-82b8-30df64ad0d55/</v>
      </c>
      <c r="L2378" t="s">
        <v>121</v>
      </c>
      <c r="N2378" t="s">
        <v>183</v>
      </c>
      <c r="O2378" t="s">
        <v>8420</v>
      </c>
      <c r="P2378" t="str">
        <f>HYPERLINK("https://www.ozon.ru/context/detail/id/202443919/")</f>
        <v>https://www.ozon.ru/context/detail/id/202443919/</v>
      </c>
      <c r="R2378" t="s">
        <v>184</v>
      </c>
      <c r="S2378" t="s">
        <v>125</v>
      </c>
      <c r="W2378">
        <v>1</v>
      </c>
      <c r="X2378">
        <v>1</v>
      </c>
      <c r="AH2378">
        <v>4</v>
      </c>
      <c r="AM2378" t="s">
        <v>129</v>
      </c>
      <c r="AN2378" t="s">
        <v>130</v>
      </c>
      <c r="AP2378" t="s">
        <v>41</v>
      </c>
      <c r="AT2378" t="s">
        <v>45</v>
      </c>
      <c r="AZ2378" t="s">
        <v>51</v>
      </c>
      <c r="BA2378" t="s">
        <v>52</v>
      </c>
    </row>
    <row r="2379" spans="1:69" x14ac:dyDescent="0.2">
      <c r="A2379" t="s">
        <v>8390</v>
      </c>
      <c r="B2379" t="s">
        <v>4628</v>
      </c>
      <c r="C2379" t="s">
        <v>8423</v>
      </c>
      <c r="D2379" t="s">
        <v>8424</v>
      </c>
      <c r="E2379" t="s">
        <v>8425</v>
      </c>
      <c r="F2379" t="s">
        <v>180</v>
      </c>
      <c r="G2379" t="str">
        <f>HYPERLINK("https://telesputnik.ru/forum/viewtopic.php?f=37&amp;t=42441&amp;start=1360#p2480342")</f>
        <v>https://telesputnik.ru/forum/viewtopic.php?f=37&amp;t=42441&amp;start=1360#p2480342</v>
      </c>
      <c r="H2379" t="s">
        <v>119</v>
      </c>
      <c r="I2379" t="s">
        <v>334</v>
      </c>
      <c r="J2379" t="str">
        <f>HYPERLINK("https://telesputnik.ru/forum/memberlist.php?mode=viewprofile&amp;u=330723")</f>
        <v>https://telesputnik.ru/forum/memberlist.php?mode=viewprofile&amp;u=330723</v>
      </c>
      <c r="N2379" t="s">
        <v>335</v>
      </c>
      <c r="O2379" t="s">
        <v>8004</v>
      </c>
      <c r="P2379" t="str">
        <f>HYPERLINK("https://telesputnik.ru/forum/viewforum.php?f=37")</f>
        <v>https://telesputnik.ru/forum/viewforum.php?f=37</v>
      </c>
      <c r="R2379" t="s">
        <v>295</v>
      </c>
      <c r="S2379" t="s">
        <v>125</v>
      </c>
      <c r="AM2379" t="s">
        <v>129</v>
      </c>
      <c r="AN2379" t="s">
        <v>130</v>
      </c>
      <c r="AP2379" t="s">
        <v>41</v>
      </c>
      <c r="AZ2379" t="s">
        <v>51</v>
      </c>
      <c r="BA2379" t="s">
        <v>52</v>
      </c>
      <c r="BL2379" t="s">
        <v>63</v>
      </c>
    </row>
    <row r="2380" spans="1:69" x14ac:dyDescent="0.2">
      <c r="A2380" t="s">
        <v>8390</v>
      </c>
      <c r="B2380" t="s">
        <v>5061</v>
      </c>
      <c r="C2380" t="s">
        <v>8426</v>
      </c>
      <c r="D2380" t="s">
        <v>204</v>
      </c>
      <c r="E2380" t="s">
        <v>6834</v>
      </c>
      <c r="F2380" t="s">
        <v>180</v>
      </c>
      <c r="G2380" t="str">
        <f>HYPERLINK("https://play.google.com/store/apps/details?id=ru.iflex.android.a3colortv&amp;reviewId=gp:AOqpTOFIjHjaNjnSVyeNN64aWLSy7sTIlSYavQYZwFw0QjdsqcdOF7Of4I30KpzQuoPGDhDBim5yWxelYQHULQ")</f>
        <v>https://play.google.com/store/apps/details?id=ru.iflex.android.a3colortv&amp;reviewId=gp:AOqpTOFIjHjaNjnSVyeNN64aWLSy7sTIlSYavQYZwFw0QjdsqcdOF7Of4I30KpzQuoPGDhDBim5yWxelYQHULQ</v>
      </c>
      <c r="H2380" t="s">
        <v>181</v>
      </c>
      <c r="I2380" t="s">
        <v>8427</v>
      </c>
      <c r="J2380" t="str">
        <f>HYPERLINK("https://plus.google.com/115335163412888437565")</f>
        <v>https://plus.google.com/115335163412888437565</v>
      </c>
      <c r="N2380" t="s">
        <v>207</v>
      </c>
      <c r="O2380" t="s">
        <v>204</v>
      </c>
      <c r="P2380" t="str">
        <f>HYPERLINK("https://play.google.com/store/apps/details?id=ru.iflex.android.a3colortv&amp;hl=ru")</f>
        <v>https://play.google.com/store/apps/details?id=ru.iflex.android.a3colortv&amp;hl=ru</v>
      </c>
      <c r="R2380" t="s">
        <v>184</v>
      </c>
      <c r="S2380" t="s">
        <v>125</v>
      </c>
      <c r="W2380">
        <v>0</v>
      </c>
      <c r="X2380">
        <v>0</v>
      </c>
      <c r="AH2380">
        <v>5</v>
      </c>
      <c r="AM2380" t="s">
        <v>129</v>
      </c>
      <c r="AN2380" t="s">
        <v>130</v>
      </c>
      <c r="AP2380" t="s">
        <v>41</v>
      </c>
      <c r="AZ2380" t="s">
        <v>51</v>
      </c>
      <c r="BA2380" t="s">
        <v>52</v>
      </c>
      <c r="BQ2380" t="s">
        <v>68</v>
      </c>
    </row>
    <row r="2381" spans="1:69" x14ac:dyDescent="0.2">
      <c r="A2381" t="s">
        <v>8390</v>
      </c>
      <c r="B2381" t="s">
        <v>1348</v>
      </c>
      <c r="C2381" t="s">
        <v>8426</v>
      </c>
      <c r="D2381" t="s">
        <v>204</v>
      </c>
      <c r="E2381" t="s">
        <v>8428</v>
      </c>
      <c r="F2381" t="s">
        <v>180</v>
      </c>
      <c r="G2381" t="str">
        <f>HYPERLINK("https://play.google.com/store/apps/details?id=ru.iflex.android.a3colortv&amp;reviewId=gp:AOqpTOErmSyIzphdULyRq59_1vpRIVjV3ZBvnrmfrG82bXXV39H5NpxGCCQ8l92V5wj3YSRzEMjdGPpZ15go9A")</f>
        <v>https://play.google.com/store/apps/details?id=ru.iflex.android.a3colortv&amp;reviewId=gp:AOqpTOErmSyIzphdULyRq59_1vpRIVjV3ZBvnrmfrG82bXXV39H5NpxGCCQ8l92V5wj3YSRzEMjdGPpZ15go9A</v>
      </c>
      <c r="H2381" t="s">
        <v>228</v>
      </c>
      <c r="I2381" t="s">
        <v>8429</v>
      </c>
      <c r="J2381" t="str">
        <f>HYPERLINK("https://plus.google.com/100363063266940923631")</f>
        <v>https://plus.google.com/100363063266940923631</v>
      </c>
      <c r="L2381" t="s">
        <v>121</v>
      </c>
      <c r="N2381" t="s">
        <v>207</v>
      </c>
      <c r="O2381" t="s">
        <v>204</v>
      </c>
      <c r="P2381" t="str">
        <f>HYPERLINK("https://play.google.com/store/apps/details?id=ru.iflex.android.a3colortv&amp;hl=ru")</f>
        <v>https://play.google.com/store/apps/details?id=ru.iflex.android.a3colortv&amp;hl=ru</v>
      </c>
      <c r="R2381" t="s">
        <v>184</v>
      </c>
      <c r="S2381" t="s">
        <v>125</v>
      </c>
      <c r="W2381">
        <v>0</v>
      </c>
      <c r="X2381">
        <v>0</v>
      </c>
      <c r="AH2381">
        <v>1</v>
      </c>
      <c r="AM2381" t="s">
        <v>129</v>
      </c>
      <c r="AN2381" t="s">
        <v>130</v>
      </c>
      <c r="AP2381" t="s">
        <v>41</v>
      </c>
      <c r="AZ2381" t="s">
        <v>51</v>
      </c>
      <c r="BA2381" t="s">
        <v>52</v>
      </c>
      <c r="BQ2381" t="s">
        <v>68</v>
      </c>
    </row>
    <row r="2382" spans="1:69" x14ac:dyDescent="0.2">
      <c r="A2382" t="s">
        <v>8390</v>
      </c>
      <c r="B2382" t="s">
        <v>1348</v>
      </c>
      <c r="C2382" t="s">
        <v>8430</v>
      </c>
      <c r="D2382" t="s">
        <v>8431</v>
      </c>
      <c r="E2382" t="s">
        <v>8432</v>
      </c>
      <c r="F2382" t="s">
        <v>118</v>
      </c>
      <c r="G2382" t="str">
        <f>HYPERLINK("https://vk.com/wall-31092713_226800?reply=226846")</f>
        <v>https://vk.com/wall-31092713_226800?reply=226846</v>
      </c>
      <c r="H2382" t="s">
        <v>181</v>
      </c>
      <c r="I2382" t="s">
        <v>8433</v>
      </c>
      <c r="J2382" t="str">
        <f>HYPERLINK("http://vk.com/id10913488")</f>
        <v>http://vk.com/id10913488</v>
      </c>
      <c r="K2382">
        <v>315</v>
      </c>
      <c r="L2382" t="s">
        <v>121</v>
      </c>
      <c r="M2382">
        <v>43</v>
      </c>
      <c r="N2382" t="s">
        <v>122</v>
      </c>
      <c r="O2382" t="s">
        <v>8434</v>
      </c>
      <c r="P2382" t="str">
        <f>HYPERLINK("http://vk.com/club31092713")</f>
        <v>http://vk.com/club31092713</v>
      </c>
      <c r="Q2382">
        <v>29098</v>
      </c>
      <c r="R2382" t="s">
        <v>124</v>
      </c>
      <c r="S2382" t="s">
        <v>125</v>
      </c>
      <c r="T2382" t="s">
        <v>1283</v>
      </c>
      <c r="U2382" t="s">
        <v>8435</v>
      </c>
      <c r="AM2382" t="s">
        <v>129</v>
      </c>
      <c r="AN2382" t="s">
        <v>130</v>
      </c>
      <c r="AP2382" t="s">
        <v>41</v>
      </c>
      <c r="AZ2382" t="s">
        <v>51</v>
      </c>
      <c r="BA2382" t="s">
        <v>52</v>
      </c>
    </row>
    <row r="2383" spans="1:69" x14ac:dyDescent="0.2">
      <c r="A2383" t="s">
        <v>8390</v>
      </c>
      <c r="B2383" t="s">
        <v>2384</v>
      </c>
      <c r="C2383" t="s">
        <v>8436</v>
      </c>
      <c r="D2383" t="s">
        <v>129</v>
      </c>
      <c r="E2383" t="s">
        <v>8437</v>
      </c>
      <c r="F2383" t="s">
        <v>180</v>
      </c>
      <c r="G2383" t="str">
        <f>HYPERLINK("https://vk.com/wall135808_5797")</f>
        <v>https://vk.com/wall135808_5797</v>
      </c>
      <c r="H2383" t="s">
        <v>119</v>
      </c>
      <c r="I2383" t="s">
        <v>8438</v>
      </c>
      <c r="J2383" t="str">
        <f>HYPERLINK("http://vk.com/id135808")</f>
        <v>http://vk.com/id135808</v>
      </c>
      <c r="K2383">
        <v>367</v>
      </c>
      <c r="L2383" t="s">
        <v>121</v>
      </c>
      <c r="N2383" t="s">
        <v>122</v>
      </c>
      <c r="O2383" t="s">
        <v>8438</v>
      </c>
      <c r="P2383" t="str">
        <f>HYPERLINK("http://vk.com/id135808")</f>
        <v>http://vk.com/id135808</v>
      </c>
      <c r="Q2383">
        <v>367</v>
      </c>
      <c r="R2383" t="s">
        <v>124</v>
      </c>
      <c r="S2383" t="s">
        <v>125</v>
      </c>
      <c r="T2383" t="s">
        <v>169</v>
      </c>
      <c r="U2383" t="s">
        <v>169</v>
      </c>
      <c r="W2383">
        <v>45</v>
      </c>
      <c r="X2383">
        <v>45</v>
      </c>
      <c r="AE2383">
        <v>20</v>
      </c>
      <c r="AF2383">
        <v>9</v>
      </c>
      <c r="AG2383">
        <v>793</v>
      </c>
      <c r="AM2383" t="s">
        <v>129</v>
      </c>
      <c r="AN2383" t="s">
        <v>130</v>
      </c>
      <c r="AP2383" t="s">
        <v>41</v>
      </c>
      <c r="AW2383" t="s">
        <v>48</v>
      </c>
      <c r="AZ2383" t="s">
        <v>51</v>
      </c>
      <c r="BA2383" t="s">
        <v>52</v>
      </c>
    </row>
    <row r="2384" spans="1:69" x14ac:dyDescent="0.2">
      <c r="A2384" t="s">
        <v>8390</v>
      </c>
      <c r="B2384" t="s">
        <v>836</v>
      </c>
      <c r="C2384" t="s">
        <v>8439</v>
      </c>
      <c r="D2384" t="s">
        <v>204</v>
      </c>
      <c r="E2384" t="s">
        <v>8440</v>
      </c>
      <c r="F2384" t="s">
        <v>180</v>
      </c>
      <c r="G2384" t="str">
        <f>HYPERLINK("https://play.google.com/store/apps/details?id=ru.iflex.android.a3colortv&amp;reviewId=gp:AOqpTOFOR7CozP56-4V8Yq1MmLsIJ-RbWiSzZ3mVJ1VTjhqh-K5etKo3er8tvv-8kgo5DGpp1JeNAFFzmb5-Zw")</f>
        <v>https://play.google.com/store/apps/details?id=ru.iflex.android.a3colortv&amp;reviewId=gp:AOqpTOFOR7CozP56-4V8Yq1MmLsIJ-RbWiSzZ3mVJ1VTjhqh-K5etKo3er8tvv-8kgo5DGpp1JeNAFFzmb5-Zw</v>
      </c>
      <c r="H2384" t="s">
        <v>181</v>
      </c>
      <c r="I2384" t="s">
        <v>8441</v>
      </c>
      <c r="J2384" t="str">
        <f>HYPERLINK("https://plus.google.com/117489677180272373148")</f>
        <v>https://plus.google.com/117489677180272373148</v>
      </c>
      <c r="L2384" t="s">
        <v>121</v>
      </c>
      <c r="N2384" t="s">
        <v>207</v>
      </c>
      <c r="O2384" t="s">
        <v>204</v>
      </c>
      <c r="P2384" t="str">
        <f>HYPERLINK("https://play.google.com/store/apps/details?id=ru.iflex.android.a3colortv&amp;hl=ru")</f>
        <v>https://play.google.com/store/apps/details?id=ru.iflex.android.a3colortv&amp;hl=ru</v>
      </c>
      <c r="R2384" t="s">
        <v>184</v>
      </c>
      <c r="S2384" t="s">
        <v>125</v>
      </c>
      <c r="W2384">
        <v>0</v>
      </c>
      <c r="X2384">
        <v>0</v>
      </c>
      <c r="AH2384">
        <v>5</v>
      </c>
      <c r="AM2384" t="s">
        <v>129</v>
      </c>
      <c r="AN2384" t="s">
        <v>130</v>
      </c>
      <c r="AP2384" t="s">
        <v>41</v>
      </c>
      <c r="AZ2384" t="s">
        <v>51</v>
      </c>
      <c r="BA2384" t="s">
        <v>52</v>
      </c>
      <c r="BQ2384" t="s">
        <v>68</v>
      </c>
    </row>
    <row r="2385" spans="1:69" x14ac:dyDescent="0.2">
      <c r="A2385" t="s">
        <v>8390</v>
      </c>
      <c r="B2385" t="s">
        <v>5569</v>
      </c>
      <c r="C2385" t="s">
        <v>8442</v>
      </c>
      <c r="D2385" t="s">
        <v>8443</v>
      </c>
      <c r="E2385" t="s">
        <v>8444</v>
      </c>
      <c r="F2385" t="s">
        <v>118</v>
      </c>
      <c r="G2385" t="str">
        <f>HYPERLINK("https://vk.com/wall-22935147_368335?w=wall-22935147_368335_r368339")</f>
        <v>https://vk.com/wall-22935147_368335?w=wall-22935147_368335_r368339</v>
      </c>
      <c r="H2385" t="s">
        <v>181</v>
      </c>
      <c r="I2385" t="s">
        <v>8445</v>
      </c>
      <c r="J2385" t="str">
        <f>HYPERLINK("http://vk.com/id184794776")</f>
        <v>http://vk.com/id184794776</v>
      </c>
      <c r="K2385">
        <v>356</v>
      </c>
      <c r="L2385" t="s">
        <v>121</v>
      </c>
      <c r="M2385">
        <v>33</v>
      </c>
      <c r="N2385" t="s">
        <v>122</v>
      </c>
      <c r="O2385" t="s">
        <v>1093</v>
      </c>
      <c r="P2385" t="str">
        <f>HYPERLINK("http://vk.com/club22935147")</f>
        <v>http://vk.com/club22935147</v>
      </c>
      <c r="Q2385">
        <v>8943</v>
      </c>
      <c r="R2385" t="s">
        <v>124</v>
      </c>
      <c r="S2385" t="s">
        <v>125</v>
      </c>
      <c r="T2385" t="s">
        <v>372</v>
      </c>
      <c r="U2385" t="s">
        <v>8446</v>
      </c>
      <c r="W2385">
        <v>0</v>
      </c>
      <c r="X2385">
        <v>0</v>
      </c>
      <c r="AM2385" t="s">
        <v>129</v>
      </c>
      <c r="AN2385" t="s">
        <v>130</v>
      </c>
      <c r="AP2385" t="s">
        <v>41</v>
      </c>
      <c r="AU2385" t="s">
        <v>46</v>
      </c>
      <c r="AZ2385" t="s">
        <v>51</v>
      </c>
      <c r="BA2385" t="s">
        <v>52</v>
      </c>
    </row>
    <row r="2386" spans="1:69" x14ac:dyDescent="0.2">
      <c r="A2386" t="s">
        <v>8390</v>
      </c>
      <c r="B2386" t="s">
        <v>2406</v>
      </c>
      <c r="C2386" t="s">
        <v>8447</v>
      </c>
      <c r="D2386" t="s">
        <v>3388</v>
      </c>
      <c r="E2386" t="s">
        <v>8448</v>
      </c>
      <c r="F2386" t="s">
        <v>180</v>
      </c>
      <c r="G2386" t="str">
        <f>HYPERLINK("https://www.wildberries.ru/catalog/25365834/detail.aspx?targetUrl=ES#Comments")</f>
        <v>https://www.wildberries.ru/catalog/25365834/detail.aspx?targetUrl=ES#Comments</v>
      </c>
      <c r="H2386" t="s">
        <v>119</v>
      </c>
      <c r="I2386" t="s">
        <v>1551</v>
      </c>
      <c r="J2386" t="str">
        <f>HYPERLINK("https://www.wildberries.ru/profile/w7TDssOkw7PCu8KywrnCuMKywrLCtsK5wrg=")</f>
        <v>https://www.wildberries.ru/profile/w7TDssOkw7PCu8KywrnCuMKywrLCtsK5wrg=</v>
      </c>
      <c r="L2386" t="s">
        <v>121</v>
      </c>
      <c r="N2386" t="s">
        <v>534</v>
      </c>
      <c r="O2386" t="s">
        <v>3388</v>
      </c>
      <c r="P2386" t="str">
        <f>HYPERLINK("https://www.wildberries.ru/catalog/18682734/detail.aspx")</f>
        <v>https://www.wildberries.ru/catalog/18682734/detail.aspx</v>
      </c>
      <c r="R2386" t="s">
        <v>184</v>
      </c>
      <c r="S2386" t="s">
        <v>125</v>
      </c>
      <c r="W2386">
        <v>0</v>
      </c>
      <c r="X2386">
        <v>0</v>
      </c>
      <c r="AH2386">
        <v>1</v>
      </c>
      <c r="AM2386" t="s">
        <v>129</v>
      </c>
      <c r="AN2386" t="s">
        <v>130</v>
      </c>
      <c r="AP2386" t="s">
        <v>41</v>
      </c>
      <c r="AT2386" t="s">
        <v>45</v>
      </c>
      <c r="AZ2386" t="s">
        <v>51</v>
      </c>
      <c r="BA2386" t="s">
        <v>52</v>
      </c>
    </row>
    <row r="2387" spans="1:69" x14ac:dyDescent="0.2">
      <c r="A2387" t="s">
        <v>8390</v>
      </c>
      <c r="B2387" t="s">
        <v>281</v>
      </c>
      <c r="C2387" t="s">
        <v>8449</v>
      </c>
      <c r="D2387" t="s">
        <v>7374</v>
      </c>
      <c r="E2387" t="s">
        <v>8450</v>
      </c>
      <c r="F2387" t="s">
        <v>180</v>
      </c>
      <c r="G2387" t="str">
        <f>HYPERLINK("https://ok.ru/group/51085510115462/topic/153438963082630")</f>
        <v>https://ok.ru/group/51085510115462/topic/153438963082630</v>
      </c>
      <c r="H2387" t="s">
        <v>119</v>
      </c>
      <c r="I2387" t="s">
        <v>175</v>
      </c>
      <c r="J2387" t="str">
        <f>HYPERLINK("https://ok.ru/group/51085510115462")</f>
        <v>https://ok.ru/group/51085510115462</v>
      </c>
      <c r="K2387">
        <v>94768</v>
      </c>
      <c r="L2387" t="s">
        <v>340</v>
      </c>
      <c r="N2387" t="s">
        <v>347</v>
      </c>
      <c r="O2387" t="s">
        <v>175</v>
      </c>
      <c r="P2387" t="str">
        <f>HYPERLINK("https://ok.ru/group/51085510115462")</f>
        <v>https://ok.ru/group/51085510115462</v>
      </c>
      <c r="Q2387">
        <v>94768</v>
      </c>
      <c r="R2387" t="s">
        <v>124</v>
      </c>
      <c r="W2387">
        <v>27</v>
      </c>
      <c r="X2387">
        <v>27</v>
      </c>
      <c r="Y2387">
        <v>0</v>
      </c>
      <c r="Z2387">
        <v>0</v>
      </c>
      <c r="AA2387">
        <v>0</v>
      </c>
      <c r="AB2387">
        <v>0</v>
      </c>
      <c r="AE2387">
        <v>0</v>
      </c>
      <c r="AF2387">
        <v>4</v>
      </c>
      <c r="AJ2387" t="s">
        <v>875</v>
      </c>
      <c r="AK2387" t="s">
        <v>129</v>
      </c>
      <c r="AL2387" t="str">
        <f>HYPERLINK("https://i.mycdn.me/image?id=918448705414&amp;t=20&amp;plc=API&amp;aid=1131601408&amp;tkn=*5o9MxqCXwOEZcwlmUeZcCyIDsXg")</f>
        <v>https://i.mycdn.me/image?id=918448705414&amp;t=20&amp;plc=API&amp;aid=1131601408&amp;tkn=*5o9MxqCXwOEZcwlmUeZcCyIDsXg</v>
      </c>
      <c r="AM2387" t="s">
        <v>129</v>
      </c>
      <c r="AN2387" t="s">
        <v>130</v>
      </c>
      <c r="BI2387" t="s">
        <v>60</v>
      </c>
    </row>
    <row r="2388" spans="1:69" x14ac:dyDescent="0.2">
      <c r="A2388" t="s">
        <v>8390</v>
      </c>
      <c r="B2388" t="s">
        <v>281</v>
      </c>
      <c r="C2388" t="s">
        <v>8451</v>
      </c>
      <c r="D2388" t="s">
        <v>129</v>
      </c>
      <c r="E2388" t="s">
        <v>8450</v>
      </c>
      <c r="F2388" t="s">
        <v>180</v>
      </c>
      <c r="G2388" t="str">
        <f>HYPERLINK("https://www.facebook.com/tricolortv/posts/4079167962137443")</f>
        <v>https://www.facebook.com/tricolortv/posts/4079167962137443</v>
      </c>
      <c r="H2388" t="s">
        <v>119</v>
      </c>
      <c r="I2388" t="s">
        <v>175</v>
      </c>
      <c r="J2388" t="str">
        <f>HYPERLINK("https://www.facebook.com/206198386101106")</f>
        <v>https://www.facebook.com/206198386101106</v>
      </c>
      <c r="K2388">
        <v>16432</v>
      </c>
      <c r="L2388" t="s">
        <v>340</v>
      </c>
      <c r="N2388" t="s">
        <v>305</v>
      </c>
      <c r="O2388" t="s">
        <v>175</v>
      </c>
      <c r="P2388" t="str">
        <f>HYPERLINK("https://www.facebook.com/206198386101106")</f>
        <v>https://www.facebook.com/206198386101106</v>
      </c>
      <c r="Q2388">
        <v>16432</v>
      </c>
      <c r="R2388" t="s">
        <v>124</v>
      </c>
      <c r="W2388">
        <v>3</v>
      </c>
      <c r="X2388">
        <v>2</v>
      </c>
      <c r="Y2388">
        <v>0</v>
      </c>
      <c r="Z2388">
        <v>0</v>
      </c>
      <c r="AA2388">
        <v>1</v>
      </c>
      <c r="AB2388">
        <v>0</v>
      </c>
      <c r="AC2388">
        <v>0</v>
      </c>
      <c r="AE2388">
        <v>0</v>
      </c>
      <c r="AF2388">
        <v>0</v>
      </c>
      <c r="AJ2388" t="s">
        <v>875</v>
      </c>
      <c r="AK2388" t="s">
        <v>129</v>
      </c>
      <c r="AL2388" t="s">
        <v>8452</v>
      </c>
      <c r="AM2388" t="s">
        <v>129</v>
      </c>
      <c r="AN2388" t="s">
        <v>130</v>
      </c>
      <c r="BI2388" t="s">
        <v>60</v>
      </c>
    </row>
    <row r="2389" spans="1:69" x14ac:dyDescent="0.2">
      <c r="A2389" t="s">
        <v>8390</v>
      </c>
      <c r="B2389" t="s">
        <v>8453</v>
      </c>
      <c r="C2389" t="s">
        <v>8454</v>
      </c>
      <c r="D2389" t="s">
        <v>204</v>
      </c>
      <c r="E2389" t="s">
        <v>8455</v>
      </c>
      <c r="F2389" t="s">
        <v>180</v>
      </c>
      <c r="G2389" t="str">
        <f>HYPERLINK("https://play.google.com/store/apps/details?id=ru.iflex.android.a3colortv&amp;reviewId=gp:AOqpTOGg0E7A1vMqChAJfAVjm8WnMfmxC-QYVZf_O4xfef_HoCgfmmC5SDcyJYs30HyDtTAM93gjwOUii_61jA")</f>
        <v>https://play.google.com/store/apps/details?id=ru.iflex.android.a3colortv&amp;reviewId=gp:AOqpTOGg0E7A1vMqChAJfAVjm8WnMfmxC-QYVZf_O4xfef_HoCgfmmC5SDcyJYs30HyDtTAM93gjwOUii_61jA</v>
      </c>
      <c r="H2389" t="s">
        <v>228</v>
      </c>
      <c r="I2389" t="s">
        <v>8456</v>
      </c>
      <c r="J2389" t="str">
        <f>HYPERLINK("https://plus.google.com/101178794235972943948")</f>
        <v>https://plus.google.com/101178794235972943948</v>
      </c>
      <c r="K2389">
        <v>0</v>
      </c>
      <c r="N2389" t="s">
        <v>207</v>
      </c>
      <c r="O2389" t="s">
        <v>204</v>
      </c>
      <c r="P2389" t="str">
        <f>HYPERLINK("https://play.google.com/store/apps/details?id=ru.iflex.android.a3colortv&amp;hl=ru")</f>
        <v>https://play.google.com/store/apps/details?id=ru.iflex.android.a3colortv&amp;hl=ru</v>
      </c>
      <c r="R2389" t="s">
        <v>184</v>
      </c>
      <c r="S2389" t="s">
        <v>125</v>
      </c>
      <c r="W2389">
        <v>2</v>
      </c>
      <c r="X2389">
        <v>2</v>
      </c>
      <c r="AH2389">
        <v>1</v>
      </c>
      <c r="AM2389" t="s">
        <v>129</v>
      </c>
      <c r="AN2389" t="s">
        <v>130</v>
      </c>
      <c r="AP2389" t="s">
        <v>41</v>
      </c>
      <c r="AW2389" t="s">
        <v>48</v>
      </c>
      <c r="AZ2389" t="s">
        <v>51</v>
      </c>
      <c r="BA2389" t="s">
        <v>52</v>
      </c>
      <c r="BQ2389" t="s">
        <v>68</v>
      </c>
    </row>
    <row r="2390" spans="1:69" x14ac:dyDescent="0.2">
      <c r="A2390" t="s">
        <v>8390</v>
      </c>
      <c r="B2390" t="s">
        <v>8453</v>
      </c>
      <c r="C2390" t="s">
        <v>8457</v>
      </c>
      <c r="D2390" t="s">
        <v>8443</v>
      </c>
      <c r="E2390" t="s">
        <v>8458</v>
      </c>
      <c r="F2390" t="s">
        <v>118</v>
      </c>
      <c r="G2390" t="str">
        <f>HYPERLINK("https://vk.com/wall-22935147_368335?reply=368337")</f>
        <v>https://vk.com/wall-22935147_368335?reply=368337</v>
      </c>
      <c r="H2390" t="s">
        <v>181</v>
      </c>
      <c r="I2390" t="s">
        <v>4987</v>
      </c>
      <c r="J2390" t="str">
        <f>HYPERLINK("http://vk.com/id2397772")</f>
        <v>http://vk.com/id2397772</v>
      </c>
      <c r="K2390">
        <v>99</v>
      </c>
      <c r="L2390" t="s">
        <v>121</v>
      </c>
      <c r="N2390" t="s">
        <v>122</v>
      </c>
      <c r="O2390" t="s">
        <v>1093</v>
      </c>
      <c r="P2390" t="str">
        <f>HYPERLINK("http://vk.com/club22935147")</f>
        <v>http://vk.com/club22935147</v>
      </c>
      <c r="Q2390">
        <v>8943</v>
      </c>
      <c r="R2390" t="s">
        <v>124</v>
      </c>
      <c r="S2390" t="s">
        <v>125</v>
      </c>
      <c r="T2390" t="s">
        <v>2225</v>
      </c>
      <c r="U2390" t="s">
        <v>2861</v>
      </c>
      <c r="AM2390" t="s">
        <v>129</v>
      </c>
      <c r="AN2390" t="s">
        <v>130</v>
      </c>
      <c r="AP2390" t="s">
        <v>41</v>
      </c>
      <c r="AT2390" t="s">
        <v>45</v>
      </c>
      <c r="AZ2390" t="s">
        <v>51</v>
      </c>
      <c r="BA2390" t="s">
        <v>52</v>
      </c>
      <c r="BQ2390" t="s">
        <v>68</v>
      </c>
    </row>
    <row r="2391" spans="1:69" x14ac:dyDescent="0.2">
      <c r="A2391" t="s">
        <v>8390</v>
      </c>
      <c r="B2391" t="s">
        <v>2965</v>
      </c>
      <c r="C2391" t="s">
        <v>6454</v>
      </c>
      <c r="D2391" t="s">
        <v>8459</v>
      </c>
      <c r="E2391" t="s">
        <v>8460</v>
      </c>
      <c r="F2391" t="s">
        <v>180</v>
      </c>
      <c r="G2391" t="str">
        <f>HYPERLINK("https://www.ozon.ru/context/detail/id/180483129/#58974098")</f>
        <v>https://www.ozon.ru/context/detail/id/180483129/#58974098</v>
      </c>
      <c r="H2391" t="s">
        <v>228</v>
      </c>
      <c r="I2391" t="s">
        <v>8461</v>
      </c>
      <c r="J2391" t="str">
        <f>HYPERLINK("https://www.ozon.ru/context/client_opinion/ClientGuid/366bcc6b-6de0-491b-98f8-052896835ffd/")</f>
        <v>https://www.ozon.ru/context/client_opinion/ClientGuid/366bcc6b-6de0-491b-98f8-052896835ffd/</v>
      </c>
      <c r="L2391" t="s">
        <v>151</v>
      </c>
      <c r="N2391" t="s">
        <v>183</v>
      </c>
      <c r="O2391" t="s">
        <v>8459</v>
      </c>
      <c r="P2391" t="str">
        <f>HYPERLINK("https://www.ozon.ru/context/detail/id/180483129/")</f>
        <v>https://www.ozon.ru/context/detail/id/180483129/</v>
      </c>
      <c r="R2391" t="s">
        <v>184</v>
      </c>
      <c r="S2391" t="s">
        <v>125</v>
      </c>
      <c r="W2391">
        <v>0</v>
      </c>
      <c r="X2391">
        <v>0</v>
      </c>
      <c r="AH2391">
        <v>3</v>
      </c>
      <c r="AM2391" t="s">
        <v>129</v>
      </c>
      <c r="AN2391" t="s">
        <v>130</v>
      </c>
      <c r="AP2391" t="s">
        <v>41</v>
      </c>
      <c r="AZ2391" t="s">
        <v>51</v>
      </c>
      <c r="BA2391" t="s">
        <v>52</v>
      </c>
      <c r="BK2391" t="s">
        <v>62</v>
      </c>
      <c r="BL2391" t="s">
        <v>63</v>
      </c>
    </row>
    <row r="2392" spans="1:69" x14ac:dyDescent="0.2">
      <c r="A2392" t="s">
        <v>8390</v>
      </c>
      <c r="B2392" t="s">
        <v>2993</v>
      </c>
      <c r="C2392" t="s">
        <v>8462</v>
      </c>
      <c r="D2392" t="s">
        <v>7672</v>
      </c>
      <c r="E2392" t="s">
        <v>8463</v>
      </c>
      <c r="F2392" t="s">
        <v>118</v>
      </c>
      <c r="G2392" t="str">
        <f>HYPERLINK("https://vk.com/wall-22935147_368315?reply=368336")</f>
        <v>https://vk.com/wall-22935147_368315?reply=368336</v>
      </c>
      <c r="H2392" t="s">
        <v>119</v>
      </c>
      <c r="I2392" t="s">
        <v>1722</v>
      </c>
      <c r="J2392" t="str">
        <f>HYPERLINK("http://vk.com/id240644107")</f>
        <v>http://vk.com/id240644107</v>
      </c>
      <c r="K2392">
        <v>33</v>
      </c>
      <c r="L2392" t="s">
        <v>121</v>
      </c>
      <c r="N2392" t="s">
        <v>122</v>
      </c>
      <c r="O2392" t="s">
        <v>1093</v>
      </c>
      <c r="P2392" t="str">
        <f>HYPERLINK("http://vk.com/club22935147")</f>
        <v>http://vk.com/club22935147</v>
      </c>
      <c r="Q2392">
        <v>8943</v>
      </c>
      <c r="R2392" t="s">
        <v>124</v>
      </c>
      <c r="S2392" t="s">
        <v>125</v>
      </c>
      <c r="T2392" t="s">
        <v>169</v>
      </c>
      <c r="U2392" t="s">
        <v>169</v>
      </c>
      <c r="AM2392" t="s">
        <v>129</v>
      </c>
      <c r="AN2392" t="s">
        <v>130</v>
      </c>
      <c r="AP2392" t="s">
        <v>41</v>
      </c>
      <c r="AU2392" t="s">
        <v>46</v>
      </c>
      <c r="AZ2392" t="s">
        <v>51</v>
      </c>
      <c r="BA2392" t="s">
        <v>52</v>
      </c>
    </row>
    <row r="2393" spans="1:69" x14ac:dyDescent="0.2">
      <c r="A2393" t="s">
        <v>8390</v>
      </c>
      <c r="B2393" t="s">
        <v>5126</v>
      </c>
      <c r="C2393" t="s">
        <v>8464</v>
      </c>
      <c r="D2393" t="s">
        <v>8392</v>
      </c>
      <c r="E2393" t="s">
        <v>8465</v>
      </c>
      <c r="F2393" t="s">
        <v>118</v>
      </c>
      <c r="G2393" t="str">
        <f>HYPERLINK("https://vk.com/wall-27863223_291580?reply=291689&amp;thread=291586")</f>
        <v>https://vk.com/wall-27863223_291580?reply=291689&amp;thread=291586</v>
      </c>
      <c r="H2393" t="s">
        <v>119</v>
      </c>
      <c r="I2393" t="s">
        <v>8394</v>
      </c>
      <c r="J2393" t="str">
        <f>HYPERLINK("http://vk.com/id30057791")</f>
        <v>http://vk.com/id30057791</v>
      </c>
      <c r="K2393">
        <v>488</v>
      </c>
      <c r="L2393" t="s">
        <v>121</v>
      </c>
      <c r="N2393" t="s">
        <v>122</v>
      </c>
      <c r="O2393" t="s">
        <v>175</v>
      </c>
      <c r="P2393" t="str">
        <f>HYPERLINK("http://vk.com/club27863223")</f>
        <v>http://vk.com/club27863223</v>
      </c>
      <c r="Q2393">
        <v>134698</v>
      </c>
      <c r="R2393" t="s">
        <v>124</v>
      </c>
      <c r="S2393" t="s">
        <v>125</v>
      </c>
      <c r="T2393" t="s">
        <v>230</v>
      </c>
      <c r="U2393" t="s">
        <v>231</v>
      </c>
      <c r="AM2393" t="s">
        <v>129</v>
      </c>
      <c r="AN2393" t="s">
        <v>130</v>
      </c>
      <c r="AP2393" t="s">
        <v>41</v>
      </c>
      <c r="AZ2393" t="s">
        <v>51</v>
      </c>
      <c r="BA2393" t="s">
        <v>52</v>
      </c>
      <c r="BQ2393" t="s">
        <v>68</v>
      </c>
    </row>
    <row r="2394" spans="1:69" x14ac:dyDescent="0.2">
      <c r="A2394" t="s">
        <v>8390</v>
      </c>
      <c r="B2394" t="s">
        <v>8466</v>
      </c>
      <c r="C2394" t="s">
        <v>8467</v>
      </c>
      <c r="D2394" t="s">
        <v>8392</v>
      </c>
      <c r="E2394" t="s">
        <v>8468</v>
      </c>
      <c r="F2394" t="s">
        <v>118</v>
      </c>
      <c r="G2394" t="str">
        <f>HYPERLINK("https://vk.com/wall-27863223_291580?w=wall-27863223_291580_r291687")</f>
        <v>https://vk.com/wall-27863223_291580?w=wall-27863223_291580_r291687</v>
      </c>
      <c r="H2394" t="s">
        <v>119</v>
      </c>
      <c r="I2394" t="s">
        <v>8394</v>
      </c>
      <c r="J2394" t="str">
        <f>HYPERLINK("http://vk.com/id30057791")</f>
        <v>http://vk.com/id30057791</v>
      </c>
      <c r="K2394">
        <v>488</v>
      </c>
      <c r="L2394" t="s">
        <v>121</v>
      </c>
      <c r="N2394" t="s">
        <v>122</v>
      </c>
      <c r="O2394" t="s">
        <v>175</v>
      </c>
      <c r="P2394" t="str">
        <f>HYPERLINK("http://vk.com/club27863223")</f>
        <v>http://vk.com/club27863223</v>
      </c>
      <c r="Q2394">
        <v>134698</v>
      </c>
      <c r="R2394" t="s">
        <v>124</v>
      </c>
      <c r="S2394" t="s">
        <v>125</v>
      </c>
      <c r="T2394" t="s">
        <v>230</v>
      </c>
      <c r="U2394" t="s">
        <v>231</v>
      </c>
      <c r="W2394">
        <v>0</v>
      </c>
      <c r="X2394">
        <v>0</v>
      </c>
      <c r="AM2394" t="s">
        <v>129</v>
      </c>
      <c r="AN2394" t="s">
        <v>130</v>
      </c>
      <c r="AP2394" t="s">
        <v>41</v>
      </c>
      <c r="AU2394" t="s">
        <v>46</v>
      </c>
      <c r="AZ2394" t="s">
        <v>51</v>
      </c>
      <c r="BA2394" t="s">
        <v>52</v>
      </c>
    </row>
    <row r="2395" spans="1:69" x14ac:dyDescent="0.2">
      <c r="A2395" t="s">
        <v>8390</v>
      </c>
      <c r="B2395" t="s">
        <v>2474</v>
      </c>
      <c r="C2395" t="s">
        <v>8469</v>
      </c>
      <c r="D2395" t="s">
        <v>129</v>
      </c>
      <c r="E2395" t="s">
        <v>8470</v>
      </c>
      <c r="F2395" t="s">
        <v>180</v>
      </c>
      <c r="G2395" t="str">
        <f>HYPERLINK("https://vk.com/wall-22935147_368335")</f>
        <v>https://vk.com/wall-22935147_368335</v>
      </c>
      <c r="H2395" t="s">
        <v>119</v>
      </c>
      <c r="I2395" t="s">
        <v>8445</v>
      </c>
      <c r="J2395" t="str">
        <f>HYPERLINK("http://vk.com/id184794776")</f>
        <v>http://vk.com/id184794776</v>
      </c>
      <c r="K2395">
        <v>356</v>
      </c>
      <c r="L2395" t="s">
        <v>121</v>
      </c>
      <c r="M2395">
        <v>33</v>
      </c>
      <c r="N2395" t="s">
        <v>122</v>
      </c>
      <c r="O2395" t="s">
        <v>1093</v>
      </c>
      <c r="P2395" t="str">
        <f>HYPERLINK("http://vk.com/club22935147")</f>
        <v>http://vk.com/club22935147</v>
      </c>
      <c r="Q2395">
        <v>8943</v>
      </c>
      <c r="R2395" t="s">
        <v>124</v>
      </c>
      <c r="S2395" t="s">
        <v>125</v>
      </c>
      <c r="T2395" t="s">
        <v>372</v>
      </c>
      <c r="U2395" t="s">
        <v>8446</v>
      </c>
      <c r="W2395">
        <v>10</v>
      </c>
      <c r="X2395">
        <v>10</v>
      </c>
      <c r="AE2395">
        <v>2</v>
      </c>
      <c r="AF2395">
        <v>0</v>
      </c>
      <c r="AG2395">
        <v>1628</v>
      </c>
      <c r="AM2395" t="s">
        <v>129</v>
      </c>
      <c r="AN2395" t="s">
        <v>130</v>
      </c>
      <c r="AP2395" t="s">
        <v>41</v>
      </c>
      <c r="AT2395" t="s">
        <v>45</v>
      </c>
      <c r="AY2395" t="s">
        <v>50</v>
      </c>
      <c r="BA2395" t="s">
        <v>52</v>
      </c>
      <c r="BE2395" t="s">
        <v>56</v>
      </c>
    </row>
    <row r="2396" spans="1:69" x14ac:dyDescent="0.2">
      <c r="A2396" t="s">
        <v>8390</v>
      </c>
      <c r="B2396" t="s">
        <v>4716</v>
      </c>
      <c r="C2396" t="s">
        <v>8471</v>
      </c>
      <c r="D2396" t="s">
        <v>204</v>
      </c>
      <c r="E2396" t="s">
        <v>8472</v>
      </c>
      <c r="F2396" t="s">
        <v>180</v>
      </c>
      <c r="G2396" t="str">
        <f>HYPERLINK("https://play.google.com/store/apps/details?id=ru.iflex.android.a3colortv&amp;reviewId=gp:AOqpTOHIffhEH0wFylgGCKp32PNvZnyr2LIr8MjkmKW7LBPUNMcp18BmqS5x1IaKN2S1XL1_pxJhNNmSFd7FFw")</f>
        <v>https://play.google.com/store/apps/details?id=ru.iflex.android.a3colortv&amp;reviewId=gp:AOqpTOHIffhEH0wFylgGCKp32PNvZnyr2LIr8MjkmKW7LBPUNMcp18BmqS5x1IaKN2S1XL1_pxJhNNmSFd7FFw</v>
      </c>
      <c r="H2396" t="s">
        <v>181</v>
      </c>
      <c r="I2396" t="s">
        <v>8473</v>
      </c>
      <c r="J2396" t="str">
        <f>HYPERLINK("https://plus.google.com/109344823089670826928")</f>
        <v>https://plus.google.com/109344823089670826928</v>
      </c>
      <c r="K2396">
        <v>3</v>
      </c>
      <c r="L2396" t="s">
        <v>121</v>
      </c>
      <c r="N2396" t="s">
        <v>207</v>
      </c>
      <c r="O2396" t="s">
        <v>204</v>
      </c>
      <c r="P2396" t="str">
        <f>HYPERLINK("https://play.google.com/store/apps/details?id=ru.iflex.android.a3colortv&amp;hl=ru")</f>
        <v>https://play.google.com/store/apps/details?id=ru.iflex.android.a3colortv&amp;hl=ru</v>
      </c>
      <c r="R2396" t="s">
        <v>184</v>
      </c>
      <c r="S2396" t="s">
        <v>125</v>
      </c>
      <c r="W2396">
        <v>0</v>
      </c>
      <c r="X2396">
        <v>0</v>
      </c>
      <c r="AH2396">
        <v>5</v>
      </c>
      <c r="AM2396" t="s">
        <v>129</v>
      </c>
      <c r="AN2396" t="s">
        <v>130</v>
      </c>
      <c r="AP2396" t="s">
        <v>41</v>
      </c>
      <c r="AZ2396" t="s">
        <v>51</v>
      </c>
      <c r="BA2396" t="s">
        <v>52</v>
      </c>
      <c r="BQ2396" t="s">
        <v>68</v>
      </c>
    </row>
    <row r="2397" spans="1:69" x14ac:dyDescent="0.2">
      <c r="A2397" t="s">
        <v>8390</v>
      </c>
      <c r="B2397" t="s">
        <v>3012</v>
      </c>
      <c r="C2397" t="s">
        <v>8474</v>
      </c>
      <c r="D2397" t="s">
        <v>3166</v>
      </c>
      <c r="E2397" t="s">
        <v>8475</v>
      </c>
      <c r="F2397" t="s">
        <v>118</v>
      </c>
      <c r="G2397" t="str">
        <f>HYPERLINK("https://vk.com/wall-27863223_291605?reply=291685&amp;thread=291657")</f>
        <v>https://vk.com/wall-27863223_291605?reply=291685&amp;thread=291657</v>
      </c>
      <c r="H2397" t="s">
        <v>119</v>
      </c>
      <c r="I2397" t="s">
        <v>8476</v>
      </c>
      <c r="J2397" t="str">
        <f>HYPERLINK("http://vk.com/id203215867")</f>
        <v>http://vk.com/id203215867</v>
      </c>
      <c r="K2397">
        <v>418</v>
      </c>
      <c r="L2397" t="s">
        <v>121</v>
      </c>
      <c r="M2397">
        <v>32</v>
      </c>
      <c r="N2397" t="s">
        <v>122</v>
      </c>
      <c r="O2397" t="s">
        <v>175</v>
      </c>
      <c r="P2397" t="str">
        <f>HYPERLINK("http://vk.com/club27863223")</f>
        <v>http://vk.com/club27863223</v>
      </c>
      <c r="Q2397">
        <v>134698</v>
      </c>
      <c r="R2397" t="s">
        <v>124</v>
      </c>
      <c r="S2397" t="s">
        <v>125</v>
      </c>
      <c r="T2397" t="s">
        <v>273</v>
      </c>
      <c r="U2397" t="s">
        <v>274</v>
      </c>
      <c r="AM2397" t="s">
        <v>129</v>
      </c>
      <c r="AN2397" t="s">
        <v>130</v>
      </c>
      <c r="AP2397" t="s">
        <v>41</v>
      </c>
      <c r="AU2397" t="s">
        <v>46</v>
      </c>
      <c r="BA2397" t="s">
        <v>52</v>
      </c>
      <c r="BE2397" t="s">
        <v>56</v>
      </c>
    </row>
    <row r="2398" spans="1:69" x14ac:dyDescent="0.2">
      <c r="A2398" t="s">
        <v>8390</v>
      </c>
      <c r="B2398" t="s">
        <v>369</v>
      </c>
      <c r="C2398" t="s">
        <v>8477</v>
      </c>
      <c r="D2398" t="s">
        <v>3166</v>
      </c>
      <c r="E2398" t="s">
        <v>8478</v>
      </c>
      <c r="F2398" t="s">
        <v>180</v>
      </c>
      <c r="G2398" t="str">
        <f>HYPERLINK("https://ok.ru/group/51085510115462/topic/153438465533318")</f>
        <v>https://ok.ru/group/51085510115462/topic/153438465533318</v>
      </c>
      <c r="H2398" t="s">
        <v>119</v>
      </c>
      <c r="I2398" t="s">
        <v>175</v>
      </c>
      <c r="J2398" t="str">
        <f>HYPERLINK("https://ok.ru/group/51085510115462")</f>
        <v>https://ok.ru/group/51085510115462</v>
      </c>
      <c r="K2398">
        <v>94768</v>
      </c>
      <c r="L2398" t="s">
        <v>340</v>
      </c>
      <c r="N2398" t="s">
        <v>347</v>
      </c>
      <c r="O2398" t="s">
        <v>175</v>
      </c>
      <c r="P2398" t="str">
        <f>HYPERLINK("https://ok.ru/group/51085510115462")</f>
        <v>https://ok.ru/group/51085510115462</v>
      </c>
      <c r="Q2398">
        <v>94768</v>
      </c>
      <c r="R2398" t="s">
        <v>124</v>
      </c>
      <c r="W2398">
        <v>22</v>
      </c>
      <c r="X2398">
        <v>22</v>
      </c>
      <c r="Y2398">
        <v>0</v>
      </c>
      <c r="Z2398">
        <v>0</v>
      </c>
      <c r="AA2398">
        <v>0</v>
      </c>
      <c r="AB2398">
        <v>0</v>
      </c>
      <c r="AE2398">
        <v>0</v>
      </c>
      <c r="AF2398">
        <v>0</v>
      </c>
      <c r="AJ2398" t="s">
        <v>588</v>
      </c>
      <c r="AK2398" t="s">
        <v>129</v>
      </c>
      <c r="AL2398" t="str">
        <f>HYPERLINK("https://i.mycdn.me/image?id=912786446364&amp;t=20&amp;plc=API&amp;aid=1131601408&amp;tkn=*Ampy_-_2ykZOVszd1KpEsqXRmr8")</f>
        <v>https://i.mycdn.me/image?id=912786446364&amp;t=20&amp;plc=API&amp;aid=1131601408&amp;tkn=*Ampy_-_2ykZOVszd1KpEsqXRmr8</v>
      </c>
      <c r="AM2398" t="s">
        <v>129</v>
      </c>
      <c r="AN2398" t="s">
        <v>130</v>
      </c>
      <c r="BI2398" t="s">
        <v>60</v>
      </c>
    </row>
    <row r="2399" spans="1:69" x14ac:dyDescent="0.2">
      <c r="A2399" t="s">
        <v>8390</v>
      </c>
      <c r="B2399" t="s">
        <v>8479</v>
      </c>
      <c r="C2399" t="s">
        <v>8480</v>
      </c>
      <c r="D2399" t="s">
        <v>1697</v>
      </c>
      <c r="E2399" t="s">
        <v>8481</v>
      </c>
      <c r="F2399" t="s">
        <v>180</v>
      </c>
      <c r="G2399" t="str">
        <f>HYPERLINK("https://apps.apple.com/ru/app/мой-триколор/id1204321194#7568203101")</f>
        <v>https://apps.apple.com/ru/app/мой-триколор/id1204321194#7568203101</v>
      </c>
      <c r="H2399" t="s">
        <v>181</v>
      </c>
      <c r="I2399" t="s">
        <v>8482</v>
      </c>
      <c r="J2399" t="str">
        <f>HYPERLINK("https://itunes.apple.com/reviews?userProfileId=326304747")</f>
        <v>https://itunes.apple.com/reviews?userProfileId=326304747</v>
      </c>
      <c r="N2399" t="s">
        <v>1411</v>
      </c>
      <c r="O2399" t="s">
        <v>1697</v>
      </c>
      <c r="P2399" t="str">
        <f>HYPERLINK("https://apps.apple.com/ru/app/мой-триколор/id1204321194")</f>
        <v>https://apps.apple.com/ru/app/мой-триколор/id1204321194</v>
      </c>
      <c r="R2399" t="s">
        <v>184</v>
      </c>
      <c r="S2399" t="s">
        <v>125</v>
      </c>
      <c r="AH2399">
        <v>5</v>
      </c>
      <c r="AM2399" t="s">
        <v>129</v>
      </c>
      <c r="AN2399" t="s">
        <v>130</v>
      </c>
      <c r="AP2399" t="s">
        <v>41</v>
      </c>
      <c r="AZ2399" t="s">
        <v>51</v>
      </c>
      <c r="BA2399" t="s">
        <v>52</v>
      </c>
      <c r="BQ2399" t="s">
        <v>68</v>
      </c>
    </row>
    <row r="2400" spans="1:69" x14ac:dyDescent="0.2">
      <c r="A2400" t="s">
        <v>8390</v>
      </c>
      <c r="B2400" t="s">
        <v>2506</v>
      </c>
      <c r="C2400" t="s">
        <v>8483</v>
      </c>
      <c r="D2400" t="s">
        <v>7969</v>
      </c>
      <c r="E2400" t="s">
        <v>8484</v>
      </c>
      <c r="F2400" t="s">
        <v>118</v>
      </c>
      <c r="G2400" t="str">
        <f>HYPERLINK("https://vk.com/wall-22935147_368314?w=wall-22935147_368314_r368333")</f>
        <v>https://vk.com/wall-22935147_368314?w=wall-22935147_368314_r368333</v>
      </c>
      <c r="H2400" t="s">
        <v>119</v>
      </c>
      <c r="I2400" t="s">
        <v>3125</v>
      </c>
      <c r="J2400" t="str">
        <f>HYPERLINK("http://vk.com/id163176940")</f>
        <v>http://vk.com/id163176940</v>
      </c>
      <c r="K2400">
        <v>20</v>
      </c>
      <c r="L2400" t="s">
        <v>121</v>
      </c>
      <c r="N2400" t="s">
        <v>122</v>
      </c>
      <c r="O2400" t="s">
        <v>1093</v>
      </c>
      <c r="P2400" t="str">
        <f>HYPERLINK("http://vk.com/club22935147")</f>
        <v>http://vk.com/club22935147</v>
      </c>
      <c r="Q2400">
        <v>8943</v>
      </c>
      <c r="R2400" t="s">
        <v>124</v>
      </c>
      <c r="S2400" t="s">
        <v>125</v>
      </c>
      <c r="T2400" t="s">
        <v>1103</v>
      </c>
      <c r="U2400" t="s">
        <v>1104</v>
      </c>
      <c r="W2400">
        <v>0</v>
      </c>
      <c r="X2400">
        <v>0</v>
      </c>
      <c r="AM2400" t="s">
        <v>129</v>
      </c>
      <c r="AN2400" t="s">
        <v>130</v>
      </c>
      <c r="AP2400" t="s">
        <v>41</v>
      </c>
      <c r="AY2400" t="s">
        <v>50</v>
      </c>
      <c r="AZ2400" t="s">
        <v>51</v>
      </c>
      <c r="BA2400" t="s">
        <v>52</v>
      </c>
      <c r="BL2400" t="s">
        <v>63</v>
      </c>
    </row>
    <row r="2401" spans="1:77" x14ac:dyDescent="0.2">
      <c r="A2401" t="s">
        <v>8390</v>
      </c>
      <c r="B2401" t="s">
        <v>3029</v>
      </c>
      <c r="C2401" t="s">
        <v>8485</v>
      </c>
      <c r="D2401" t="s">
        <v>8486</v>
      </c>
      <c r="E2401" t="s">
        <v>8487</v>
      </c>
      <c r="F2401" t="s">
        <v>118</v>
      </c>
      <c r="G2401" t="str">
        <f>HYPERLINK("https://telegram.me/pmi_ru/43632")</f>
        <v>https://telegram.me/pmi_ru/43632</v>
      </c>
      <c r="H2401" t="s">
        <v>119</v>
      </c>
      <c r="I2401" t="s">
        <v>8488</v>
      </c>
      <c r="J2401" t="str">
        <f>HYPERLINK("https://telegram.me/egor_popovskiy")</f>
        <v>https://telegram.me/egor_popovskiy</v>
      </c>
      <c r="L2401" t="s">
        <v>121</v>
      </c>
      <c r="N2401" t="s">
        <v>143</v>
      </c>
      <c r="O2401" t="s">
        <v>8489</v>
      </c>
      <c r="P2401" t="str">
        <f>HYPERLINK("https://telegram.me/pmi_ru")</f>
        <v>https://telegram.me/pmi_ru</v>
      </c>
      <c r="Q2401">
        <v>1175</v>
      </c>
      <c r="R2401" t="s">
        <v>145</v>
      </c>
      <c r="AM2401" t="s">
        <v>129</v>
      </c>
      <c r="AN2401" t="s">
        <v>130</v>
      </c>
      <c r="AP2401" t="s">
        <v>41</v>
      </c>
      <c r="AT2401" t="s">
        <v>45</v>
      </c>
      <c r="AU2401" t="s">
        <v>46</v>
      </c>
      <c r="AW2401" t="s">
        <v>48</v>
      </c>
      <c r="AY2401" t="s">
        <v>50</v>
      </c>
      <c r="AZ2401" t="s">
        <v>51</v>
      </c>
      <c r="BA2401" t="s">
        <v>52</v>
      </c>
    </row>
    <row r="2402" spans="1:77" x14ac:dyDescent="0.2">
      <c r="A2402" t="s">
        <v>8390</v>
      </c>
      <c r="B2402" t="s">
        <v>3778</v>
      </c>
      <c r="C2402" t="s">
        <v>8490</v>
      </c>
      <c r="D2402" t="s">
        <v>129</v>
      </c>
      <c r="E2402" t="s">
        <v>8320</v>
      </c>
      <c r="F2402" t="s">
        <v>180</v>
      </c>
      <c r="G2402" t="str">
        <f>HYPERLINK("https://vk.com/wall-52686519_25831")</f>
        <v>https://vk.com/wall-52686519_25831</v>
      </c>
      <c r="H2402" t="s">
        <v>119</v>
      </c>
      <c r="I2402" t="s">
        <v>8491</v>
      </c>
      <c r="J2402" t="str">
        <f>HYPERLINK("http://vk.com/id133419215")</f>
        <v>http://vk.com/id133419215</v>
      </c>
      <c r="K2402">
        <v>53</v>
      </c>
      <c r="L2402" t="s">
        <v>121</v>
      </c>
      <c r="M2402">
        <v>31</v>
      </c>
      <c r="N2402" t="s">
        <v>122</v>
      </c>
      <c r="O2402" t="s">
        <v>4240</v>
      </c>
      <c r="P2402" t="str">
        <f>HYPERLINK("http://vk.com/club52686519")</f>
        <v>http://vk.com/club52686519</v>
      </c>
      <c r="Q2402">
        <v>19756</v>
      </c>
      <c r="R2402" t="s">
        <v>124</v>
      </c>
      <c r="S2402" t="s">
        <v>125</v>
      </c>
      <c r="T2402" t="s">
        <v>494</v>
      </c>
      <c r="U2402" t="s">
        <v>8492</v>
      </c>
      <c r="W2402">
        <v>0</v>
      </c>
      <c r="X2402">
        <v>0</v>
      </c>
      <c r="AE2402">
        <v>3</v>
      </c>
      <c r="AF2402">
        <v>0</v>
      </c>
      <c r="AM2402" t="s">
        <v>129</v>
      </c>
      <c r="AN2402" t="s">
        <v>130</v>
      </c>
      <c r="AP2402" t="s">
        <v>41</v>
      </c>
      <c r="AU2402" t="s">
        <v>46</v>
      </c>
      <c r="BA2402" t="s">
        <v>52</v>
      </c>
      <c r="BE2402" t="s">
        <v>56</v>
      </c>
    </row>
    <row r="2403" spans="1:77" x14ac:dyDescent="0.2">
      <c r="A2403" t="s">
        <v>8390</v>
      </c>
      <c r="B2403" t="s">
        <v>3778</v>
      </c>
      <c r="C2403" t="s">
        <v>8493</v>
      </c>
      <c r="D2403" t="s">
        <v>204</v>
      </c>
      <c r="E2403" t="s">
        <v>8494</v>
      </c>
      <c r="F2403" t="s">
        <v>180</v>
      </c>
      <c r="G2403" t="str">
        <f>HYPERLINK("https://play.google.com/store/apps/details?id=ru.iflex.android.a3colortv&amp;reviewId=gp:AOqpTOG4g8gcqrCKyTGdv6VszTa1yKfhMNXPWnxeahh1cK6XYQ5Nh61lcoAwNdQfsGIsPhXvK7LypGiciSClCA")</f>
        <v>https://play.google.com/store/apps/details?id=ru.iflex.android.a3colortv&amp;reviewId=gp:AOqpTOG4g8gcqrCKyTGdv6VszTa1yKfhMNXPWnxeahh1cK6XYQ5Nh61lcoAwNdQfsGIsPhXvK7LypGiciSClCA</v>
      </c>
      <c r="H2403" t="s">
        <v>228</v>
      </c>
      <c r="I2403" t="s">
        <v>8495</v>
      </c>
      <c r="J2403" t="str">
        <f>HYPERLINK("https://plus.google.com/100480022549467332031")</f>
        <v>https://plus.google.com/100480022549467332031</v>
      </c>
      <c r="L2403" t="s">
        <v>121</v>
      </c>
      <c r="N2403" t="s">
        <v>207</v>
      </c>
      <c r="O2403" t="s">
        <v>204</v>
      </c>
      <c r="P2403" t="str">
        <f>HYPERLINK("https://play.google.com/store/apps/details?id=ru.iflex.android.a3colortv&amp;hl=ru")</f>
        <v>https://play.google.com/store/apps/details?id=ru.iflex.android.a3colortv&amp;hl=ru</v>
      </c>
      <c r="R2403" t="s">
        <v>184</v>
      </c>
      <c r="S2403" t="s">
        <v>125</v>
      </c>
      <c r="W2403">
        <v>0</v>
      </c>
      <c r="X2403">
        <v>0</v>
      </c>
      <c r="AH2403">
        <v>3</v>
      </c>
      <c r="AM2403" t="s">
        <v>129</v>
      </c>
      <c r="AN2403" t="s">
        <v>130</v>
      </c>
      <c r="AP2403" t="s">
        <v>41</v>
      </c>
      <c r="AZ2403" t="s">
        <v>51</v>
      </c>
      <c r="BA2403" t="s">
        <v>52</v>
      </c>
      <c r="BQ2403" t="s">
        <v>68</v>
      </c>
    </row>
    <row r="2404" spans="1:77" x14ac:dyDescent="0.2">
      <c r="A2404" t="s">
        <v>8390</v>
      </c>
      <c r="B2404" t="s">
        <v>8496</v>
      </c>
      <c r="C2404" t="s">
        <v>8485</v>
      </c>
      <c r="D2404" t="s">
        <v>8497</v>
      </c>
      <c r="E2404" t="s">
        <v>8498</v>
      </c>
      <c r="F2404" t="s">
        <v>118</v>
      </c>
      <c r="G2404" t="str">
        <f>HYPERLINK("https://telegram.me/pmi_ru/43627")</f>
        <v>https://telegram.me/pmi_ru/43627</v>
      </c>
      <c r="H2404" t="s">
        <v>119</v>
      </c>
      <c r="I2404" t="s">
        <v>8499</v>
      </c>
      <c r="J2404" t="str">
        <f>HYPERLINK("https://telegram.me/363304864")</f>
        <v>https://telegram.me/363304864</v>
      </c>
      <c r="L2404" t="s">
        <v>121</v>
      </c>
      <c r="N2404" t="s">
        <v>143</v>
      </c>
      <c r="O2404" t="s">
        <v>8489</v>
      </c>
      <c r="P2404" t="str">
        <f>HYPERLINK("https://telegram.me/pmi_ru")</f>
        <v>https://telegram.me/pmi_ru</v>
      </c>
      <c r="Q2404">
        <v>1175</v>
      </c>
      <c r="R2404" t="s">
        <v>145</v>
      </c>
      <c r="AM2404" t="s">
        <v>129</v>
      </c>
      <c r="AN2404" t="s">
        <v>130</v>
      </c>
      <c r="AP2404" t="s">
        <v>41</v>
      </c>
      <c r="AU2404" t="s">
        <v>46</v>
      </c>
      <c r="AW2404" t="s">
        <v>48</v>
      </c>
      <c r="AZ2404" t="s">
        <v>51</v>
      </c>
      <c r="BB2404" t="s">
        <v>53</v>
      </c>
    </row>
    <row r="2405" spans="1:77" x14ac:dyDescent="0.2">
      <c r="A2405" t="s">
        <v>8390</v>
      </c>
      <c r="B2405" t="s">
        <v>6021</v>
      </c>
      <c r="C2405" t="s">
        <v>8485</v>
      </c>
      <c r="D2405" t="s">
        <v>129</v>
      </c>
      <c r="E2405" t="s">
        <v>8486</v>
      </c>
      <c r="F2405" t="s">
        <v>180</v>
      </c>
      <c r="G2405" t="str">
        <f>HYPERLINK("https://telegram.me/pmi_ru/43624")</f>
        <v>https://telegram.me/pmi_ru/43624</v>
      </c>
      <c r="H2405" t="s">
        <v>119</v>
      </c>
      <c r="I2405" t="s">
        <v>8500</v>
      </c>
      <c r="J2405" t="str">
        <f>HYPERLINK("https://telegram.me/ivlitovchenko")</f>
        <v>https://telegram.me/ivlitovchenko</v>
      </c>
      <c r="L2405" t="s">
        <v>121</v>
      </c>
      <c r="N2405" t="s">
        <v>143</v>
      </c>
      <c r="O2405" t="s">
        <v>8489</v>
      </c>
      <c r="P2405" t="str">
        <f>HYPERLINK("https://telegram.me/pmi_ru")</f>
        <v>https://telegram.me/pmi_ru</v>
      </c>
      <c r="Q2405">
        <v>1175</v>
      </c>
      <c r="R2405" t="s">
        <v>145</v>
      </c>
      <c r="AM2405" t="s">
        <v>129</v>
      </c>
      <c r="AN2405" t="s">
        <v>130</v>
      </c>
      <c r="AP2405" t="s">
        <v>41</v>
      </c>
      <c r="AW2405" t="s">
        <v>48</v>
      </c>
      <c r="BA2405" t="s">
        <v>52</v>
      </c>
      <c r="BE2405" t="s">
        <v>56</v>
      </c>
    </row>
    <row r="2406" spans="1:77" x14ac:dyDescent="0.2">
      <c r="A2406" t="s">
        <v>8390</v>
      </c>
      <c r="B2406" t="s">
        <v>3035</v>
      </c>
      <c r="C2406" t="s">
        <v>8501</v>
      </c>
      <c r="D2406" t="s">
        <v>8502</v>
      </c>
      <c r="E2406" t="s">
        <v>8503</v>
      </c>
      <c r="F2406" t="s">
        <v>118</v>
      </c>
      <c r="G2406" t="str">
        <f>HYPERLINK("https://ok.ru/group/53318809747546/topic/153423195103322#MTYyNjA5ODM5MTMzNTotOTI0NzoxNjI2MDk4MzkxMzM1OjE1MzQyMzE5NTEwMzMyMjox")</f>
        <v>https://ok.ru/group/53318809747546/topic/153423195103322#MTYyNjA5ODM5MTMzNTotOTI0NzoxNjI2MDk4MzkxMzM1OjE1MzQyMzE5NTEwMzMyMjox</v>
      </c>
      <c r="H2406" t="s">
        <v>119</v>
      </c>
      <c r="I2406" t="s">
        <v>8504</v>
      </c>
      <c r="J2406" t="str">
        <f>HYPERLINK("https://ok.ru/profile/571780543744")</f>
        <v>https://ok.ru/profile/571780543744</v>
      </c>
      <c r="K2406">
        <v>66</v>
      </c>
      <c r="L2406" t="s">
        <v>121</v>
      </c>
      <c r="M2406">
        <v>46</v>
      </c>
      <c r="N2406" t="s">
        <v>347</v>
      </c>
      <c r="O2406" t="s">
        <v>8505</v>
      </c>
      <c r="P2406" t="str">
        <f>HYPERLINK("https://ok.ru/group/53318809747546")</f>
        <v>https://ok.ru/group/53318809747546</v>
      </c>
      <c r="Q2406">
        <v>16788</v>
      </c>
      <c r="R2406" t="s">
        <v>124</v>
      </c>
      <c r="S2406" t="s">
        <v>125</v>
      </c>
      <c r="W2406">
        <v>0</v>
      </c>
      <c r="X2406">
        <v>0</v>
      </c>
      <c r="AM2406" t="s">
        <v>129</v>
      </c>
      <c r="AN2406" t="s">
        <v>130</v>
      </c>
      <c r="AP2406" t="s">
        <v>41</v>
      </c>
      <c r="AT2406" t="s">
        <v>45</v>
      </c>
      <c r="AZ2406" t="s">
        <v>51</v>
      </c>
      <c r="BA2406" t="s">
        <v>52</v>
      </c>
    </row>
    <row r="2407" spans="1:77" x14ac:dyDescent="0.2">
      <c r="A2407" t="s">
        <v>8390</v>
      </c>
      <c r="B2407" t="s">
        <v>3783</v>
      </c>
      <c r="C2407" t="s">
        <v>8506</v>
      </c>
      <c r="D2407" t="s">
        <v>8507</v>
      </c>
      <c r="E2407" t="s">
        <v>8508</v>
      </c>
      <c r="F2407" t="s">
        <v>118</v>
      </c>
      <c r="G2407" t="str">
        <f>HYPERLINK("https://vk.com/wall-168095006_2365?reply=2434&amp;thread=2367")</f>
        <v>https://vk.com/wall-168095006_2365?reply=2434&amp;thread=2367</v>
      </c>
      <c r="H2407" t="s">
        <v>119</v>
      </c>
      <c r="I2407" t="s">
        <v>8509</v>
      </c>
      <c r="J2407" t="str">
        <f>HYPERLINK("http://vk.com/id140192100")</f>
        <v>http://vk.com/id140192100</v>
      </c>
      <c r="K2407">
        <v>3</v>
      </c>
      <c r="L2407" t="s">
        <v>151</v>
      </c>
      <c r="M2407">
        <v>65</v>
      </c>
      <c r="N2407" t="s">
        <v>122</v>
      </c>
      <c r="O2407" t="s">
        <v>8510</v>
      </c>
      <c r="P2407" t="str">
        <f>HYPERLINK("http://vk.com/club168095006")</f>
        <v>http://vk.com/club168095006</v>
      </c>
      <c r="Q2407">
        <v>1372</v>
      </c>
      <c r="R2407" t="s">
        <v>124</v>
      </c>
      <c r="S2407" t="s">
        <v>125</v>
      </c>
      <c r="T2407" t="s">
        <v>137</v>
      </c>
      <c r="U2407" t="s">
        <v>137</v>
      </c>
      <c r="AM2407" t="s">
        <v>129</v>
      </c>
      <c r="AN2407" t="s">
        <v>130</v>
      </c>
      <c r="AP2407" t="s">
        <v>41</v>
      </c>
      <c r="AU2407" t="s">
        <v>46</v>
      </c>
      <c r="AW2407" t="s">
        <v>48</v>
      </c>
      <c r="AZ2407" t="s">
        <v>51</v>
      </c>
      <c r="BA2407" t="s">
        <v>52</v>
      </c>
    </row>
    <row r="2408" spans="1:77" x14ac:dyDescent="0.2">
      <c r="A2408" t="s">
        <v>8390</v>
      </c>
      <c r="B2408" t="s">
        <v>397</v>
      </c>
      <c r="C2408" t="s">
        <v>8511</v>
      </c>
      <c r="D2408" t="s">
        <v>8512</v>
      </c>
      <c r="E2408" t="s">
        <v>8513</v>
      </c>
      <c r="F2408" t="s">
        <v>118</v>
      </c>
      <c r="G2408" t="str">
        <f>HYPERLINK("https://vk.com/wall-27863223_291592?reply=291675")</f>
        <v>https://vk.com/wall-27863223_291592?reply=291675</v>
      </c>
      <c r="H2408" t="s">
        <v>119</v>
      </c>
      <c r="I2408" t="s">
        <v>254</v>
      </c>
      <c r="J2408" t="str">
        <f>HYPERLINK("http://vk.com/id286061518")</f>
        <v>http://vk.com/id286061518</v>
      </c>
      <c r="K2408">
        <v>5170</v>
      </c>
      <c r="L2408" t="s">
        <v>121</v>
      </c>
      <c r="M2408">
        <v>34</v>
      </c>
      <c r="N2408" t="s">
        <v>122</v>
      </c>
      <c r="O2408" t="s">
        <v>175</v>
      </c>
      <c r="P2408" t="str">
        <f>HYPERLINK("http://vk.com/club27863223")</f>
        <v>http://vk.com/club27863223</v>
      </c>
      <c r="Q2408">
        <v>134698</v>
      </c>
      <c r="R2408" t="s">
        <v>124</v>
      </c>
      <c r="S2408" t="s">
        <v>125</v>
      </c>
      <c r="T2408" t="s">
        <v>256</v>
      </c>
      <c r="U2408" t="s">
        <v>257</v>
      </c>
      <c r="W2408">
        <v>0</v>
      </c>
      <c r="X2408">
        <v>0</v>
      </c>
      <c r="AM2408" t="s">
        <v>129</v>
      </c>
      <c r="AN2408" t="s">
        <v>130</v>
      </c>
      <c r="AP2408" t="s">
        <v>41</v>
      </c>
      <c r="AU2408" t="s">
        <v>46</v>
      </c>
      <c r="AZ2408" t="s">
        <v>51</v>
      </c>
      <c r="BA2408" t="s">
        <v>52</v>
      </c>
    </row>
    <row r="2409" spans="1:77" x14ac:dyDescent="0.2">
      <c r="A2409" t="s">
        <v>8390</v>
      </c>
      <c r="B2409" t="s">
        <v>3041</v>
      </c>
      <c r="C2409" t="s">
        <v>8514</v>
      </c>
      <c r="D2409" t="s">
        <v>8515</v>
      </c>
      <c r="E2409" t="s">
        <v>8516</v>
      </c>
      <c r="F2409" t="s">
        <v>118</v>
      </c>
      <c r="G2409" t="str">
        <f>HYPERLINK("https://vk.com/wall-92425178_600593?reply=600923")</f>
        <v>https://vk.com/wall-92425178_600593?reply=600923</v>
      </c>
      <c r="H2409" t="s">
        <v>119</v>
      </c>
      <c r="I2409" t="s">
        <v>8517</v>
      </c>
      <c r="J2409" t="str">
        <f>HYPERLINK("http://vk.com/id134980148")</f>
        <v>http://vk.com/id134980148</v>
      </c>
      <c r="K2409">
        <v>118</v>
      </c>
      <c r="L2409" t="s">
        <v>121</v>
      </c>
      <c r="M2409">
        <v>118</v>
      </c>
      <c r="N2409" t="s">
        <v>122</v>
      </c>
      <c r="O2409" t="s">
        <v>8518</v>
      </c>
      <c r="P2409" t="str">
        <f>HYPERLINK("http://vk.com/club92425178")</f>
        <v>http://vk.com/club92425178</v>
      </c>
      <c r="Q2409">
        <v>29354</v>
      </c>
      <c r="R2409" t="s">
        <v>124</v>
      </c>
      <c r="S2409" t="s">
        <v>125</v>
      </c>
      <c r="T2409" t="s">
        <v>169</v>
      </c>
      <c r="U2409" t="s">
        <v>169</v>
      </c>
      <c r="AJ2409" t="s">
        <v>129</v>
      </c>
      <c r="AK2409" t="s">
        <v>129</v>
      </c>
      <c r="AL2409" t="str">
        <f>HYPERLINK("https://sun9-69.userapi.com/impg/Lh6yfGOAD43hh6jSqxc-FdZ0d0--8b_6VoWFpw/YTqUME6j5Ms.jpg?size=1620x2160&amp;quality=96&amp;sign=ce65382105750853eccf1d0e78f14615&amp;c_uniq_tag=DA5jE-DvNMG4Ch8Z1vMDVTVtsUycQ4RDtl5x0yVO4RA&amp;type=album")</f>
        <v>https://sun9-69.userapi.com/impg/Lh6yfGOAD43hh6jSqxc-FdZ0d0--8b_6VoWFpw/YTqUME6j5Ms.jpg?size=1620x2160&amp;quality=96&amp;sign=ce65382105750853eccf1d0e78f14615&amp;c_uniq_tag=DA5jE-DvNMG4Ch8Z1vMDVTVtsUycQ4RDtl5x0yVO4RA&amp;type=album</v>
      </c>
      <c r="AM2409" t="s">
        <v>129</v>
      </c>
      <c r="AN2409" t="s">
        <v>130</v>
      </c>
      <c r="AP2409" t="s">
        <v>41</v>
      </c>
      <c r="AT2409" t="s">
        <v>45</v>
      </c>
      <c r="AZ2409" t="s">
        <v>51</v>
      </c>
      <c r="BA2409" t="s">
        <v>52</v>
      </c>
      <c r="BL2409" t="s">
        <v>63</v>
      </c>
    </row>
    <row r="2410" spans="1:77" x14ac:dyDescent="0.2">
      <c r="A2410" t="s">
        <v>8390</v>
      </c>
      <c r="B2410" t="s">
        <v>3791</v>
      </c>
      <c r="C2410" t="s">
        <v>8519</v>
      </c>
      <c r="D2410" t="s">
        <v>7565</v>
      </c>
      <c r="E2410" t="s">
        <v>8520</v>
      </c>
      <c r="F2410" t="s">
        <v>118</v>
      </c>
      <c r="G2410" t="str">
        <f>HYPERLINK("https://vk.com/wall-199277766_727?reply=729")</f>
        <v>https://vk.com/wall-199277766_727?reply=729</v>
      </c>
      <c r="H2410" t="s">
        <v>119</v>
      </c>
      <c r="I2410" t="s">
        <v>254</v>
      </c>
      <c r="J2410" t="str">
        <f>HYPERLINK("http://vk.com/id286061518")</f>
        <v>http://vk.com/id286061518</v>
      </c>
      <c r="K2410">
        <v>5170</v>
      </c>
      <c r="L2410" t="s">
        <v>121</v>
      </c>
      <c r="M2410">
        <v>34</v>
      </c>
      <c r="N2410" t="s">
        <v>122</v>
      </c>
      <c r="O2410" t="s">
        <v>255</v>
      </c>
      <c r="P2410" t="str">
        <f>HYPERLINK("http://vk.com/club199277766")</f>
        <v>http://vk.com/club199277766</v>
      </c>
      <c r="Q2410">
        <v>53</v>
      </c>
      <c r="R2410" t="s">
        <v>124</v>
      </c>
      <c r="S2410" t="s">
        <v>125</v>
      </c>
      <c r="T2410" t="s">
        <v>256</v>
      </c>
      <c r="U2410" t="s">
        <v>257</v>
      </c>
      <c r="AM2410" t="s">
        <v>129</v>
      </c>
      <c r="AN2410" t="s">
        <v>130</v>
      </c>
      <c r="AP2410" t="s">
        <v>41</v>
      </c>
      <c r="AU2410" t="s">
        <v>46</v>
      </c>
      <c r="AZ2410" t="s">
        <v>51</v>
      </c>
      <c r="BA2410" t="s">
        <v>52</v>
      </c>
    </row>
    <row r="2411" spans="1:77" x14ac:dyDescent="0.2">
      <c r="A2411" t="s">
        <v>8390</v>
      </c>
      <c r="B2411" t="s">
        <v>3791</v>
      </c>
      <c r="C2411" t="s">
        <v>8519</v>
      </c>
      <c r="D2411" t="s">
        <v>7565</v>
      </c>
      <c r="E2411" t="s">
        <v>4230</v>
      </c>
      <c r="F2411" t="s">
        <v>118</v>
      </c>
      <c r="G2411" t="str">
        <f>HYPERLINK("https://vk.com/wall-199277766_727?reply=728")</f>
        <v>https://vk.com/wall-199277766_727?reply=728</v>
      </c>
      <c r="H2411" t="s">
        <v>119</v>
      </c>
      <c r="I2411" t="s">
        <v>254</v>
      </c>
      <c r="J2411" t="str">
        <f>HYPERLINK("http://vk.com/id286061518")</f>
        <v>http://vk.com/id286061518</v>
      </c>
      <c r="K2411">
        <v>5170</v>
      </c>
      <c r="L2411" t="s">
        <v>121</v>
      </c>
      <c r="M2411">
        <v>34</v>
      </c>
      <c r="N2411" t="s">
        <v>122</v>
      </c>
      <c r="O2411" t="s">
        <v>255</v>
      </c>
      <c r="P2411" t="str">
        <f>HYPERLINK("http://vk.com/club199277766")</f>
        <v>http://vk.com/club199277766</v>
      </c>
      <c r="Q2411">
        <v>53</v>
      </c>
      <c r="R2411" t="s">
        <v>124</v>
      </c>
      <c r="S2411" t="s">
        <v>125</v>
      </c>
      <c r="T2411" t="s">
        <v>256</v>
      </c>
      <c r="U2411" t="s">
        <v>257</v>
      </c>
      <c r="AM2411" t="s">
        <v>129</v>
      </c>
      <c r="AN2411" t="s">
        <v>130</v>
      </c>
      <c r="AP2411" t="s">
        <v>41</v>
      </c>
      <c r="BA2411" t="s">
        <v>52</v>
      </c>
      <c r="BE2411" t="s">
        <v>56</v>
      </c>
      <c r="BY2411" t="s">
        <v>76</v>
      </c>
    </row>
    <row r="2412" spans="1:77" x14ac:dyDescent="0.2">
      <c r="A2412" t="s">
        <v>8390</v>
      </c>
      <c r="B2412" t="s">
        <v>3063</v>
      </c>
      <c r="C2412" t="s">
        <v>8521</v>
      </c>
      <c r="D2412" t="s">
        <v>6082</v>
      </c>
      <c r="E2412" t="s">
        <v>8522</v>
      </c>
      <c r="F2412" t="s">
        <v>118</v>
      </c>
      <c r="G2412" t="str">
        <f>HYPERLINK("https://vk.com/wall-59759902_290870?reply=290875")</f>
        <v>https://vk.com/wall-59759902_290870?reply=290875</v>
      </c>
      <c r="H2412" t="s">
        <v>228</v>
      </c>
      <c r="I2412" t="s">
        <v>8523</v>
      </c>
      <c r="J2412" t="str">
        <f>HYPERLINK("http://vk.com/id357074678")</f>
        <v>http://vk.com/id357074678</v>
      </c>
      <c r="K2412">
        <v>203</v>
      </c>
      <c r="L2412" t="s">
        <v>121</v>
      </c>
      <c r="M2412">
        <v>46</v>
      </c>
      <c r="N2412" t="s">
        <v>122</v>
      </c>
      <c r="O2412" t="s">
        <v>6084</v>
      </c>
      <c r="P2412" t="str">
        <f>HYPERLINK("http://vk.com/club59759902")</f>
        <v>http://vk.com/club59759902</v>
      </c>
      <c r="Q2412">
        <v>18596</v>
      </c>
      <c r="R2412" t="s">
        <v>124</v>
      </c>
      <c r="S2412" t="s">
        <v>125</v>
      </c>
      <c r="T2412" t="s">
        <v>1027</v>
      </c>
      <c r="U2412" t="s">
        <v>1028</v>
      </c>
      <c r="AM2412" t="s">
        <v>129</v>
      </c>
      <c r="AN2412" t="s">
        <v>130</v>
      </c>
      <c r="AP2412" t="s">
        <v>41</v>
      </c>
      <c r="AZ2412" t="s">
        <v>51</v>
      </c>
      <c r="BA2412" t="s">
        <v>52</v>
      </c>
    </row>
    <row r="2413" spans="1:77" x14ac:dyDescent="0.2">
      <c r="A2413" t="s">
        <v>8390</v>
      </c>
      <c r="B2413" t="s">
        <v>2005</v>
      </c>
      <c r="C2413" t="s">
        <v>8524</v>
      </c>
      <c r="D2413" t="s">
        <v>7969</v>
      </c>
      <c r="E2413" t="s">
        <v>8525</v>
      </c>
      <c r="F2413" t="s">
        <v>118</v>
      </c>
      <c r="G2413" t="str">
        <f>HYPERLINK("https://vk.com/wall-22935147_368314?w=wall-22935147_368314_r368332")</f>
        <v>https://vk.com/wall-22935147_368314?w=wall-22935147_368314_r368332</v>
      </c>
      <c r="H2413" t="s">
        <v>119</v>
      </c>
      <c r="I2413" t="s">
        <v>5217</v>
      </c>
      <c r="J2413" t="str">
        <f>HYPERLINK("http://vk.com/id367193895")</f>
        <v>http://vk.com/id367193895</v>
      </c>
      <c r="K2413">
        <v>26</v>
      </c>
      <c r="L2413" t="s">
        <v>121</v>
      </c>
      <c r="N2413" t="s">
        <v>122</v>
      </c>
      <c r="O2413" t="s">
        <v>1093</v>
      </c>
      <c r="P2413" t="str">
        <f>HYPERLINK("http://vk.com/club22935147")</f>
        <v>http://vk.com/club22935147</v>
      </c>
      <c r="Q2413">
        <v>8943</v>
      </c>
      <c r="R2413" t="s">
        <v>124</v>
      </c>
      <c r="S2413" t="s">
        <v>125</v>
      </c>
      <c r="W2413">
        <v>0</v>
      </c>
      <c r="X2413">
        <v>0</v>
      </c>
      <c r="AM2413" t="s">
        <v>129</v>
      </c>
      <c r="AN2413" t="s">
        <v>130</v>
      </c>
      <c r="AP2413" t="s">
        <v>41</v>
      </c>
      <c r="AZ2413" t="s">
        <v>51</v>
      </c>
      <c r="BA2413" t="s">
        <v>52</v>
      </c>
      <c r="BL2413" t="s">
        <v>63</v>
      </c>
    </row>
    <row r="2414" spans="1:77" x14ac:dyDescent="0.2">
      <c r="A2414" t="s">
        <v>8390</v>
      </c>
      <c r="B2414" t="s">
        <v>969</v>
      </c>
      <c r="C2414" t="s">
        <v>8526</v>
      </c>
      <c r="D2414" t="s">
        <v>8527</v>
      </c>
      <c r="E2414" t="s">
        <v>8528</v>
      </c>
      <c r="F2414" t="s">
        <v>118</v>
      </c>
      <c r="G2414" t="str">
        <f>HYPERLINK("https://vk.com/wall-193013221_480018?reply=480701")</f>
        <v>https://vk.com/wall-193013221_480018?reply=480701</v>
      </c>
      <c r="H2414" t="s">
        <v>228</v>
      </c>
      <c r="I2414" t="s">
        <v>8529</v>
      </c>
      <c r="J2414" t="str">
        <f>HYPERLINK("http://vk.com/id36743690")</f>
        <v>http://vk.com/id36743690</v>
      </c>
      <c r="K2414">
        <v>331</v>
      </c>
      <c r="L2414" t="s">
        <v>151</v>
      </c>
      <c r="M2414">
        <v>28</v>
      </c>
      <c r="N2414" t="s">
        <v>122</v>
      </c>
      <c r="O2414" t="s">
        <v>8530</v>
      </c>
      <c r="P2414" t="str">
        <f>HYPERLINK("http://vk.com/club193013221")</f>
        <v>http://vk.com/club193013221</v>
      </c>
      <c r="Q2414">
        <v>457366</v>
      </c>
      <c r="R2414" t="s">
        <v>124</v>
      </c>
      <c r="S2414" t="s">
        <v>125</v>
      </c>
      <c r="T2414" t="s">
        <v>828</v>
      </c>
      <c r="U2414" t="s">
        <v>829</v>
      </c>
      <c r="AM2414" t="s">
        <v>129</v>
      </c>
      <c r="AN2414" t="s">
        <v>130</v>
      </c>
      <c r="AP2414" t="s">
        <v>41</v>
      </c>
      <c r="AY2414" t="s">
        <v>50</v>
      </c>
      <c r="AZ2414" t="s">
        <v>51</v>
      </c>
      <c r="BA2414" t="s">
        <v>52</v>
      </c>
    </row>
    <row r="2415" spans="1:77" x14ac:dyDescent="0.2">
      <c r="A2415" t="s">
        <v>8390</v>
      </c>
      <c r="B2415" t="s">
        <v>436</v>
      </c>
      <c r="C2415" t="s">
        <v>8531</v>
      </c>
      <c r="D2415" t="s">
        <v>3391</v>
      </c>
      <c r="E2415" t="s">
        <v>8532</v>
      </c>
      <c r="F2415" t="s">
        <v>180</v>
      </c>
      <c r="G2415" t="str">
        <f>HYPERLINK("https://www.wildberries.ru/catalog/14072152/detail.aspx?targetUrl=ES#Comments")</f>
        <v>https://www.wildberries.ru/catalog/14072152/detail.aspx?targetUrl=ES#Comments</v>
      </c>
      <c r="H2415" t="s">
        <v>181</v>
      </c>
      <c r="I2415" t="s">
        <v>1650</v>
      </c>
      <c r="J2415" t="str">
        <f>HYPERLINK("https://www.wildberries.ru/profile/w7TDssOkw7PCu8KzwrjCsMK5wrDCtcK4wrI=")</f>
        <v>https://www.wildberries.ru/profile/w7TDssOkw7PCu8KzwrjCsMK5wrDCtcK4wrI=</v>
      </c>
      <c r="L2415" t="s">
        <v>151</v>
      </c>
      <c r="N2415" t="s">
        <v>534</v>
      </c>
      <c r="O2415" t="s">
        <v>3391</v>
      </c>
      <c r="P2415" t="str">
        <f>HYPERLINK("https://www.wildberries.ru/catalog/10526045/detail.aspx")</f>
        <v>https://www.wildberries.ru/catalog/10526045/detail.aspx</v>
      </c>
      <c r="R2415" t="s">
        <v>184</v>
      </c>
      <c r="S2415" t="s">
        <v>125</v>
      </c>
      <c r="W2415">
        <v>0</v>
      </c>
      <c r="X2415">
        <v>0</v>
      </c>
      <c r="AH2415">
        <v>5</v>
      </c>
      <c r="AM2415" t="s">
        <v>129</v>
      </c>
      <c r="AN2415" t="s">
        <v>130</v>
      </c>
      <c r="AP2415" t="s">
        <v>41</v>
      </c>
      <c r="AZ2415" t="s">
        <v>51</v>
      </c>
      <c r="BA2415" t="s">
        <v>52</v>
      </c>
      <c r="BK2415" t="s">
        <v>62</v>
      </c>
    </row>
    <row r="2416" spans="1:77" x14ac:dyDescent="0.2">
      <c r="A2416" t="s">
        <v>8390</v>
      </c>
      <c r="B2416" t="s">
        <v>8533</v>
      </c>
      <c r="C2416" t="s">
        <v>8534</v>
      </c>
      <c r="D2416" t="s">
        <v>8535</v>
      </c>
      <c r="E2416" t="s">
        <v>8536</v>
      </c>
      <c r="F2416" t="s">
        <v>118</v>
      </c>
      <c r="G2416" t="str">
        <f>HYPERLINK("https://telegram.me/antenna_nukus/14217")</f>
        <v>https://telegram.me/antenna_nukus/14217</v>
      </c>
      <c r="H2416" t="s">
        <v>119</v>
      </c>
      <c r="I2416" t="s">
        <v>8537</v>
      </c>
      <c r="J2416" t="str">
        <f>HYPERLINK("https://telegram.me/1898384906")</f>
        <v>https://telegram.me/1898384906</v>
      </c>
      <c r="N2416" t="s">
        <v>143</v>
      </c>
      <c r="O2416" t="s">
        <v>8538</v>
      </c>
      <c r="P2416" t="str">
        <f>HYPERLINK("https://telegram.me/antenna_nukus")</f>
        <v>https://telegram.me/antenna_nukus</v>
      </c>
      <c r="Q2416">
        <v>407</v>
      </c>
      <c r="R2416" t="s">
        <v>145</v>
      </c>
      <c r="AM2416" t="s">
        <v>129</v>
      </c>
      <c r="AN2416" t="s">
        <v>130</v>
      </c>
      <c r="AP2416" t="s">
        <v>41</v>
      </c>
      <c r="AW2416" t="s">
        <v>48</v>
      </c>
      <c r="AZ2416" t="s">
        <v>51</v>
      </c>
      <c r="BA2416" t="s">
        <v>52</v>
      </c>
      <c r="BL2416" t="s">
        <v>63</v>
      </c>
    </row>
    <row r="2417" spans="1:70" x14ac:dyDescent="0.2">
      <c r="A2417" t="s">
        <v>8390</v>
      </c>
      <c r="B2417" t="s">
        <v>8533</v>
      </c>
      <c r="C2417" t="s">
        <v>8534</v>
      </c>
      <c r="D2417" t="s">
        <v>129</v>
      </c>
      <c r="E2417" t="s">
        <v>8535</v>
      </c>
      <c r="F2417" t="s">
        <v>180</v>
      </c>
      <c r="G2417" t="str">
        <f>HYPERLINK("https://telegram.me/antenna_nukus/14215")</f>
        <v>https://telegram.me/antenna_nukus/14215</v>
      </c>
      <c r="H2417" t="s">
        <v>119</v>
      </c>
      <c r="I2417" t="s">
        <v>8539</v>
      </c>
      <c r="J2417" t="str">
        <f>HYPERLINK("https://telegram.me/1526733445")</f>
        <v>https://telegram.me/1526733445</v>
      </c>
      <c r="L2417" t="s">
        <v>121</v>
      </c>
      <c r="N2417" t="s">
        <v>143</v>
      </c>
      <c r="O2417" t="s">
        <v>8538</v>
      </c>
      <c r="P2417" t="str">
        <f>HYPERLINK("https://telegram.me/antenna_nukus")</f>
        <v>https://telegram.me/antenna_nukus</v>
      </c>
      <c r="Q2417">
        <v>407</v>
      </c>
      <c r="R2417" t="s">
        <v>145</v>
      </c>
      <c r="AM2417" t="s">
        <v>129</v>
      </c>
      <c r="AN2417" t="s">
        <v>130</v>
      </c>
      <c r="AP2417" t="s">
        <v>41</v>
      </c>
      <c r="AZ2417" t="s">
        <v>51</v>
      </c>
      <c r="BA2417" t="s">
        <v>52</v>
      </c>
      <c r="BL2417" t="s">
        <v>63</v>
      </c>
    </row>
    <row r="2418" spans="1:70" x14ac:dyDescent="0.2">
      <c r="A2418" t="s">
        <v>8390</v>
      </c>
      <c r="B2418" t="s">
        <v>2032</v>
      </c>
      <c r="C2418" t="s">
        <v>8540</v>
      </c>
      <c r="D2418" t="s">
        <v>8541</v>
      </c>
      <c r="E2418" t="s">
        <v>8542</v>
      </c>
      <c r="F2418" t="s">
        <v>180</v>
      </c>
      <c r="G2418" t="str">
        <f>HYPERLINK("https://4pda.to/forum/index.php?showtopic=142277&amp;st=1080#entry107944119")</f>
        <v>https://4pda.to/forum/index.php?showtopic=142277&amp;st=1080#entry107944119</v>
      </c>
      <c r="H2418" t="s">
        <v>119</v>
      </c>
      <c r="I2418" t="s">
        <v>8543</v>
      </c>
      <c r="J2418" t="str">
        <f>HYPERLINK("https://4pda.to/forum/index.php?showuser=6854315")</f>
        <v>https://4pda.to/forum/index.php?showuser=6854315</v>
      </c>
      <c r="N2418" t="s">
        <v>293</v>
      </c>
      <c r="O2418" t="s">
        <v>8544</v>
      </c>
      <c r="P2418" t="str">
        <f>HYPERLINK("https://4pda.to/forum/index.php?showforum=1141")</f>
        <v>https://4pda.to/forum/index.php?showforum=1141</v>
      </c>
      <c r="R2418" t="s">
        <v>295</v>
      </c>
      <c r="S2418" t="s">
        <v>125</v>
      </c>
      <c r="AM2418" t="s">
        <v>129</v>
      </c>
      <c r="AN2418" t="s">
        <v>130</v>
      </c>
      <c r="AP2418" t="s">
        <v>41</v>
      </c>
      <c r="AT2418" t="s">
        <v>45</v>
      </c>
      <c r="AZ2418" t="s">
        <v>51</v>
      </c>
      <c r="BA2418" t="s">
        <v>52</v>
      </c>
      <c r="BL2418" t="s">
        <v>63</v>
      </c>
    </row>
    <row r="2419" spans="1:70" x14ac:dyDescent="0.2">
      <c r="A2419" t="s">
        <v>8390</v>
      </c>
      <c r="B2419" t="s">
        <v>2035</v>
      </c>
      <c r="C2419" t="s">
        <v>8526</v>
      </c>
      <c r="D2419" t="s">
        <v>3166</v>
      </c>
      <c r="E2419" t="s">
        <v>8545</v>
      </c>
      <c r="F2419" t="s">
        <v>118</v>
      </c>
      <c r="G2419" t="str">
        <f>HYPERLINK("https://vk.com/wall-27863223_291605?w=wall-27863223_291605_r291671")</f>
        <v>https://vk.com/wall-27863223_291605?w=wall-27863223_291605_r291671</v>
      </c>
      <c r="H2419" t="s">
        <v>228</v>
      </c>
      <c r="I2419" t="s">
        <v>8476</v>
      </c>
      <c r="J2419" t="str">
        <f>HYPERLINK("http://vk.com/id203215867")</f>
        <v>http://vk.com/id203215867</v>
      </c>
      <c r="K2419">
        <v>418</v>
      </c>
      <c r="L2419" t="s">
        <v>121</v>
      </c>
      <c r="M2419">
        <v>32</v>
      </c>
      <c r="N2419" t="s">
        <v>122</v>
      </c>
      <c r="O2419" t="s">
        <v>175</v>
      </c>
      <c r="P2419" t="str">
        <f>HYPERLINK("http://vk.com/club27863223")</f>
        <v>http://vk.com/club27863223</v>
      </c>
      <c r="Q2419">
        <v>134698</v>
      </c>
      <c r="R2419" t="s">
        <v>124</v>
      </c>
      <c r="S2419" t="s">
        <v>125</v>
      </c>
      <c r="T2419" t="s">
        <v>273</v>
      </c>
      <c r="U2419" t="s">
        <v>274</v>
      </c>
      <c r="W2419">
        <v>0</v>
      </c>
      <c r="X2419">
        <v>0</v>
      </c>
      <c r="AM2419" t="s">
        <v>129</v>
      </c>
      <c r="AN2419" t="s">
        <v>130</v>
      </c>
      <c r="AP2419" t="s">
        <v>41</v>
      </c>
      <c r="AU2419" t="s">
        <v>46</v>
      </c>
      <c r="AZ2419" t="s">
        <v>51</v>
      </c>
      <c r="BA2419" t="s">
        <v>52</v>
      </c>
    </row>
    <row r="2420" spans="1:70" x14ac:dyDescent="0.2">
      <c r="A2420" t="s">
        <v>8390</v>
      </c>
      <c r="B2420" t="s">
        <v>7456</v>
      </c>
      <c r="C2420" t="s">
        <v>8546</v>
      </c>
      <c r="D2420" t="s">
        <v>3166</v>
      </c>
      <c r="E2420" t="s">
        <v>8547</v>
      </c>
      <c r="F2420" t="s">
        <v>118</v>
      </c>
      <c r="G2420" t="str">
        <f>HYPERLINK("https://vk.com/wall-27863223_291605?w=wall-27863223_291605_r291670")</f>
        <v>https://vk.com/wall-27863223_291605?w=wall-27863223_291605_r291670</v>
      </c>
      <c r="H2420" t="s">
        <v>119</v>
      </c>
      <c r="I2420" t="s">
        <v>2353</v>
      </c>
      <c r="J2420" t="str">
        <f>HYPERLINK("http://vk.com/id26675501")</f>
        <v>http://vk.com/id26675501</v>
      </c>
      <c r="K2420">
        <v>163</v>
      </c>
      <c r="L2420" t="s">
        <v>121</v>
      </c>
      <c r="M2420">
        <v>31</v>
      </c>
      <c r="N2420" t="s">
        <v>122</v>
      </c>
      <c r="O2420" t="s">
        <v>175</v>
      </c>
      <c r="P2420" t="str">
        <f>HYPERLINK("http://vk.com/club27863223")</f>
        <v>http://vk.com/club27863223</v>
      </c>
      <c r="Q2420">
        <v>134698</v>
      </c>
      <c r="R2420" t="s">
        <v>124</v>
      </c>
      <c r="S2420" t="s">
        <v>125</v>
      </c>
      <c r="T2420" t="s">
        <v>137</v>
      </c>
      <c r="U2420" t="s">
        <v>137</v>
      </c>
      <c r="W2420">
        <v>0</v>
      </c>
      <c r="X2420">
        <v>0</v>
      </c>
      <c r="AM2420" t="s">
        <v>129</v>
      </c>
      <c r="AN2420" t="s">
        <v>130</v>
      </c>
      <c r="AP2420" t="s">
        <v>41</v>
      </c>
      <c r="AU2420" t="s">
        <v>46</v>
      </c>
      <c r="AZ2420" t="s">
        <v>51</v>
      </c>
      <c r="BB2420" t="s">
        <v>53</v>
      </c>
    </row>
    <row r="2421" spans="1:70" x14ac:dyDescent="0.2">
      <c r="A2421" t="s">
        <v>8390</v>
      </c>
      <c r="B2421" t="s">
        <v>3112</v>
      </c>
      <c r="C2421" t="s">
        <v>8548</v>
      </c>
      <c r="D2421" t="s">
        <v>8549</v>
      </c>
      <c r="E2421" t="s">
        <v>8550</v>
      </c>
      <c r="F2421" t="s">
        <v>118</v>
      </c>
      <c r="G2421" t="str">
        <f>HYPERLINK("https://vk.com/wall-17227576_607836?reply=607895&amp;thread=607841")</f>
        <v>https://vk.com/wall-17227576_607836?reply=607895&amp;thread=607841</v>
      </c>
      <c r="H2421" t="s">
        <v>119</v>
      </c>
      <c r="I2421" t="s">
        <v>8551</v>
      </c>
      <c r="J2421" t="str">
        <f>HYPERLINK("http://vk.com/id353947731")</f>
        <v>http://vk.com/id353947731</v>
      </c>
      <c r="K2421">
        <v>168</v>
      </c>
      <c r="L2421" t="s">
        <v>151</v>
      </c>
      <c r="N2421" t="s">
        <v>122</v>
      </c>
      <c r="O2421" t="s">
        <v>8552</v>
      </c>
      <c r="P2421" t="str">
        <f>HYPERLINK("http://vk.com/club17227576")</f>
        <v>http://vk.com/club17227576</v>
      </c>
      <c r="Q2421">
        <v>9202</v>
      </c>
      <c r="R2421" t="s">
        <v>124</v>
      </c>
      <c r="S2421" t="s">
        <v>125</v>
      </c>
      <c r="T2421" t="s">
        <v>169</v>
      </c>
      <c r="U2421" t="s">
        <v>169</v>
      </c>
      <c r="AM2421" t="s">
        <v>129</v>
      </c>
      <c r="AN2421" t="s">
        <v>130</v>
      </c>
      <c r="AP2421" t="s">
        <v>41</v>
      </c>
      <c r="AT2421" t="s">
        <v>45</v>
      </c>
      <c r="AZ2421" t="s">
        <v>51</v>
      </c>
      <c r="BA2421" t="s">
        <v>52</v>
      </c>
      <c r="BL2421" t="s">
        <v>63</v>
      </c>
      <c r="BM2421" t="s">
        <v>64</v>
      </c>
    </row>
    <row r="2422" spans="1:70" x14ac:dyDescent="0.2">
      <c r="A2422" t="s">
        <v>8390</v>
      </c>
      <c r="B2422" t="s">
        <v>3112</v>
      </c>
      <c r="C2422" t="s">
        <v>8553</v>
      </c>
      <c r="D2422" t="s">
        <v>7672</v>
      </c>
      <c r="E2422" t="s">
        <v>8554</v>
      </c>
      <c r="F2422" t="s">
        <v>118</v>
      </c>
      <c r="G2422" t="str">
        <f>HYPERLINK("https://vk.com/wall-22935147_368315?reply=368329&amp;thread=368323")</f>
        <v>https://vk.com/wall-22935147_368315?reply=368329&amp;thread=368323</v>
      </c>
      <c r="H2422" t="s">
        <v>119</v>
      </c>
      <c r="I2422" t="s">
        <v>8555</v>
      </c>
      <c r="J2422" t="str">
        <f>HYPERLINK("http://vk.com/id155154685")</f>
        <v>http://vk.com/id155154685</v>
      </c>
      <c r="K2422">
        <v>493</v>
      </c>
      <c r="L2422" t="s">
        <v>121</v>
      </c>
      <c r="M2422">
        <v>27</v>
      </c>
      <c r="N2422" t="s">
        <v>122</v>
      </c>
      <c r="O2422" t="s">
        <v>1093</v>
      </c>
      <c r="P2422" t="str">
        <f>HYPERLINK("http://vk.com/club22935147")</f>
        <v>http://vk.com/club22935147</v>
      </c>
      <c r="Q2422">
        <v>8943</v>
      </c>
      <c r="R2422" t="s">
        <v>124</v>
      </c>
      <c r="S2422" t="s">
        <v>125</v>
      </c>
      <c r="T2422" t="s">
        <v>6649</v>
      </c>
      <c r="U2422" t="s">
        <v>8556</v>
      </c>
      <c r="AM2422" t="s">
        <v>129</v>
      </c>
      <c r="AN2422" t="s">
        <v>130</v>
      </c>
      <c r="AP2422" t="s">
        <v>41</v>
      </c>
      <c r="AU2422" t="s">
        <v>46</v>
      </c>
      <c r="AZ2422" t="s">
        <v>51</v>
      </c>
      <c r="BA2422" t="s">
        <v>52</v>
      </c>
    </row>
    <row r="2423" spans="1:70" x14ac:dyDescent="0.2">
      <c r="A2423" t="s">
        <v>8390</v>
      </c>
      <c r="B2423" t="s">
        <v>3126</v>
      </c>
      <c r="C2423" t="s">
        <v>8557</v>
      </c>
      <c r="D2423" t="s">
        <v>204</v>
      </c>
      <c r="E2423" t="s">
        <v>8558</v>
      </c>
      <c r="F2423" t="s">
        <v>180</v>
      </c>
      <c r="G2423" t="str">
        <f>HYPERLINK("https://play.google.com/store/apps/details?id=ru.iflex.android.a3colortv&amp;reviewId=gp:AOqpTOHbz97d8e5YRNymMtercdAfDtWMXl4MM237qqo83nJgos7RarmkAm9sZJop2Wx_QDy9LSeeciSX5Kc0AA")</f>
        <v>https://play.google.com/store/apps/details?id=ru.iflex.android.a3colortv&amp;reviewId=gp:AOqpTOHbz97d8e5YRNymMtercdAfDtWMXl4MM237qqo83nJgos7RarmkAm9sZJop2Wx_QDy9LSeeciSX5Kc0AA</v>
      </c>
      <c r="H2423" t="s">
        <v>181</v>
      </c>
      <c r="I2423" t="s">
        <v>8559</v>
      </c>
      <c r="J2423" t="str">
        <f>HYPERLINK("https://plus.google.com/113893135071933710237")</f>
        <v>https://plus.google.com/113893135071933710237</v>
      </c>
      <c r="L2423" t="s">
        <v>121</v>
      </c>
      <c r="N2423" t="s">
        <v>207</v>
      </c>
      <c r="O2423" t="s">
        <v>204</v>
      </c>
      <c r="P2423" t="str">
        <f>HYPERLINK("https://play.google.com/store/apps/details?id=ru.iflex.android.a3colortv&amp;hl=ru")</f>
        <v>https://play.google.com/store/apps/details?id=ru.iflex.android.a3colortv&amp;hl=ru</v>
      </c>
      <c r="R2423" t="s">
        <v>184</v>
      </c>
      <c r="S2423" t="s">
        <v>125</v>
      </c>
      <c r="W2423">
        <v>0</v>
      </c>
      <c r="X2423">
        <v>0</v>
      </c>
      <c r="AH2423">
        <v>5</v>
      </c>
      <c r="AM2423" t="s">
        <v>129</v>
      </c>
      <c r="AN2423" t="s">
        <v>130</v>
      </c>
      <c r="AP2423" t="s">
        <v>41</v>
      </c>
      <c r="AZ2423" t="s">
        <v>51</v>
      </c>
      <c r="BA2423" t="s">
        <v>52</v>
      </c>
      <c r="BQ2423" t="s">
        <v>68</v>
      </c>
    </row>
    <row r="2424" spans="1:70" x14ac:dyDescent="0.2">
      <c r="A2424" t="s">
        <v>8390</v>
      </c>
      <c r="B2424" t="s">
        <v>1000</v>
      </c>
      <c r="C2424" t="s">
        <v>8560</v>
      </c>
      <c r="D2424" t="s">
        <v>3166</v>
      </c>
      <c r="E2424" t="s">
        <v>8561</v>
      </c>
      <c r="F2424" t="s">
        <v>118</v>
      </c>
      <c r="G2424" t="str">
        <f>HYPERLINK("https://vk.com/wall-27863223_291605?reply=291669")</f>
        <v>https://vk.com/wall-27863223_291605?reply=291669</v>
      </c>
      <c r="H2424" t="s">
        <v>119</v>
      </c>
      <c r="I2424" t="s">
        <v>8562</v>
      </c>
      <c r="J2424" t="str">
        <f>HYPERLINK("http://vk.com/id6073633")</f>
        <v>http://vk.com/id6073633</v>
      </c>
      <c r="K2424">
        <v>331</v>
      </c>
      <c r="L2424" t="s">
        <v>151</v>
      </c>
      <c r="N2424" t="s">
        <v>122</v>
      </c>
      <c r="O2424" t="s">
        <v>175</v>
      </c>
      <c r="P2424" t="str">
        <f>HYPERLINK("http://vk.com/club27863223")</f>
        <v>http://vk.com/club27863223</v>
      </c>
      <c r="Q2424">
        <v>134698</v>
      </c>
      <c r="R2424" t="s">
        <v>124</v>
      </c>
      <c r="S2424" t="s">
        <v>125</v>
      </c>
      <c r="W2424">
        <v>0</v>
      </c>
      <c r="X2424">
        <v>0</v>
      </c>
      <c r="AM2424" t="s">
        <v>129</v>
      </c>
      <c r="AN2424" t="s">
        <v>130</v>
      </c>
      <c r="AP2424" t="s">
        <v>41</v>
      </c>
      <c r="AT2424" t="s">
        <v>45</v>
      </c>
      <c r="AZ2424" t="s">
        <v>51</v>
      </c>
      <c r="BA2424" t="s">
        <v>52</v>
      </c>
      <c r="BL2424" t="s">
        <v>63</v>
      </c>
      <c r="BR2424" t="s">
        <v>69</v>
      </c>
    </row>
    <row r="2425" spans="1:70" x14ac:dyDescent="0.2">
      <c r="A2425" t="s">
        <v>8390</v>
      </c>
      <c r="B2425" t="s">
        <v>1006</v>
      </c>
      <c r="C2425" t="s">
        <v>6454</v>
      </c>
      <c r="D2425" t="s">
        <v>8563</v>
      </c>
      <c r="E2425" t="s">
        <v>8564</v>
      </c>
      <c r="F2425" t="s">
        <v>180</v>
      </c>
      <c r="G2425" t="str">
        <f>HYPERLINK("https://www.ozon.ru/context/detail/id/182949895/#58910455")</f>
        <v>https://www.ozon.ru/context/detail/id/182949895/#58910455</v>
      </c>
      <c r="H2425" t="s">
        <v>181</v>
      </c>
      <c r="I2425" t="s">
        <v>8565</v>
      </c>
      <c r="J2425" t="str">
        <f>HYPERLINK("https://www.ozon.ru/context/client_opinion/ClientGuid/5e0e4fab-acff-4191-897a-0f621f2a55d9/")</f>
        <v>https://www.ozon.ru/context/client_opinion/ClientGuid/5e0e4fab-acff-4191-897a-0f621f2a55d9/</v>
      </c>
      <c r="L2425" t="s">
        <v>121</v>
      </c>
      <c r="N2425" t="s">
        <v>183</v>
      </c>
      <c r="O2425" t="s">
        <v>8563</v>
      </c>
      <c r="P2425" t="str">
        <f>HYPERLINK("https://www.ozon.ru/context/detail/id/182949895/")</f>
        <v>https://www.ozon.ru/context/detail/id/182949895/</v>
      </c>
      <c r="R2425" t="s">
        <v>184</v>
      </c>
      <c r="S2425" t="s">
        <v>125</v>
      </c>
      <c r="W2425">
        <v>0</v>
      </c>
      <c r="X2425">
        <v>0</v>
      </c>
      <c r="AH2425">
        <v>5</v>
      </c>
      <c r="AM2425" t="s">
        <v>129</v>
      </c>
      <c r="AN2425" t="s">
        <v>130</v>
      </c>
      <c r="AP2425" t="s">
        <v>41</v>
      </c>
      <c r="AT2425" t="s">
        <v>45</v>
      </c>
      <c r="AZ2425" t="s">
        <v>51</v>
      </c>
      <c r="BA2425" t="s">
        <v>52</v>
      </c>
      <c r="BK2425" t="s">
        <v>62</v>
      </c>
    </row>
    <row r="2426" spans="1:70" x14ac:dyDescent="0.2">
      <c r="A2426" t="s">
        <v>8390</v>
      </c>
      <c r="B2426" t="s">
        <v>6125</v>
      </c>
      <c r="C2426" t="s">
        <v>8566</v>
      </c>
      <c r="D2426" t="s">
        <v>8567</v>
      </c>
      <c r="E2426" t="s">
        <v>8568</v>
      </c>
      <c r="F2426" t="s">
        <v>180</v>
      </c>
      <c r="G2426" t="str">
        <f>HYPERLINK("https://www.telesputnik.ru/materials/novosti-kompanii/news/trikolor-i-stopkoronavirus-rf-zapustili-aktsiyu-privivaysya/")</f>
        <v>https://www.telesputnik.ru/materials/novosti-kompanii/news/trikolor-i-stopkoronavirus-rf-zapustili-aktsiyu-privivaysya/</v>
      </c>
      <c r="H2426" t="s">
        <v>119</v>
      </c>
      <c r="N2426" t="s">
        <v>335</v>
      </c>
      <c r="R2426" t="s">
        <v>785</v>
      </c>
      <c r="S2426" t="s">
        <v>125</v>
      </c>
      <c r="T2426" t="s">
        <v>487</v>
      </c>
      <c r="U2426" t="s">
        <v>1456</v>
      </c>
      <c r="AJ2426" t="s">
        <v>588</v>
      </c>
      <c r="AK2426" t="s">
        <v>8569</v>
      </c>
      <c r="AL2426" t="str">
        <f>HYPERLINK("http://www.telesputnik.ru/upload/iblock/ea0/trikolor_i_stopkoronavirus_rf_zapustili_aktsiyu_privivaysya.jpg")</f>
        <v>http://www.telesputnik.ru/upload/iblock/ea0/trikolor_i_stopkoronavirus_rf_zapustili_aktsiyu_privivaysya.jpg</v>
      </c>
      <c r="AM2426" t="s">
        <v>129</v>
      </c>
      <c r="AN2426" t="s">
        <v>130</v>
      </c>
      <c r="AV2426" t="s">
        <v>47</v>
      </c>
    </row>
    <row r="2427" spans="1:70" x14ac:dyDescent="0.2">
      <c r="A2427" t="s">
        <v>8390</v>
      </c>
      <c r="B2427" t="s">
        <v>8570</v>
      </c>
      <c r="C2427" t="s">
        <v>8571</v>
      </c>
      <c r="D2427" t="s">
        <v>8572</v>
      </c>
      <c r="E2427" t="s">
        <v>8573</v>
      </c>
      <c r="F2427" t="s">
        <v>118</v>
      </c>
      <c r="G2427" t="str">
        <f>HYPERLINK("https://www.wildberries.ru/catalog/13662835/detail.aspx?targetUrl=ES#Comments")</f>
        <v>https://www.wildberries.ru/catalog/13662835/detail.aspx?targetUrl=ES#Comments</v>
      </c>
      <c r="H2427" t="s">
        <v>119</v>
      </c>
      <c r="I2427" t="s">
        <v>3023</v>
      </c>
      <c r="J2427" t="str">
        <f>HYPERLINK("https://www.wildberries.ru/brands/trikolor")</f>
        <v>https://www.wildberries.ru/brands/trikolor</v>
      </c>
      <c r="L2427" t="s">
        <v>340</v>
      </c>
      <c r="N2427" t="s">
        <v>534</v>
      </c>
      <c r="O2427" t="s">
        <v>8572</v>
      </c>
      <c r="P2427" t="str">
        <f>HYPERLINK("https://www.wildberries.ru/catalog/10231193/detail.aspx")</f>
        <v>https://www.wildberries.ru/catalog/10231193/detail.aspx</v>
      </c>
      <c r="R2427" t="s">
        <v>184</v>
      </c>
      <c r="S2427" t="s">
        <v>125</v>
      </c>
      <c r="AM2427" t="s">
        <v>129</v>
      </c>
      <c r="AN2427" t="s">
        <v>130</v>
      </c>
      <c r="BI2427" t="s">
        <v>60</v>
      </c>
    </row>
    <row r="2428" spans="1:70" x14ac:dyDescent="0.2">
      <c r="A2428" t="s">
        <v>8390</v>
      </c>
      <c r="B2428" t="s">
        <v>8570</v>
      </c>
      <c r="C2428" t="s">
        <v>8574</v>
      </c>
      <c r="D2428" t="s">
        <v>8572</v>
      </c>
      <c r="E2428" t="s">
        <v>8575</v>
      </c>
      <c r="F2428" t="s">
        <v>180</v>
      </c>
      <c r="G2428" t="str">
        <f>HYPERLINK("https://www.wildberries.ru/catalog/13662835/detail.aspx?targetUrl=ES#Comments")</f>
        <v>https://www.wildberries.ru/catalog/13662835/detail.aspx?targetUrl=ES#Comments</v>
      </c>
      <c r="H2428" t="s">
        <v>119</v>
      </c>
      <c r="I2428" t="s">
        <v>3159</v>
      </c>
      <c r="J2428" t="str">
        <f>HYPERLINK("https://www.wildberries.ru/profile/w7TDssOkw7PCu8KzwrbCtMKywrDCs8KxwrM=")</f>
        <v>https://www.wildberries.ru/profile/w7TDssOkw7PCu8KzwrbCtMKywrDCs8KxwrM=</v>
      </c>
      <c r="L2428" t="s">
        <v>121</v>
      </c>
      <c r="N2428" t="s">
        <v>534</v>
      </c>
      <c r="O2428" t="s">
        <v>8572</v>
      </c>
      <c r="P2428" t="str">
        <f>HYPERLINK("https://www.wildberries.ru/catalog/10231193/detail.aspx")</f>
        <v>https://www.wildberries.ru/catalog/10231193/detail.aspx</v>
      </c>
      <c r="R2428" t="s">
        <v>184</v>
      </c>
      <c r="S2428" t="s">
        <v>125</v>
      </c>
      <c r="W2428">
        <v>0</v>
      </c>
      <c r="X2428">
        <v>0</v>
      </c>
      <c r="AH2428">
        <v>1</v>
      </c>
      <c r="AJ2428" t="s">
        <v>588</v>
      </c>
      <c r="AK2428" t="s">
        <v>129</v>
      </c>
      <c r="AL2428" t="str">
        <f>HYPERLINK("http://feedbackphotos.wbstatic.net/feedbacks/1023/10231193/fc94dbd4-9b50-4cdf-9245-9c8f0d7dc785_fs.jpg")</f>
        <v>http://feedbackphotos.wbstatic.net/feedbacks/1023/10231193/fc94dbd4-9b50-4cdf-9245-9c8f0d7dc785_fs.jpg</v>
      </c>
      <c r="AM2428" t="s">
        <v>129</v>
      </c>
      <c r="AN2428" t="s">
        <v>130</v>
      </c>
      <c r="AP2428" t="s">
        <v>41</v>
      </c>
      <c r="AT2428" t="s">
        <v>45</v>
      </c>
      <c r="AZ2428" t="s">
        <v>51</v>
      </c>
      <c r="BB2428" t="s">
        <v>53</v>
      </c>
    </row>
    <row r="2429" spans="1:70" x14ac:dyDescent="0.2">
      <c r="A2429" t="s">
        <v>8390</v>
      </c>
      <c r="B2429" t="s">
        <v>1020</v>
      </c>
      <c r="C2429" t="s">
        <v>8407</v>
      </c>
      <c r="D2429" t="s">
        <v>8576</v>
      </c>
      <c r="E2429" t="s">
        <v>8577</v>
      </c>
      <c r="F2429" t="s">
        <v>180</v>
      </c>
      <c r="G2429" t="str">
        <f>HYPERLINK("https://4pda.to/forum/index.php?showtopic=1027846&amp;st=380#entry107942501")</f>
        <v>https://4pda.to/forum/index.php?showtopic=1027846&amp;st=380#entry107942501</v>
      </c>
      <c r="H2429" t="s">
        <v>119</v>
      </c>
      <c r="I2429" t="s">
        <v>8578</v>
      </c>
      <c r="J2429" t="str">
        <f>HYPERLINK("https://4pda.to/forum/index.php?showuser=692477")</f>
        <v>https://4pda.to/forum/index.php?showuser=692477</v>
      </c>
      <c r="N2429" t="s">
        <v>293</v>
      </c>
      <c r="O2429" t="s">
        <v>901</v>
      </c>
      <c r="P2429" t="str">
        <f>HYPERLINK("https://4pda.to/forum/index.php?showforum=876")</f>
        <v>https://4pda.to/forum/index.php?showforum=876</v>
      </c>
      <c r="R2429" t="s">
        <v>295</v>
      </c>
      <c r="S2429" t="s">
        <v>125</v>
      </c>
      <c r="AM2429" t="s">
        <v>129</v>
      </c>
      <c r="AN2429" t="s">
        <v>130</v>
      </c>
      <c r="AP2429" t="s">
        <v>41</v>
      </c>
      <c r="AU2429" t="s">
        <v>46</v>
      </c>
      <c r="AY2429" t="s">
        <v>50</v>
      </c>
      <c r="AZ2429" t="s">
        <v>51</v>
      </c>
      <c r="BA2429" t="s">
        <v>52</v>
      </c>
      <c r="BL2429" t="s">
        <v>63</v>
      </c>
      <c r="BM2429" t="s">
        <v>64</v>
      </c>
    </row>
    <row r="2430" spans="1:70" x14ac:dyDescent="0.2">
      <c r="A2430" t="s">
        <v>8390</v>
      </c>
      <c r="B2430" t="s">
        <v>1023</v>
      </c>
      <c r="C2430" t="s">
        <v>8579</v>
      </c>
      <c r="D2430" t="s">
        <v>8580</v>
      </c>
      <c r="E2430" t="s">
        <v>8581</v>
      </c>
      <c r="F2430" t="s">
        <v>118</v>
      </c>
      <c r="G2430" t="str">
        <f>HYPERLINK("https://vk.com/wall-15722194_5571875?reply=5573428&amp;thread=5571970")</f>
        <v>https://vk.com/wall-15722194_5571875?reply=5573428&amp;thread=5571970</v>
      </c>
      <c r="H2430" t="s">
        <v>119</v>
      </c>
      <c r="I2430" t="s">
        <v>8582</v>
      </c>
      <c r="J2430" t="str">
        <f>HYPERLINK("http://vk.com/id302590123")</f>
        <v>http://vk.com/id302590123</v>
      </c>
      <c r="K2430">
        <v>142</v>
      </c>
      <c r="L2430" t="s">
        <v>151</v>
      </c>
      <c r="N2430" t="s">
        <v>122</v>
      </c>
      <c r="O2430" t="s">
        <v>8583</v>
      </c>
      <c r="P2430" t="str">
        <f>HYPERLINK("http://vk.com/club15722194")</f>
        <v>http://vk.com/club15722194</v>
      </c>
      <c r="Q2430">
        <v>840402</v>
      </c>
      <c r="R2430" t="s">
        <v>124</v>
      </c>
      <c r="S2430" t="s">
        <v>125</v>
      </c>
      <c r="T2430" t="s">
        <v>364</v>
      </c>
      <c r="U2430" t="s">
        <v>2610</v>
      </c>
      <c r="AM2430" t="s">
        <v>129</v>
      </c>
      <c r="AN2430" t="s">
        <v>130</v>
      </c>
      <c r="AP2430" t="s">
        <v>41</v>
      </c>
      <c r="AU2430" t="s">
        <v>46</v>
      </c>
      <c r="AZ2430" t="s">
        <v>51</v>
      </c>
      <c r="BA2430" t="s">
        <v>52</v>
      </c>
    </row>
    <row r="2431" spans="1:70" x14ac:dyDescent="0.2">
      <c r="A2431" t="s">
        <v>8390</v>
      </c>
      <c r="B2431" t="s">
        <v>2084</v>
      </c>
      <c r="C2431" t="s">
        <v>8584</v>
      </c>
      <c r="D2431" t="s">
        <v>8585</v>
      </c>
      <c r="E2431" t="s">
        <v>8586</v>
      </c>
      <c r="F2431" t="s">
        <v>118</v>
      </c>
      <c r="G2431" t="str">
        <f>HYPERLINK("https://telegram.me/forum_turkey/236699")</f>
        <v>https://telegram.me/forum_turkey/236699</v>
      </c>
      <c r="H2431" t="s">
        <v>119</v>
      </c>
      <c r="I2431" t="s">
        <v>8587</v>
      </c>
      <c r="J2431" t="str">
        <f>HYPERLINK("https://telegram.me/krom159")</f>
        <v>https://telegram.me/krom159</v>
      </c>
      <c r="N2431" t="s">
        <v>143</v>
      </c>
      <c r="O2431" t="s">
        <v>8327</v>
      </c>
      <c r="P2431" t="str">
        <f>HYPERLINK("https://telegram.me/forum_turkey")</f>
        <v>https://telegram.me/forum_turkey</v>
      </c>
      <c r="Q2431">
        <v>9505</v>
      </c>
      <c r="R2431" t="s">
        <v>145</v>
      </c>
      <c r="AM2431" t="s">
        <v>129</v>
      </c>
      <c r="AN2431" t="s">
        <v>130</v>
      </c>
      <c r="AP2431" t="s">
        <v>41</v>
      </c>
      <c r="AZ2431" t="s">
        <v>51</v>
      </c>
      <c r="BA2431" t="s">
        <v>52</v>
      </c>
    </row>
    <row r="2432" spans="1:70" x14ac:dyDescent="0.2">
      <c r="A2432" t="s">
        <v>8390</v>
      </c>
      <c r="B2432" t="s">
        <v>4796</v>
      </c>
      <c r="C2432" t="s">
        <v>8584</v>
      </c>
      <c r="D2432" t="s">
        <v>8588</v>
      </c>
      <c r="E2432" t="s">
        <v>8589</v>
      </c>
      <c r="F2432" t="s">
        <v>118</v>
      </c>
      <c r="G2432" t="str">
        <f>HYPERLINK("https://telegram.me/forum_turkey/236697")</f>
        <v>https://telegram.me/forum_turkey/236697</v>
      </c>
      <c r="H2432" t="s">
        <v>119</v>
      </c>
      <c r="I2432" t="s">
        <v>8590</v>
      </c>
      <c r="J2432" t="str">
        <f>HYPERLINK("https://telegram.me/1445313980")</f>
        <v>https://telegram.me/1445313980</v>
      </c>
      <c r="L2432" t="s">
        <v>121</v>
      </c>
      <c r="N2432" t="s">
        <v>143</v>
      </c>
      <c r="O2432" t="s">
        <v>8327</v>
      </c>
      <c r="P2432" t="str">
        <f>HYPERLINK("https://telegram.me/forum_turkey")</f>
        <v>https://telegram.me/forum_turkey</v>
      </c>
      <c r="Q2432">
        <v>9505</v>
      </c>
      <c r="R2432" t="s">
        <v>145</v>
      </c>
      <c r="AM2432" t="s">
        <v>129</v>
      </c>
      <c r="AN2432" t="s">
        <v>130</v>
      </c>
      <c r="AP2432" t="s">
        <v>41</v>
      </c>
      <c r="AZ2432" t="s">
        <v>51</v>
      </c>
      <c r="BA2432" t="s">
        <v>52</v>
      </c>
      <c r="BL2432" t="s">
        <v>63</v>
      </c>
      <c r="BQ2432" t="s">
        <v>68</v>
      </c>
    </row>
    <row r="2433" spans="1:100" x14ac:dyDescent="0.2">
      <c r="A2433" t="s">
        <v>8390</v>
      </c>
      <c r="B2433" t="s">
        <v>5761</v>
      </c>
      <c r="C2433" t="s">
        <v>8591</v>
      </c>
      <c r="D2433" t="s">
        <v>8592</v>
      </c>
      <c r="E2433" t="s">
        <v>8593</v>
      </c>
      <c r="F2433" t="s">
        <v>118</v>
      </c>
      <c r="G2433" t="str">
        <f>HYPERLINK("https://vk.com/wall-174694940_72860?reply=72946")</f>
        <v>https://vk.com/wall-174694940_72860?reply=72946</v>
      </c>
      <c r="H2433" t="s">
        <v>181</v>
      </c>
      <c r="I2433" t="s">
        <v>8594</v>
      </c>
      <c r="J2433" t="str">
        <f>HYPERLINK("http://vk.com/id523139106")</f>
        <v>http://vk.com/id523139106</v>
      </c>
      <c r="K2433">
        <v>179</v>
      </c>
      <c r="L2433" t="s">
        <v>121</v>
      </c>
      <c r="M2433">
        <v>48</v>
      </c>
      <c r="N2433" t="s">
        <v>122</v>
      </c>
      <c r="O2433" t="s">
        <v>8595</v>
      </c>
      <c r="P2433" t="str">
        <f>HYPERLINK("http://vk.com/club174694940")</f>
        <v>http://vk.com/club174694940</v>
      </c>
      <c r="Q2433">
        <v>13650</v>
      </c>
      <c r="R2433" t="s">
        <v>124</v>
      </c>
      <c r="S2433" t="s">
        <v>125</v>
      </c>
      <c r="T2433" t="s">
        <v>169</v>
      </c>
      <c r="U2433" t="s">
        <v>169</v>
      </c>
      <c r="AM2433" t="s">
        <v>129</v>
      </c>
      <c r="AN2433" t="s">
        <v>130</v>
      </c>
      <c r="AP2433" t="s">
        <v>41</v>
      </c>
      <c r="AZ2433" t="s">
        <v>51</v>
      </c>
      <c r="BA2433" t="s">
        <v>52</v>
      </c>
    </row>
    <row r="2434" spans="1:100" x14ac:dyDescent="0.2">
      <c r="A2434" t="s">
        <v>8390</v>
      </c>
      <c r="B2434" t="s">
        <v>1057</v>
      </c>
      <c r="C2434" t="s">
        <v>8584</v>
      </c>
      <c r="D2434" t="s">
        <v>8324</v>
      </c>
      <c r="E2434" t="s">
        <v>8585</v>
      </c>
      <c r="F2434" t="s">
        <v>118</v>
      </c>
      <c r="G2434" t="str">
        <f>HYPERLINK("https://telegram.me/forum_turkey/236687")</f>
        <v>https://telegram.me/forum_turkey/236687</v>
      </c>
      <c r="H2434" t="s">
        <v>228</v>
      </c>
      <c r="I2434" t="s">
        <v>8596</v>
      </c>
      <c r="J2434" t="str">
        <f>HYPERLINK("https://telegram.me/borabora")</f>
        <v>https://telegram.me/borabora</v>
      </c>
      <c r="N2434" t="s">
        <v>143</v>
      </c>
      <c r="O2434" t="s">
        <v>8327</v>
      </c>
      <c r="P2434" t="str">
        <f>HYPERLINK("https://telegram.me/forum_turkey")</f>
        <v>https://telegram.me/forum_turkey</v>
      </c>
      <c r="Q2434">
        <v>9505</v>
      </c>
      <c r="R2434" t="s">
        <v>145</v>
      </c>
      <c r="AM2434" t="s">
        <v>129</v>
      </c>
      <c r="AN2434" t="s">
        <v>130</v>
      </c>
      <c r="AP2434" t="s">
        <v>41</v>
      </c>
      <c r="AZ2434" t="s">
        <v>51</v>
      </c>
      <c r="BA2434" t="s">
        <v>52</v>
      </c>
      <c r="BL2434" t="s">
        <v>63</v>
      </c>
    </row>
    <row r="2435" spans="1:100" x14ac:dyDescent="0.2">
      <c r="A2435" t="s">
        <v>8390</v>
      </c>
      <c r="B2435" t="s">
        <v>8597</v>
      </c>
      <c r="C2435" t="s">
        <v>8598</v>
      </c>
      <c r="D2435" t="s">
        <v>7672</v>
      </c>
      <c r="E2435" t="s">
        <v>8599</v>
      </c>
      <c r="F2435" t="s">
        <v>118</v>
      </c>
      <c r="G2435" t="str">
        <f>HYPERLINK("https://vk.com/wall-22935147_368315?reply=368325")</f>
        <v>https://vk.com/wall-22935147_368315?reply=368325</v>
      </c>
      <c r="H2435" t="s">
        <v>119</v>
      </c>
      <c r="I2435" t="s">
        <v>4287</v>
      </c>
      <c r="J2435" t="str">
        <f>HYPERLINK("http://vk.com/id617199246")</f>
        <v>http://vk.com/id617199246</v>
      </c>
      <c r="K2435">
        <v>74</v>
      </c>
      <c r="L2435" t="s">
        <v>121</v>
      </c>
      <c r="M2435">
        <v>24</v>
      </c>
      <c r="N2435" t="s">
        <v>122</v>
      </c>
      <c r="O2435" t="s">
        <v>1093</v>
      </c>
      <c r="P2435" t="str">
        <f>HYPERLINK("http://vk.com/club22935147")</f>
        <v>http://vk.com/club22935147</v>
      </c>
      <c r="Q2435">
        <v>8943</v>
      </c>
      <c r="R2435" t="s">
        <v>124</v>
      </c>
      <c r="S2435" t="s">
        <v>125</v>
      </c>
      <c r="AM2435" t="s">
        <v>129</v>
      </c>
      <c r="AN2435" t="s">
        <v>130</v>
      </c>
      <c r="AP2435" t="s">
        <v>41</v>
      </c>
      <c r="AU2435" t="s">
        <v>46</v>
      </c>
      <c r="AZ2435" t="s">
        <v>51</v>
      </c>
      <c r="BA2435" t="s">
        <v>52</v>
      </c>
    </row>
    <row r="2436" spans="1:100" x14ac:dyDescent="0.2">
      <c r="A2436" t="s">
        <v>8390</v>
      </c>
      <c r="B2436" t="s">
        <v>6471</v>
      </c>
      <c r="C2436" t="s">
        <v>8600</v>
      </c>
      <c r="D2436" t="s">
        <v>7240</v>
      </c>
      <c r="E2436" t="s">
        <v>8601</v>
      </c>
      <c r="F2436" t="s">
        <v>118</v>
      </c>
      <c r="G2436" t="str">
        <f>HYPERLINK("https://vk.com/wall-25564835_222884?reply=222936")</f>
        <v>https://vk.com/wall-25564835_222884?reply=222936</v>
      </c>
      <c r="H2436" t="s">
        <v>228</v>
      </c>
      <c r="I2436" t="s">
        <v>7242</v>
      </c>
      <c r="J2436" t="str">
        <f>HYPERLINK("http://vk.com/id567818185")</f>
        <v>http://vk.com/id567818185</v>
      </c>
      <c r="K2436">
        <v>0</v>
      </c>
      <c r="L2436" t="s">
        <v>151</v>
      </c>
      <c r="N2436" t="s">
        <v>122</v>
      </c>
      <c r="O2436" t="s">
        <v>7243</v>
      </c>
      <c r="P2436" t="str">
        <f>HYPERLINK("http://vk.com/club25564835")</f>
        <v>http://vk.com/club25564835</v>
      </c>
      <c r="Q2436">
        <v>5788</v>
      </c>
      <c r="R2436" t="s">
        <v>124</v>
      </c>
      <c r="AM2436" t="s">
        <v>129</v>
      </c>
      <c r="AN2436" t="s">
        <v>130</v>
      </c>
      <c r="AP2436" t="s">
        <v>41</v>
      </c>
      <c r="AZ2436" t="s">
        <v>51</v>
      </c>
      <c r="BA2436" t="s">
        <v>52</v>
      </c>
      <c r="BL2436" t="s">
        <v>63</v>
      </c>
      <c r="CV2436" t="s">
        <v>99</v>
      </c>
    </row>
    <row r="2437" spans="1:100" x14ac:dyDescent="0.2">
      <c r="A2437" t="s">
        <v>8390</v>
      </c>
      <c r="B2437" t="s">
        <v>1640</v>
      </c>
      <c r="C2437" t="s">
        <v>8602</v>
      </c>
      <c r="D2437" t="s">
        <v>3166</v>
      </c>
      <c r="E2437" t="s">
        <v>8603</v>
      </c>
      <c r="F2437" t="s">
        <v>118</v>
      </c>
      <c r="G2437" t="str">
        <f>HYPERLINK("https://vk.com/wall-27863223_291605?w=wall-27863223_291605_r291667")</f>
        <v>https://vk.com/wall-27863223_291605?w=wall-27863223_291605_r291667</v>
      </c>
      <c r="H2437" t="s">
        <v>228</v>
      </c>
      <c r="I2437" t="s">
        <v>8187</v>
      </c>
      <c r="J2437" t="str">
        <f>HYPERLINK("http://vk.com/id179362216")</f>
        <v>http://vk.com/id179362216</v>
      </c>
      <c r="K2437">
        <v>171</v>
      </c>
      <c r="L2437" t="s">
        <v>121</v>
      </c>
      <c r="M2437">
        <v>33</v>
      </c>
      <c r="N2437" t="s">
        <v>122</v>
      </c>
      <c r="O2437" t="s">
        <v>175</v>
      </c>
      <c r="P2437" t="str">
        <f>HYPERLINK("http://vk.com/club27863223")</f>
        <v>http://vk.com/club27863223</v>
      </c>
      <c r="Q2437">
        <v>134698</v>
      </c>
      <c r="R2437" t="s">
        <v>124</v>
      </c>
      <c r="S2437" t="s">
        <v>125</v>
      </c>
      <c r="T2437" t="s">
        <v>612</v>
      </c>
      <c r="U2437" t="s">
        <v>5651</v>
      </c>
      <c r="W2437">
        <v>0</v>
      </c>
      <c r="X2437">
        <v>0</v>
      </c>
      <c r="AM2437" t="s">
        <v>129</v>
      </c>
      <c r="AN2437" t="s">
        <v>130</v>
      </c>
      <c r="AP2437" t="s">
        <v>41</v>
      </c>
      <c r="AX2437" t="s">
        <v>49</v>
      </c>
      <c r="AZ2437" t="s">
        <v>51</v>
      </c>
      <c r="BA2437" t="s">
        <v>52</v>
      </c>
    </row>
    <row r="2438" spans="1:100" x14ac:dyDescent="0.2">
      <c r="A2438" t="s">
        <v>8390</v>
      </c>
      <c r="B2438" t="s">
        <v>1641</v>
      </c>
      <c r="C2438" t="s">
        <v>8604</v>
      </c>
      <c r="D2438" t="s">
        <v>8605</v>
      </c>
      <c r="E2438" t="s">
        <v>8606</v>
      </c>
      <c r="F2438" t="s">
        <v>180</v>
      </c>
      <c r="G2438" t="str">
        <f>HYPERLINK("https://www.telesputnik.ru/materials/content/article/raznoobrazie-premialnogo-kontenta-za-dostupnye-dengi/")</f>
        <v>https://www.telesputnik.ru/materials/content/article/raznoobrazie-premialnogo-kontenta-za-dostupnye-dengi/</v>
      </c>
      <c r="H2438" t="s">
        <v>119</v>
      </c>
      <c r="N2438" t="s">
        <v>335</v>
      </c>
      <c r="R2438" t="s">
        <v>785</v>
      </c>
      <c r="S2438" t="s">
        <v>125</v>
      </c>
      <c r="AJ2438" t="s">
        <v>8607</v>
      </c>
      <c r="AK2438" t="s">
        <v>8608</v>
      </c>
      <c r="AL2438" t="str">
        <f>HYPERLINK("http://www.telesputnik.ru/upload/iblock/8a7/raznoobrazie_premialnogo_kontenta_za_dostupnye_dengi.jpg")</f>
        <v>http://www.telesputnik.ru/upload/iblock/8a7/raznoobrazie_premialnogo_kontenta_za_dostupnye_dengi.jpg</v>
      </c>
      <c r="AM2438" t="s">
        <v>129</v>
      </c>
      <c r="AN2438" t="s">
        <v>130</v>
      </c>
      <c r="AV2438" t="s">
        <v>47</v>
      </c>
    </row>
    <row r="2439" spans="1:100" x14ac:dyDescent="0.2">
      <c r="A2439" t="s">
        <v>8390</v>
      </c>
      <c r="B2439" t="s">
        <v>1655</v>
      </c>
      <c r="C2439" t="s">
        <v>8602</v>
      </c>
      <c r="D2439" t="s">
        <v>3166</v>
      </c>
      <c r="E2439" t="s">
        <v>8609</v>
      </c>
      <c r="F2439" t="s">
        <v>118</v>
      </c>
      <c r="G2439" t="str">
        <f>HYPERLINK("https://vk.com/wall-27863223_291605?w=wall-27863223_291605_r291665")</f>
        <v>https://vk.com/wall-27863223_291605?w=wall-27863223_291605_r291665</v>
      </c>
      <c r="H2439" t="s">
        <v>119</v>
      </c>
      <c r="I2439" t="s">
        <v>8187</v>
      </c>
      <c r="J2439" t="str">
        <f>HYPERLINK("http://vk.com/id179362216")</f>
        <v>http://vk.com/id179362216</v>
      </c>
      <c r="K2439">
        <v>171</v>
      </c>
      <c r="L2439" t="s">
        <v>121</v>
      </c>
      <c r="M2439">
        <v>33</v>
      </c>
      <c r="N2439" t="s">
        <v>122</v>
      </c>
      <c r="O2439" t="s">
        <v>175</v>
      </c>
      <c r="P2439" t="str">
        <f>HYPERLINK("http://vk.com/club27863223")</f>
        <v>http://vk.com/club27863223</v>
      </c>
      <c r="Q2439">
        <v>134698</v>
      </c>
      <c r="R2439" t="s">
        <v>124</v>
      </c>
      <c r="S2439" t="s">
        <v>125</v>
      </c>
      <c r="T2439" t="s">
        <v>612</v>
      </c>
      <c r="U2439" t="s">
        <v>5651</v>
      </c>
      <c r="W2439">
        <v>0</v>
      </c>
      <c r="X2439">
        <v>0</v>
      </c>
      <c r="AM2439" t="s">
        <v>129</v>
      </c>
      <c r="AN2439" t="s">
        <v>130</v>
      </c>
      <c r="AP2439" t="s">
        <v>41</v>
      </c>
      <c r="AY2439" t="s">
        <v>50</v>
      </c>
      <c r="AZ2439" t="s">
        <v>51</v>
      </c>
      <c r="BA2439" t="s">
        <v>52</v>
      </c>
    </row>
    <row r="2440" spans="1:100" x14ac:dyDescent="0.2">
      <c r="A2440" t="s">
        <v>8390</v>
      </c>
      <c r="B2440" t="s">
        <v>1666</v>
      </c>
      <c r="C2440" t="s">
        <v>8610</v>
      </c>
      <c r="D2440" t="s">
        <v>8611</v>
      </c>
      <c r="E2440" t="s">
        <v>8612</v>
      </c>
      <c r="F2440" t="s">
        <v>180</v>
      </c>
      <c r="G2440" t="str">
        <f>HYPERLINK("https://www.championat.com/boxing/article-4400395-boj-islam-mahachev-tiago-mojzes-pryamaya-translyaciya-ufc-vegas-31-onlajn-boya-mahachev-mojzes.html")</f>
        <v>https://www.championat.com/boxing/article-4400395-boj-islam-mahachev-tiago-mojzes-pryamaya-translyaciya-ufc-vegas-31-onlajn-boya-mahachev-mojzes.html</v>
      </c>
      <c r="H2440" t="s">
        <v>119</v>
      </c>
      <c r="I2440" t="s">
        <v>6548</v>
      </c>
      <c r="J2440" t="str">
        <f>HYPERLINK("http://championat.com")</f>
        <v>http://championat.com</v>
      </c>
      <c r="N2440" t="s">
        <v>6548</v>
      </c>
      <c r="R2440" t="s">
        <v>785</v>
      </c>
      <c r="S2440" t="s">
        <v>125</v>
      </c>
      <c r="AM2440" t="s">
        <v>129</v>
      </c>
      <c r="AN2440" t="s">
        <v>130</v>
      </c>
      <c r="AV2440" t="s">
        <v>47</v>
      </c>
    </row>
    <row r="2441" spans="1:100" x14ac:dyDescent="0.2">
      <c r="A2441" t="s">
        <v>8390</v>
      </c>
      <c r="B2441" t="s">
        <v>541</v>
      </c>
      <c r="C2441" t="s">
        <v>8613</v>
      </c>
      <c r="D2441" t="s">
        <v>3166</v>
      </c>
      <c r="E2441" t="s">
        <v>8614</v>
      </c>
      <c r="F2441" t="s">
        <v>118</v>
      </c>
      <c r="G2441" t="str">
        <f>HYPERLINK("https://vk.com/wall-27863223_291605?reply=291663")</f>
        <v>https://vk.com/wall-27863223_291605?reply=291663</v>
      </c>
      <c r="H2441" t="s">
        <v>119</v>
      </c>
      <c r="I2441" t="s">
        <v>8187</v>
      </c>
      <c r="J2441" t="str">
        <f>HYPERLINK("http://vk.com/id179362216")</f>
        <v>http://vk.com/id179362216</v>
      </c>
      <c r="K2441">
        <v>171</v>
      </c>
      <c r="L2441" t="s">
        <v>121</v>
      </c>
      <c r="M2441">
        <v>33</v>
      </c>
      <c r="N2441" t="s">
        <v>122</v>
      </c>
      <c r="O2441" t="s">
        <v>175</v>
      </c>
      <c r="P2441" t="str">
        <f>HYPERLINK("http://vk.com/club27863223")</f>
        <v>http://vk.com/club27863223</v>
      </c>
      <c r="Q2441">
        <v>134698</v>
      </c>
      <c r="R2441" t="s">
        <v>124</v>
      </c>
      <c r="S2441" t="s">
        <v>125</v>
      </c>
      <c r="T2441" t="s">
        <v>612</v>
      </c>
      <c r="U2441" t="s">
        <v>5651</v>
      </c>
      <c r="W2441">
        <v>0</v>
      </c>
      <c r="X2441">
        <v>0</v>
      </c>
      <c r="AM2441" t="s">
        <v>129</v>
      </c>
      <c r="AN2441" t="s">
        <v>130</v>
      </c>
      <c r="AP2441" t="s">
        <v>41</v>
      </c>
      <c r="AY2441" t="s">
        <v>50</v>
      </c>
      <c r="AZ2441" t="s">
        <v>51</v>
      </c>
      <c r="BA2441" t="s">
        <v>52</v>
      </c>
    </row>
    <row r="2442" spans="1:100" x14ac:dyDescent="0.2">
      <c r="A2442" t="s">
        <v>8390</v>
      </c>
      <c r="B2442" t="s">
        <v>4851</v>
      </c>
      <c r="C2442" t="s">
        <v>8615</v>
      </c>
      <c r="D2442" t="s">
        <v>7240</v>
      </c>
      <c r="E2442" t="s">
        <v>8616</v>
      </c>
      <c r="F2442" t="s">
        <v>118</v>
      </c>
      <c r="G2442" t="str">
        <f>HYPERLINK("https://vk.com/wall-25564835_222884?reply=222934&amp;thread=222925")</f>
        <v>https://vk.com/wall-25564835_222884?reply=222934&amp;thread=222925</v>
      </c>
      <c r="H2442" t="s">
        <v>119</v>
      </c>
      <c r="I2442" t="s">
        <v>8617</v>
      </c>
      <c r="J2442" t="str">
        <f>HYPERLINK("http://vk.com/id53504801")</f>
        <v>http://vk.com/id53504801</v>
      </c>
      <c r="K2442">
        <v>557</v>
      </c>
      <c r="L2442" t="s">
        <v>151</v>
      </c>
      <c r="N2442" t="s">
        <v>122</v>
      </c>
      <c r="O2442" t="s">
        <v>7243</v>
      </c>
      <c r="P2442" t="str">
        <f>HYPERLINK("http://vk.com/club25564835")</f>
        <v>http://vk.com/club25564835</v>
      </c>
      <c r="Q2442">
        <v>5788</v>
      </c>
      <c r="R2442" t="s">
        <v>124</v>
      </c>
      <c r="AM2442" t="s">
        <v>129</v>
      </c>
      <c r="AN2442" t="s">
        <v>130</v>
      </c>
      <c r="AP2442" t="s">
        <v>41</v>
      </c>
      <c r="AZ2442" t="s">
        <v>51</v>
      </c>
      <c r="BA2442" t="s">
        <v>52</v>
      </c>
      <c r="BL2442" t="s">
        <v>63</v>
      </c>
    </row>
    <row r="2443" spans="1:100" x14ac:dyDescent="0.2">
      <c r="A2443" t="s">
        <v>8390</v>
      </c>
      <c r="B2443" t="s">
        <v>559</v>
      </c>
      <c r="C2443" t="s">
        <v>8049</v>
      </c>
      <c r="D2443" t="s">
        <v>2052</v>
      </c>
      <c r="E2443" t="s">
        <v>6504</v>
      </c>
      <c r="F2443" t="s">
        <v>180</v>
      </c>
      <c r="G2443" t="str">
        <f>HYPERLINK("https://www.wildberries.ru/catalog/17288086/detail.aspx?targetUrl=ES#Comments")</f>
        <v>https://www.wildberries.ru/catalog/17288086/detail.aspx?targetUrl=ES#Comments</v>
      </c>
      <c r="H2443" t="s">
        <v>181</v>
      </c>
      <c r="I2443" t="s">
        <v>5428</v>
      </c>
      <c r="J2443" t="str">
        <f>HYPERLINK("https://www.wildberries.ru/profile/w7TDssOkw7PCu8KywrPCtsKwwrPCtsKywrU=")</f>
        <v>https://www.wildberries.ru/profile/w7TDssOkw7PCu8KywrPCtsKwwrPCtsKywrU=</v>
      </c>
      <c r="L2443" t="s">
        <v>151</v>
      </c>
      <c r="N2443" t="s">
        <v>534</v>
      </c>
      <c r="O2443" t="s">
        <v>2052</v>
      </c>
      <c r="P2443" t="str">
        <f>HYPERLINK("https://www.wildberries.ru/catalog/12874318/detail.aspx")</f>
        <v>https://www.wildberries.ru/catalog/12874318/detail.aspx</v>
      </c>
      <c r="R2443" t="s">
        <v>184</v>
      </c>
      <c r="S2443" t="s">
        <v>125</v>
      </c>
      <c r="W2443">
        <v>0</v>
      </c>
      <c r="X2443">
        <v>0</v>
      </c>
      <c r="AH2443">
        <v>5</v>
      </c>
      <c r="AM2443" t="s">
        <v>129</v>
      </c>
      <c r="AN2443" t="s">
        <v>130</v>
      </c>
      <c r="AP2443" t="s">
        <v>41</v>
      </c>
      <c r="AZ2443" t="s">
        <v>51</v>
      </c>
      <c r="BA2443" t="s">
        <v>52</v>
      </c>
      <c r="BK2443" t="s">
        <v>62</v>
      </c>
      <c r="BL2443" t="s">
        <v>63</v>
      </c>
    </row>
    <row r="2444" spans="1:100" x14ac:dyDescent="0.2">
      <c r="A2444" t="s">
        <v>8390</v>
      </c>
      <c r="B2444" t="s">
        <v>565</v>
      </c>
      <c r="C2444" t="s">
        <v>8618</v>
      </c>
      <c r="D2444" t="s">
        <v>8619</v>
      </c>
      <c r="E2444" t="s">
        <v>8620</v>
      </c>
      <c r="F2444" t="s">
        <v>118</v>
      </c>
      <c r="G2444" t="str">
        <f>HYPERLINK("https://vk.com/wall-201053965_13243?reply=13245")</f>
        <v>https://vk.com/wall-201053965_13243?reply=13245</v>
      </c>
      <c r="H2444" t="s">
        <v>181</v>
      </c>
      <c r="I2444" t="s">
        <v>8621</v>
      </c>
      <c r="J2444" t="str">
        <f>HYPERLINK("http://vk.com/id350509829")</f>
        <v>http://vk.com/id350509829</v>
      </c>
      <c r="K2444">
        <v>160</v>
      </c>
      <c r="L2444" t="s">
        <v>151</v>
      </c>
      <c r="N2444" t="s">
        <v>122</v>
      </c>
      <c r="O2444" t="s">
        <v>8622</v>
      </c>
      <c r="P2444" t="str">
        <f>HYPERLINK("http://vk.com/club201053965")</f>
        <v>http://vk.com/club201053965</v>
      </c>
      <c r="Q2444">
        <v>2156</v>
      </c>
      <c r="R2444" t="s">
        <v>124</v>
      </c>
      <c r="S2444" t="s">
        <v>125</v>
      </c>
      <c r="T2444" t="s">
        <v>212</v>
      </c>
      <c r="U2444" t="s">
        <v>8623</v>
      </c>
      <c r="AM2444" t="s">
        <v>129</v>
      </c>
      <c r="AN2444" t="s">
        <v>130</v>
      </c>
      <c r="AP2444" t="s">
        <v>41</v>
      </c>
      <c r="AT2444" t="s">
        <v>45</v>
      </c>
      <c r="AU2444" t="s">
        <v>46</v>
      </c>
      <c r="AZ2444" t="s">
        <v>51</v>
      </c>
      <c r="BA2444" t="s">
        <v>52</v>
      </c>
    </row>
    <row r="2445" spans="1:100" x14ac:dyDescent="0.2">
      <c r="A2445" t="s">
        <v>8390</v>
      </c>
      <c r="B2445" t="s">
        <v>2693</v>
      </c>
      <c r="C2445" t="s">
        <v>8624</v>
      </c>
      <c r="D2445" t="s">
        <v>7874</v>
      </c>
      <c r="E2445" t="s">
        <v>8625</v>
      </c>
      <c r="F2445" t="s">
        <v>118</v>
      </c>
      <c r="G2445" t="str">
        <f>HYPERLINK("https://vk.com/wall-49381792_33046?reply=33072")</f>
        <v>https://vk.com/wall-49381792_33046?reply=33072</v>
      </c>
      <c r="H2445" t="s">
        <v>119</v>
      </c>
      <c r="I2445" t="s">
        <v>2436</v>
      </c>
      <c r="J2445" t="str">
        <f>HYPERLINK("http://vk.com/id8629942")</f>
        <v>http://vk.com/id8629942</v>
      </c>
      <c r="K2445">
        <v>627</v>
      </c>
      <c r="L2445" t="s">
        <v>121</v>
      </c>
      <c r="N2445" t="s">
        <v>122</v>
      </c>
      <c r="O2445" t="s">
        <v>7801</v>
      </c>
      <c r="P2445" t="str">
        <f>HYPERLINK("http://vk.com/club49381792")</f>
        <v>http://vk.com/club49381792</v>
      </c>
      <c r="Q2445">
        <v>20931</v>
      </c>
      <c r="R2445" t="s">
        <v>124</v>
      </c>
      <c r="S2445" t="s">
        <v>125</v>
      </c>
      <c r="T2445" t="s">
        <v>2521</v>
      </c>
      <c r="U2445" t="s">
        <v>2522</v>
      </c>
      <c r="AM2445" t="s">
        <v>129</v>
      </c>
      <c r="AN2445" t="s">
        <v>130</v>
      </c>
      <c r="AP2445" t="s">
        <v>41</v>
      </c>
      <c r="AT2445" t="s">
        <v>45</v>
      </c>
      <c r="AY2445" t="s">
        <v>50</v>
      </c>
      <c r="AZ2445" t="s">
        <v>51</v>
      </c>
      <c r="BA2445" t="s">
        <v>52</v>
      </c>
    </row>
    <row r="2446" spans="1:100" x14ac:dyDescent="0.2">
      <c r="A2446" t="s">
        <v>8390</v>
      </c>
      <c r="B2446" t="s">
        <v>572</v>
      </c>
      <c r="C2446" t="s">
        <v>8626</v>
      </c>
      <c r="D2446" t="s">
        <v>3166</v>
      </c>
      <c r="E2446" t="s">
        <v>8627</v>
      </c>
      <c r="F2446" t="s">
        <v>118</v>
      </c>
      <c r="G2446" t="str">
        <f>HYPERLINK("https://vk.com/wall-27863223_291605?w=wall-27863223_291605_r291661")</f>
        <v>https://vk.com/wall-27863223_291605?w=wall-27863223_291605_r291661</v>
      </c>
      <c r="H2446" t="s">
        <v>119</v>
      </c>
      <c r="I2446" t="s">
        <v>8476</v>
      </c>
      <c r="J2446" t="str">
        <f>HYPERLINK("http://vk.com/id203215867")</f>
        <v>http://vk.com/id203215867</v>
      </c>
      <c r="K2446">
        <v>418</v>
      </c>
      <c r="L2446" t="s">
        <v>121</v>
      </c>
      <c r="M2446">
        <v>32</v>
      </c>
      <c r="N2446" t="s">
        <v>122</v>
      </c>
      <c r="O2446" t="s">
        <v>175</v>
      </c>
      <c r="P2446" t="str">
        <f>HYPERLINK("http://vk.com/club27863223")</f>
        <v>http://vk.com/club27863223</v>
      </c>
      <c r="Q2446">
        <v>134698</v>
      </c>
      <c r="R2446" t="s">
        <v>124</v>
      </c>
      <c r="S2446" t="s">
        <v>125</v>
      </c>
      <c r="T2446" t="s">
        <v>273</v>
      </c>
      <c r="U2446" t="s">
        <v>274</v>
      </c>
      <c r="W2446">
        <v>0</v>
      </c>
      <c r="X2446">
        <v>0</v>
      </c>
      <c r="AM2446" t="s">
        <v>129</v>
      </c>
      <c r="AN2446" t="s">
        <v>130</v>
      </c>
      <c r="AP2446" t="s">
        <v>41</v>
      </c>
      <c r="AZ2446" t="s">
        <v>51</v>
      </c>
      <c r="BA2446" t="s">
        <v>52</v>
      </c>
    </row>
    <row r="2447" spans="1:100" x14ac:dyDescent="0.2">
      <c r="A2447" t="s">
        <v>8390</v>
      </c>
      <c r="B2447" t="s">
        <v>577</v>
      </c>
      <c r="C2447" t="s">
        <v>8628</v>
      </c>
      <c r="D2447" t="s">
        <v>3166</v>
      </c>
      <c r="E2447" t="s">
        <v>8629</v>
      </c>
      <c r="F2447" t="s">
        <v>118</v>
      </c>
      <c r="G2447" t="str">
        <f>HYPERLINK("https://vk.com/wall-27863223_291605?reply=291659&amp;thread=291657")</f>
        <v>https://vk.com/wall-27863223_291605?reply=291659&amp;thread=291657</v>
      </c>
      <c r="H2447" t="s">
        <v>119</v>
      </c>
      <c r="I2447" t="s">
        <v>8476</v>
      </c>
      <c r="J2447" t="str">
        <f>HYPERLINK("http://vk.com/id203215867")</f>
        <v>http://vk.com/id203215867</v>
      </c>
      <c r="K2447">
        <v>418</v>
      </c>
      <c r="L2447" t="s">
        <v>121</v>
      </c>
      <c r="M2447">
        <v>32</v>
      </c>
      <c r="N2447" t="s">
        <v>122</v>
      </c>
      <c r="O2447" t="s">
        <v>175</v>
      </c>
      <c r="P2447" t="str">
        <f>HYPERLINK("http://vk.com/club27863223")</f>
        <v>http://vk.com/club27863223</v>
      </c>
      <c r="Q2447">
        <v>134698</v>
      </c>
      <c r="R2447" t="s">
        <v>124</v>
      </c>
      <c r="S2447" t="s">
        <v>125</v>
      </c>
      <c r="T2447" t="s">
        <v>273</v>
      </c>
      <c r="U2447" t="s">
        <v>274</v>
      </c>
      <c r="AM2447" t="s">
        <v>129</v>
      </c>
      <c r="AN2447" t="s">
        <v>130</v>
      </c>
      <c r="AP2447" t="s">
        <v>41</v>
      </c>
      <c r="AU2447" t="s">
        <v>46</v>
      </c>
      <c r="AZ2447" t="s">
        <v>51</v>
      </c>
      <c r="BA2447" t="s">
        <v>52</v>
      </c>
    </row>
    <row r="2448" spans="1:100" x14ac:dyDescent="0.2">
      <c r="A2448" t="s">
        <v>8390</v>
      </c>
      <c r="B2448" t="s">
        <v>580</v>
      </c>
      <c r="C2448" t="s">
        <v>8630</v>
      </c>
      <c r="D2448" t="s">
        <v>4458</v>
      </c>
      <c r="E2448" t="s">
        <v>8631</v>
      </c>
      <c r="F2448" t="s">
        <v>180</v>
      </c>
      <c r="G2448" t="str">
        <f>HYPERLINK("https://www.ozon.ru/context/detail/id/180483130/#58860841")</f>
        <v>https://www.ozon.ru/context/detail/id/180483130/#58860841</v>
      </c>
      <c r="H2448" t="s">
        <v>181</v>
      </c>
      <c r="I2448" t="s">
        <v>8632</v>
      </c>
      <c r="J2448" t="str">
        <f>HYPERLINK("https://www.ozon.ru/context/client_opinion/ClientGuid/f3d1ed78-104c-45bf-8fe8-14f2e55e9cc8/")</f>
        <v>https://www.ozon.ru/context/client_opinion/ClientGuid/f3d1ed78-104c-45bf-8fe8-14f2e55e9cc8/</v>
      </c>
      <c r="L2448" t="s">
        <v>121</v>
      </c>
      <c r="N2448" t="s">
        <v>183</v>
      </c>
      <c r="O2448" t="s">
        <v>4458</v>
      </c>
      <c r="P2448" t="str">
        <f>HYPERLINK("https://www.ozon.ru/context/detail/id/180483130/")</f>
        <v>https://www.ozon.ru/context/detail/id/180483130/</v>
      </c>
      <c r="R2448" t="s">
        <v>184</v>
      </c>
      <c r="S2448" t="s">
        <v>125</v>
      </c>
      <c r="W2448">
        <v>0</v>
      </c>
      <c r="X2448">
        <v>0</v>
      </c>
      <c r="AH2448">
        <v>5</v>
      </c>
      <c r="AJ2448" t="s">
        <v>8633</v>
      </c>
      <c r="AK2448" t="s">
        <v>129</v>
      </c>
      <c r="AL2448" t="str">
        <f>HYPERLINK("https://cdn1.ozone.ru/s3/rp-photo-3/6bd90b19-1bb0-4869-bb8b-61e76a6d1785.jpeg")</f>
        <v>https://cdn1.ozone.ru/s3/rp-photo-3/6bd90b19-1bb0-4869-bb8b-61e76a6d1785.jpeg</v>
      </c>
      <c r="AM2448" t="s">
        <v>129</v>
      </c>
      <c r="AN2448" t="s">
        <v>130</v>
      </c>
      <c r="AP2448" t="s">
        <v>41</v>
      </c>
      <c r="AZ2448" t="s">
        <v>51</v>
      </c>
      <c r="BA2448" t="s">
        <v>52</v>
      </c>
      <c r="BK2448" t="s">
        <v>62</v>
      </c>
      <c r="BL2448" t="s">
        <v>63</v>
      </c>
    </row>
    <row r="2449" spans="1:100" x14ac:dyDescent="0.2">
      <c r="A2449" t="s">
        <v>8390</v>
      </c>
      <c r="B2449" t="s">
        <v>580</v>
      </c>
      <c r="C2449" t="s">
        <v>8626</v>
      </c>
      <c r="D2449" t="s">
        <v>3166</v>
      </c>
      <c r="E2449" t="s">
        <v>8634</v>
      </c>
      <c r="F2449" t="s">
        <v>118</v>
      </c>
      <c r="G2449" t="str">
        <f>HYPERLINK("https://vk.com/wall-27863223_291605?reply=291657")</f>
        <v>https://vk.com/wall-27863223_291605?reply=291657</v>
      </c>
      <c r="H2449" t="s">
        <v>119</v>
      </c>
      <c r="I2449" t="s">
        <v>8476</v>
      </c>
      <c r="J2449" t="str">
        <f>HYPERLINK("http://vk.com/id203215867")</f>
        <v>http://vk.com/id203215867</v>
      </c>
      <c r="K2449">
        <v>418</v>
      </c>
      <c r="L2449" t="s">
        <v>121</v>
      </c>
      <c r="M2449">
        <v>32</v>
      </c>
      <c r="N2449" t="s">
        <v>122</v>
      </c>
      <c r="O2449" t="s">
        <v>175</v>
      </c>
      <c r="P2449" t="str">
        <f>HYPERLINK("http://vk.com/club27863223")</f>
        <v>http://vk.com/club27863223</v>
      </c>
      <c r="Q2449">
        <v>134698</v>
      </c>
      <c r="R2449" t="s">
        <v>124</v>
      </c>
      <c r="S2449" t="s">
        <v>125</v>
      </c>
      <c r="T2449" t="s">
        <v>273</v>
      </c>
      <c r="U2449" t="s">
        <v>274</v>
      </c>
      <c r="W2449">
        <v>0</v>
      </c>
      <c r="X2449">
        <v>0</v>
      </c>
      <c r="AM2449" t="s">
        <v>129</v>
      </c>
      <c r="AN2449" t="s">
        <v>130</v>
      </c>
      <c r="AP2449" t="s">
        <v>41</v>
      </c>
      <c r="AU2449" t="s">
        <v>46</v>
      </c>
      <c r="BA2449" t="s">
        <v>52</v>
      </c>
      <c r="BE2449" t="s">
        <v>56</v>
      </c>
      <c r="BL2449" t="s">
        <v>63</v>
      </c>
    </row>
    <row r="2450" spans="1:100" x14ac:dyDescent="0.2">
      <c r="A2450" t="s">
        <v>8390</v>
      </c>
      <c r="B2450" t="s">
        <v>3213</v>
      </c>
      <c r="C2450" t="s">
        <v>8635</v>
      </c>
      <c r="D2450" t="s">
        <v>7240</v>
      </c>
      <c r="E2450" t="s">
        <v>8636</v>
      </c>
      <c r="F2450" t="s">
        <v>118</v>
      </c>
      <c r="G2450" t="str">
        <f>HYPERLINK("https://vk.com/wall-25564835_222884?reply=222927")</f>
        <v>https://vk.com/wall-25564835_222884?reply=222927</v>
      </c>
      <c r="H2450" t="s">
        <v>119</v>
      </c>
      <c r="I2450" t="s">
        <v>8637</v>
      </c>
      <c r="J2450" t="str">
        <f>HYPERLINK("http://vk.com/id105545894")</f>
        <v>http://vk.com/id105545894</v>
      </c>
      <c r="K2450">
        <v>124</v>
      </c>
      <c r="L2450" t="s">
        <v>151</v>
      </c>
      <c r="N2450" t="s">
        <v>122</v>
      </c>
      <c r="O2450" t="s">
        <v>7243</v>
      </c>
      <c r="P2450" t="str">
        <f>HYPERLINK("http://vk.com/club25564835")</f>
        <v>http://vk.com/club25564835</v>
      </c>
      <c r="Q2450">
        <v>5788</v>
      </c>
      <c r="R2450" t="s">
        <v>124</v>
      </c>
      <c r="S2450" t="s">
        <v>125</v>
      </c>
      <c r="T2450" t="s">
        <v>153</v>
      </c>
      <c r="U2450" t="s">
        <v>8638</v>
      </c>
      <c r="AM2450" t="s">
        <v>129</v>
      </c>
      <c r="AN2450" t="s">
        <v>130</v>
      </c>
      <c r="AP2450" t="s">
        <v>41</v>
      </c>
      <c r="AT2450" t="s">
        <v>45</v>
      </c>
      <c r="AZ2450" t="s">
        <v>51</v>
      </c>
      <c r="BA2450" t="s">
        <v>52</v>
      </c>
    </row>
    <row r="2451" spans="1:100" x14ac:dyDescent="0.2">
      <c r="A2451" t="s">
        <v>8390</v>
      </c>
      <c r="B2451" t="s">
        <v>3216</v>
      </c>
      <c r="C2451" t="s">
        <v>8639</v>
      </c>
      <c r="D2451" t="s">
        <v>8256</v>
      </c>
      <c r="E2451" t="s">
        <v>8640</v>
      </c>
      <c r="F2451" t="s">
        <v>118</v>
      </c>
      <c r="G2451" t="str">
        <f>HYPERLINK("https://vk.com/wall-200120043_2914?reply=2953&amp;thread=2939")</f>
        <v>https://vk.com/wall-200120043_2914?reply=2953&amp;thread=2939</v>
      </c>
      <c r="H2451" t="s">
        <v>228</v>
      </c>
      <c r="I2451" t="s">
        <v>8641</v>
      </c>
      <c r="J2451" t="str">
        <f>HYPERLINK("http://vk.com/id201611797")</f>
        <v>http://vk.com/id201611797</v>
      </c>
      <c r="K2451">
        <v>272</v>
      </c>
      <c r="L2451" t="s">
        <v>151</v>
      </c>
      <c r="N2451" t="s">
        <v>122</v>
      </c>
      <c r="O2451" t="s">
        <v>8259</v>
      </c>
      <c r="P2451" t="str">
        <f>HYPERLINK("http://vk.com/club200120043")</f>
        <v>http://vk.com/club200120043</v>
      </c>
      <c r="Q2451">
        <v>1362</v>
      </c>
      <c r="R2451" t="s">
        <v>124</v>
      </c>
      <c r="S2451" t="s">
        <v>125</v>
      </c>
      <c r="T2451" t="s">
        <v>667</v>
      </c>
      <c r="U2451" t="s">
        <v>4785</v>
      </c>
      <c r="AM2451" t="s">
        <v>129</v>
      </c>
      <c r="AN2451" t="s">
        <v>130</v>
      </c>
      <c r="AP2451" t="s">
        <v>41</v>
      </c>
      <c r="AX2451" t="s">
        <v>49</v>
      </c>
      <c r="AY2451" t="s">
        <v>50</v>
      </c>
      <c r="AZ2451" t="s">
        <v>51</v>
      </c>
      <c r="BA2451" t="s">
        <v>52</v>
      </c>
    </row>
    <row r="2452" spans="1:100" x14ac:dyDescent="0.2">
      <c r="A2452" t="s">
        <v>8390</v>
      </c>
      <c r="B2452" t="s">
        <v>621</v>
      </c>
      <c r="C2452" t="s">
        <v>8642</v>
      </c>
      <c r="D2452" t="s">
        <v>7672</v>
      </c>
      <c r="E2452" t="s">
        <v>8643</v>
      </c>
      <c r="F2452" t="s">
        <v>118</v>
      </c>
      <c r="G2452" t="str">
        <f>HYPERLINK("https://vk.com/wall-22935147_368315?reply=368323")</f>
        <v>https://vk.com/wall-22935147_368315?reply=368323</v>
      </c>
      <c r="H2452" t="s">
        <v>119</v>
      </c>
      <c r="I2452" t="s">
        <v>5114</v>
      </c>
      <c r="J2452" t="str">
        <f>HYPERLINK("http://vk.com/id365357670")</f>
        <v>http://vk.com/id365357670</v>
      </c>
      <c r="K2452">
        <v>8</v>
      </c>
      <c r="L2452" t="s">
        <v>121</v>
      </c>
      <c r="M2452">
        <v>30</v>
      </c>
      <c r="N2452" t="s">
        <v>122</v>
      </c>
      <c r="O2452" t="s">
        <v>1093</v>
      </c>
      <c r="P2452" t="str">
        <f>HYPERLINK("http://vk.com/club22935147")</f>
        <v>http://vk.com/club22935147</v>
      </c>
      <c r="Q2452">
        <v>8943</v>
      </c>
      <c r="R2452" t="s">
        <v>124</v>
      </c>
      <c r="S2452" t="s">
        <v>125</v>
      </c>
      <c r="T2452" t="s">
        <v>5115</v>
      </c>
      <c r="U2452" t="s">
        <v>5116</v>
      </c>
      <c r="AM2452" t="s">
        <v>129</v>
      </c>
      <c r="AN2452" t="s">
        <v>130</v>
      </c>
      <c r="AP2452" t="s">
        <v>41</v>
      </c>
      <c r="AU2452" t="s">
        <v>46</v>
      </c>
      <c r="AZ2452" t="s">
        <v>51</v>
      </c>
      <c r="BA2452" t="s">
        <v>52</v>
      </c>
    </row>
    <row r="2453" spans="1:100" x14ac:dyDescent="0.2">
      <c r="A2453" t="s">
        <v>8390</v>
      </c>
      <c r="B2453" t="s">
        <v>4421</v>
      </c>
      <c r="C2453" t="s">
        <v>8644</v>
      </c>
      <c r="D2453" t="s">
        <v>7672</v>
      </c>
      <c r="E2453" t="s">
        <v>8645</v>
      </c>
      <c r="F2453" t="s">
        <v>118</v>
      </c>
      <c r="G2453" t="str">
        <f>HYPERLINK("https://vk.com/wall-22935147_368315?reply=368322")</f>
        <v>https://vk.com/wall-22935147_368315?reply=368322</v>
      </c>
      <c r="H2453" t="s">
        <v>119</v>
      </c>
      <c r="I2453" t="s">
        <v>8646</v>
      </c>
      <c r="J2453" t="str">
        <f>HYPERLINK("http://vk.com/id429636685")</f>
        <v>http://vk.com/id429636685</v>
      </c>
      <c r="K2453">
        <v>14</v>
      </c>
      <c r="L2453" t="s">
        <v>121</v>
      </c>
      <c r="N2453" t="s">
        <v>122</v>
      </c>
      <c r="O2453" t="s">
        <v>1093</v>
      </c>
      <c r="P2453" t="str">
        <f>HYPERLINK("http://vk.com/club22935147")</f>
        <v>http://vk.com/club22935147</v>
      </c>
      <c r="Q2453">
        <v>8943</v>
      </c>
      <c r="R2453" t="s">
        <v>124</v>
      </c>
      <c r="S2453" t="s">
        <v>125</v>
      </c>
      <c r="T2453" t="s">
        <v>3158</v>
      </c>
      <c r="U2453" t="s">
        <v>8647</v>
      </c>
      <c r="AM2453" t="s">
        <v>129</v>
      </c>
      <c r="AN2453" t="s">
        <v>130</v>
      </c>
      <c r="AP2453" t="s">
        <v>41</v>
      </c>
      <c r="AU2453" t="s">
        <v>46</v>
      </c>
      <c r="AZ2453" t="s">
        <v>51</v>
      </c>
      <c r="BB2453" t="s">
        <v>53</v>
      </c>
    </row>
    <row r="2454" spans="1:100" x14ac:dyDescent="0.2">
      <c r="A2454" t="s">
        <v>8390</v>
      </c>
      <c r="B2454" t="s">
        <v>639</v>
      </c>
      <c r="C2454" t="s">
        <v>8648</v>
      </c>
      <c r="D2454" t="s">
        <v>7240</v>
      </c>
      <c r="E2454" t="s">
        <v>8649</v>
      </c>
      <c r="F2454" t="s">
        <v>118</v>
      </c>
      <c r="G2454" t="str">
        <f>HYPERLINK("https://vk.com/wall-25564835_222884?reply=222925")</f>
        <v>https://vk.com/wall-25564835_222884?reply=222925</v>
      </c>
      <c r="H2454" t="s">
        <v>228</v>
      </c>
      <c r="I2454" t="s">
        <v>8650</v>
      </c>
      <c r="J2454" t="str">
        <f>HYPERLINK("http://vk.com/id527344824")</f>
        <v>http://vk.com/id527344824</v>
      </c>
      <c r="K2454">
        <v>64</v>
      </c>
      <c r="L2454" t="s">
        <v>151</v>
      </c>
      <c r="M2454">
        <v>36</v>
      </c>
      <c r="N2454" t="s">
        <v>122</v>
      </c>
      <c r="O2454" t="s">
        <v>7243</v>
      </c>
      <c r="P2454" t="str">
        <f>HYPERLINK("http://vk.com/club25564835")</f>
        <v>http://vk.com/club25564835</v>
      </c>
      <c r="Q2454">
        <v>5788</v>
      </c>
      <c r="R2454" t="s">
        <v>124</v>
      </c>
      <c r="AM2454" t="s">
        <v>129</v>
      </c>
      <c r="AN2454" t="s">
        <v>130</v>
      </c>
      <c r="AP2454" t="s">
        <v>41</v>
      </c>
      <c r="AW2454" t="s">
        <v>48</v>
      </c>
      <c r="AZ2454" t="s">
        <v>51</v>
      </c>
      <c r="BA2454" t="s">
        <v>52</v>
      </c>
      <c r="BL2454" t="s">
        <v>63</v>
      </c>
      <c r="CV2454" t="s">
        <v>99</v>
      </c>
    </row>
    <row r="2455" spans="1:100" x14ac:dyDescent="0.2">
      <c r="A2455" t="s">
        <v>8390</v>
      </c>
      <c r="B2455" t="s">
        <v>645</v>
      </c>
      <c r="C2455" t="s">
        <v>8651</v>
      </c>
      <c r="D2455" t="s">
        <v>7240</v>
      </c>
      <c r="E2455" t="s">
        <v>8652</v>
      </c>
      <c r="F2455" t="s">
        <v>118</v>
      </c>
      <c r="G2455" t="str">
        <f>HYPERLINK("https://vk.com/wall-25564835_222884?reply=222924")</f>
        <v>https://vk.com/wall-25564835_222884?reply=222924</v>
      </c>
      <c r="H2455" t="s">
        <v>119</v>
      </c>
      <c r="I2455" t="s">
        <v>8650</v>
      </c>
      <c r="J2455" t="str">
        <f>HYPERLINK("http://vk.com/id527344824")</f>
        <v>http://vk.com/id527344824</v>
      </c>
      <c r="K2455">
        <v>64</v>
      </c>
      <c r="L2455" t="s">
        <v>151</v>
      </c>
      <c r="M2455">
        <v>36</v>
      </c>
      <c r="N2455" t="s">
        <v>122</v>
      </c>
      <c r="O2455" t="s">
        <v>7243</v>
      </c>
      <c r="P2455" t="str">
        <f>HYPERLINK("http://vk.com/club25564835")</f>
        <v>http://vk.com/club25564835</v>
      </c>
      <c r="Q2455">
        <v>5788</v>
      </c>
      <c r="R2455" t="s">
        <v>124</v>
      </c>
      <c r="AM2455" t="s">
        <v>129</v>
      </c>
      <c r="AN2455" t="s">
        <v>130</v>
      </c>
      <c r="AP2455" t="s">
        <v>41</v>
      </c>
      <c r="AT2455" t="s">
        <v>45</v>
      </c>
      <c r="AZ2455" t="s">
        <v>51</v>
      </c>
      <c r="BA2455" t="s">
        <v>52</v>
      </c>
      <c r="BL2455" t="s">
        <v>63</v>
      </c>
    </row>
    <row r="2456" spans="1:100" x14ac:dyDescent="0.2">
      <c r="A2456" t="s">
        <v>8390</v>
      </c>
      <c r="B2456" t="s">
        <v>2181</v>
      </c>
      <c r="C2456" t="s">
        <v>8653</v>
      </c>
      <c r="D2456" t="s">
        <v>7672</v>
      </c>
      <c r="E2456" t="s">
        <v>130</v>
      </c>
      <c r="F2456" t="s">
        <v>118</v>
      </c>
      <c r="G2456" t="str">
        <f>HYPERLINK("https://vk.com/wall-22935147_368315?reply=368320")</f>
        <v>https://vk.com/wall-22935147_368315?reply=368320</v>
      </c>
      <c r="H2456" t="s">
        <v>119</v>
      </c>
      <c r="I2456" t="s">
        <v>3125</v>
      </c>
      <c r="J2456" t="str">
        <f>HYPERLINK("http://vk.com/id163176940")</f>
        <v>http://vk.com/id163176940</v>
      </c>
      <c r="K2456">
        <v>20</v>
      </c>
      <c r="L2456" t="s">
        <v>121</v>
      </c>
      <c r="N2456" t="s">
        <v>122</v>
      </c>
      <c r="O2456" t="s">
        <v>1093</v>
      </c>
      <c r="P2456" t="str">
        <f>HYPERLINK("http://vk.com/club22935147")</f>
        <v>http://vk.com/club22935147</v>
      </c>
      <c r="Q2456">
        <v>8943</v>
      </c>
      <c r="R2456" t="s">
        <v>124</v>
      </c>
      <c r="S2456" t="s">
        <v>125</v>
      </c>
      <c r="T2456" t="s">
        <v>1103</v>
      </c>
      <c r="U2456" t="s">
        <v>1104</v>
      </c>
      <c r="AM2456" t="s">
        <v>129</v>
      </c>
      <c r="AN2456" t="s">
        <v>130</v>
      </c>
      <c r="AP2456" t="s">
        <v>41</v>
      </c>
      <c r="AU2456" t="s">
        <v>46</v>
      </c>
      <c r="AZ2456" t="s">
        <v>51</v>
      </c>
      <c r="BA2456" t="s">
        <v>52</v>
      </c>
    </row>
    <row r="2457" spans="1:100" x14ac:dyDescent="0.2">
      <c r="A2457" t="s">
        <v>8390</v>
      </c>
      <c r="B2457" t="s">
        <v>6177</v>
      </c>
      <c r="C2457" t="s">
        <v>8654</v>
      </c>
      <c r="D2457" t="s">
        <v>8655</v>
      </c>
      <c r="E2457" t="s">
        <v>8656</v>
      </c>
      <c r="F2457" t="s">
        <v>118</v>
      </c>
      <c r="G2457" t="str">
        <f>HYPERLINK("https://vk.com/wall-61101621_254594?reply=254608")</f>
        <v>https://vk.com/wall-61101621_254594?reply=254608</v>
      </c>
      <c r="H2457" t="s">
        <v>119</v>
      </c>
      <c r="I2457" t="s">
        <v>6303</v>
      </c>
      <c r="J2457" t="str">
        <f>HYPERLINK("http://vk.com/id545861987")</f>
        <v>http://vk.com/id545861987</v>
      </c>
      <c r="K2457">
        <v>22</v>
      </c>
      <c r="L2457" t="s">
        <v>121</v>
      </c>
      <c r="M2457">
        <v>50</v>
      </c>
      <c r="N2457" t="s">
        <v>122</v>
      </c>
      <c r="O2457" t="s">
        <v>160</v>
      </c>
      <c r="P2457" t="str">
        <f>HYPERLINK("http://vk.com/club61101621")</f>
        <v>http://vk.com/club61101621</v>
      </c>
      <c r="Q2457">
        <v>21119</v>
      </c>
      <c r="R2457" t="s">
        <v>124</v>
      </c>
      <c r="S2457" t="s">
        <v>125</v>
      </c>
      <c r="T2457" t="s">
        <v>989</v>
      </c>
      <c r="U2457" t="s">
        <v>990</v>
      </c>
      <c r="W2457">
        <v>0</v>
      </c>
      <c r="X2457">
        <v>0</v>
      </c>
      <c r="AM2457" t="s">
        <v>129</v>
      </c>
      <c r="AN2457" t="s">
        <v>130</v>
      </c>
      <c r="AP2457" t="s">
        <v>41</v>
      </c>
      <c r="AW2457" t="s">
        <v>48</v>
      </c>
      <c r="AZ2457" t="s">
        <v>51</v>
      </c>
      <c r="BA2457" t="s">
        <v>52</v>
      </c>
      <c r="BM2457" t="s">
        <v>64</v>
      </c>
    </row>
    <row r="2458" spans="1:100" x14ac:dyDescent="0.2">
      <c r="A2458" t="s">
        <v>8390</v>
      </c>
      <c r="B2458" t="s">
        <v>655</v>
      </c>
      <c r="C2458" t="s">
        <v>8657</v>
      </c>
      <c r="D2458" t="s">
        <v>8658</v>
      </c>
      <c r="E2458" t="s">
        <v>8659</v>
      </c>
      <c r="F2458" t="s">
        <v>180</v>
      </c>
      <c r="G2458" t="str">
        <f>HYPERLINK("https://releases.ict-online.ru/news/n197942/")</f>
        <v>https://releases.ict-online.ru/news/n197942/</v>
      </c>
      <c r="H2458" t="s">
        <v>119</v>
      </c>
      <c r="N2458" t="s">
        <v>1051</v>
      </c>
      <c r="R2458" t="s">
        <v>785</v>
      </c>
      <c r="S2458" t="s">
        <v>125</v>
      </c>
      <c r="AL2458" t="str">
        <f>HYPERLINK("https://releases.ict-online.ru/files/lid_image197942.jpg")</f>
        <v>https://releases.ict-online.ru/files/lid_image197942.jpg</v>
      </c>
      <c r="AM2458" t="s">
        <v>129</v>
      </c>
      <c r="AN2458" t="s">
        <v>130</v>
      </c>
      <c r="AV2458" t="s">
        <v>47</v>
      </c>
    </row>
    <row r="2459" spans="1:100" x14ac:dyDescent="0.2">
      <c r="A2459" t="s">
        <v>8390</v>
      </c>
      <c r="B2459" t="s">
        <v>8660</v>
      </c>
      <c r="C2459" t="s">
        <v>8661</v>
      </c>
      <c r="D2459" t="s">
        <v>204</v>
      </c>
      <c r="E2459" t="s">
        <v>8662</v>
      </c>
      <c r="F2459" t="s">
        <v>180</v>
      </c>
      <c r="G2459" t="str">
        <f>HYPERLINK("https://play.google.com/store/apps/details?id=ru.iflex.android.a3colortv&amp;reviewId=gp:AOqpTOGs1uI7S1Ghn9bJRz-lzAQqlev9VtG5kJE7pD_QpcpoldH6AJUB0BSS5mSs9zPKhwIUv5HHe0DS6SMOZg")</f>
        <v>https://play.google.com/store/apps/details?id=ru.iflex.android.a3colortv&amp;reviewId=gp:AOqpTOGs1uI7S1Ghn9bJRz-lzAQqlev9VtG5kJE7pD_QpcpoldH6AJUB0BSS5mSs9zPKhwIUv5HHe0DS6SMOZg</v>
      </c>
      <c r="H2459" t="s">
        <v>228</v>
      </c>
      <c r="I2459" t="s">
        <v>8663</v>
      </c>
      <c r="J2459" t="str">
        <f>HYPERLINK("https://plus.google.com/116100065976196902686")</f>
        <v>https://plus.google.com/116100065976196902686</v>
      </c>
      <c r="L2459" t="s">
        <v>121</v>
      </c>
      <c r="N2459" t="s">
        <v>207</v>
      </c>
      <c r="O2459" t="s">
        <v>204</v>
      </c>
      <c r="P2459" t="str">
        <f>HYPERLINK("https://play.google.com/store/apps/details?id=ru.iflex.android.a3colortv&amp;hl=ru")</f>
        <v>https://play.google.com/store/apps/details?id=ru.iflex.android.a3colortv&amp;hl=ru</v>
      </c>
      <c r="R2459" t="s">
        <v>184</v>
      </c>
      <c r="S2459" t="s">
        <v>125</v>
      </c>
      <c r="W2459">
        <v>0</v>
      </c>
      <c r="X2459">
        <v>0</v>
      </c>
      <c r="AH2459">
        <v>1</v>
      </c>
      <c r="AM2459" t="s">
        <v>129</v>
      </c>
      <c r="AN2459" t="s">
        <v>130</v>
      </c>
      <c r="AP2459" t="s">
        <v>41</v>
      </c>
      <c r="AW2459" t="s">
        <v>48</v>
      </c>
      <c r="AZ2459" t="s">
        <v>51</v>
      </c>
      <c r="BA2459" t="s">
        <v>52</v>
      </c>
      <c r="BQ2459" t="s">
        <v>68</v>
      </c>
    </row>
    <row r="2460" spans="1:100" x14ac:dyDescent="0.2">
      <c r="A2460" t="s">
        <v>8390</v>
      </c>
      <c r="B2460" t="s">
        <v>3948</v>
      </c>
      <c r="C2460" t="s">
        <v>8232</v>
      </c>
      <c r="D2460" t="s">
        <v>1408</v>
      </c>
      <c r="E2460" t="s">
        <v>8664</v>
      </c>
      <c r="F2460" t="s">
        <v>180</v>
      </c>
      <c r="G2460" t="str">
        <f>HYPERLINK("https://apps.apple.com/ru/app/триколор-кино-и-тв-онлайн/id1412797916#7567043109")</f>
        <v>https://apps.apple.com/ru/app/триколор-кино-и-тв-онлайн/id1412797916#7567043109</v>
      </c>
      <c r="H2460" t="s">
        <v>228</v>
      </c>
      <c r="I2460" t="s">
        <v>8665</v>
      </c>
      <c r="J2460" t="str">
        <f>HYPERLINK("https://itunes.apple.com/reviews?userProfileId=690791852")</f>
        <v>https://itunes.apple.com/reviews?userProfileId=690791852</v>
      </c>
      <c r="N2460" t="s">
        <v>1411</v>
      </c>
      <c r="O2460" t="s">
        <v>1408</v>
      </c>
      <c r="P2460" t="str">
        <f>HYPERLINK("https://apps.apple.com/ru/app/триколор-кино-и-тв-онлайн/id1412797916")</f>
        <v>https://apps.apple.com/ru/app/триколор-кино-и-тв-онлайн/id1412797916</v>
      </c>
      <c r="R2460" t="s">
        <v>184</v>
      </c>
      <c r="S2460" t="s">
        <v>125</v>
      </c>
      <c r="AH2460">
        <v>2</v>
      </c>
      <c r="AM2460" t="s">
        <v>129</v>
      </c>
      <c r="AN2460" t="s">
        <v>130</v>
      </c>
      <c r="AP2460" t="s">
        <v>41</v>
      </c>
      <c r="AT2460" t="s">
        <v>45</v>
      </c>
      <c r="AZ2460" t="s">
        <v>51</v>
      </c>
      <c r="BA2460" t="s">
        <v>52</v>
      </c>
      <c r="BQ2460" t="s">
        <v>68</v>
      </c>
    </row>
    <row r="2461" spans="1:100" x14ac:dyDescent="0.2">
      <c r="A2461" t="s">
        <v>8390</v>
      </c>
      <c r="B2461" t="s">
        <v>2754</v>
      </c>
      <c r="C2461" t="s">
        <v>8666</v>
      </c>
      <c r="D2461" t="s">
        <v>7672</v>
      </c>
      <c r="E2461" t="s">
        <v>8667</v>
      </c>
      <c r="F2461" t="s">
        <v>118</v>
      </c>
      <c r="G2461" t="str">
        <f>HYPERLINK("https://vk.com/wall-22935147_368315?reply=368319")</f>
        <v>https://vk.com/wall-22935147_368315?reply=368319</v>
      </c>
      <c r="H2461" t="s">
        <v>228</v>
      </c>
      <c r="I2461" t="s">
        <v>5325</v>
      </c>
      <c r="J2461" t="str">
        <f>HYPERLINK("http://vk.com/id657910898")</f>
        <v>http://vk.com/id657910898</v>
      </c>
      <c r="L2461" t="s">
        <v>121</v>
      </c>
      <c r="M2461">
        <v>46</v>
      </c>
      <c r="N2461" t="s">
        <v>122</v>
      </c>
      <c r="O2461" t="s">
        <v>1093</v>
      </c>
      <c r="P2461" t="str">
        <f>HYPERLINK("http://vk.com/club22935147")</f>
        <v>http://vk.com/club22935147</v>
      </c>
      <c r="Q2461">
        <v>8943</v>
      </c>
      <c r="R2461" t="s">
        <v>124</v>
      </c>
      <c r="S2461" t="s">
        <v>125</v>
      </c>
      <c r="T2461" t="s">
        <v>169</v>
      </c>
      <c r="U2461" t="s">
        <v>169</v>
      </c>
      <c r="AM2461" t="s">
        <v>129</v>
      </c>
      <c r="AN2461" t="s">
        <v>130</v>
      </c>
      <c r="AP2461" t="s">
        <v>41</v>
      </c>
      <c r="AU2461" t="s">
        <v>46</v>
      </c>
      <c r="AZ2461" t="s">
        <v>51</v>
      </c>
      <c r="BA2461" t="s">
        <v>52</v>
      </c>
    </row>
    <row r="2462" spans="1:100" x14ac:dyDescent="0.2">
      <c r="A2462" t="s">
        <v>8390</v>
      </c>
      <c r="B2462" t="s">
        <v>2757</v>
      </c>
      <c r="C2462" t="s">
        <v>8668</v>
      </c>
      <c r="D2462" t="s">
        <v>7672</v>
      </c>
      <c r="E2462" t="s">
        <v>8669</v>
      </c>
      <c r="F2462" t="s">
        <v>118</v>
      </c>
      <c r="G2462" t="str">
        <f>HYPERLINK("https://vk.com/wall-22935147_368315?reply=368318")</f>
        <v>https://vk.com/wall-22935147_368315?reply=368318</v>
      </c>
      <c r="H2462" t="s">
        <v>119</v>
      </c>
      <c r="I2462" t="s">
        <v>8670</v>
      </c>
      <c r="J2462" t="str">
        <f>HYPERLINK("http://vk.com/id213086164")</f>
        <v>http://vk.com/id213086164</v>
      </c>
      <c r="K2462">
        <v>116</v>
      </c>
      <c r="L2462" t="s">
        <v>121</v>
      </c>
      <c r="M2462">
        <v>45</v>
      </c>
      <c r="N2462" t="s">
        <v>122</v>
      </c>
      <c r="O2462" t="s">
        <v>1093</v>
      </c>
      <c r="P2462" t="str">
        <f>HYPERLINK("http://vk.com/club22935147")</f>
        <v>http://vk.com/club22935147</v>
      </c>
      <c r="Q2462">
        <v>8943</v>
      </c>
      <c r="R2462" t="s">
        <v>124</v>
      </c>
      <c r="S2462" t="s">
        <v>125</v>
      </c>
      <c r="T2462" t="s">
        <v>1103</v>
      </c>
      <c r="U2462" t="s">
        <v>8671</v>
      </c>
      <c r="AM2462" t="s">
        <v>129</v>
      </c>
      <c r="AN2462" t="s">
        <v>130</v>
      </c>
      <c r="AP2462" t="s">
        <v>41</v>
      </c>
      <c r="AU2462" t="s">
        <v>46</v>
      </c>
      <c r="AZ2462" t="s">
        <v>51</v>
      </c>
      <c r="BA2462" t="s">
        <v>52</v>
      </c>
    </row>
    <row r="2463" spans="1:100" x14ac:dyDescent="0.2">
      <c r="A2463" t="s">
        <v>8390</v>
      </c>
      <c r="B2463" t="s">
        <v>1769</v>
      </c>
      <c r="C2463" t="s">
        <v>8672</v>
      </c>
      <c r="D2463" t="s">
        <v>7672</v>
      </c>
      <c r="E2463" t="s">
        <v>8673</v>
      </c>
      <c r="F2463" t="s">
        <v>118</v>
      </c>
      <c r="G2463" t="str">
        <f>HYPERLINK("https://vk.com/wall-22935147_368315?reply=368316")</f>
        <v>https://vk.com/wall-22935147_368315?reply=368316</v>
      </c>
      <c r="H2463" t="s">
        <v>119</v>
      </c>
      <c r="I2463" t="s">
        <v>8674</v>
      </c>
      <c r="J2463" t="str">
        <f>HYPERLINK("http://vk.com/id503571616")</f>
        <v>http://vk.com/id503571616</v>
      </c>
      <c r="K2463">
        <v>9610</v>
      </c>
      <c r="L2463" t="s">
        <v>121</v>
      </c>
      <c r="N2463" t="s">
        <v>122</v>
      </c>
      <c r="O2463" t="s">
        <v>1093</v>
      </c>
      <c r="P2463" t="str">
        <f>HYPERLINK("http://vk.com/club22935147")</f>
        <v>http://vk.com/club22935147</v>
      </c>
      <c r="Q2463">
        <v>8943</v>
      </c>
      <c r="R2463" t="s">
        <v>124</v>
      </c>
      <c r="S2463" t="s">
        <v>125</v>
      </c>
      <c r="T2463" t="s">
        <v>1283</v>
      </c>
      <c r="U2463" t="s">
        <v>3811</v>
      </c>
      <c r="AM2463" t="s">
        <v>129</v>
      </c>
      <c r="AN2463" t="s">
        <v>130</v>
      </c>
      <c r="AP2463" t="s">
        <v>41</v>
      </c>
      <c r="AU2463" t="s">
        <v>46</v>
      </c>
      <c r="AZ2463" t="s">
        <v>51</v>
      </c>
      <c r="BA2463" t="s">
        <v>52</v>
      </c>
    </row>
    <row r="2464" spans="1:100" x14ac:dyDescent="0.2">
      <c r="A2464" t="s">
        <v>8390</v>
      </c>
      <c r="B2464" t="s">
        <v>7222</v>
      </c>
      <c r="C2464" t="s">
        <v>8675</v>
      </c>
      <c r="D2464" t="s">
        <v>129</v>
      </c>
      <c r="E2464" t="s">
        <v>8676</v>
      </c>
      <c r="F2464" t="s">
        <v>180</v>
      </c>
      <c r="G2464" t="str">
        <f>HYPERLINK("https://vk.com/wall-22935147_368315")</f>
        <v>https://vk.com/wall-22935147_368315</v>
      </c>
      <c r="H2464" t="s">
        <v>119</v>
      </c>
      <c r="I2464" t="s">
        <v>8677</v>
      </c>
      <c r="J2464" t="str">
        <f>HYPERLINK("http://vk.com/id235432493")</f>
        <v>http://vk.com/id235432493</v>
      </c>
      <c r="K2464">
        <v>228</v>
      </c>
      <c r="L2464" t="s">
        <v>121</v>
      </c>
      <c r="N2464" t="s">
        <v>122</v>
      </c>
      <c r="O2464" t="s">
        <v>1093</v>
      </c>
      <c r="P2464" t="str">
        <f>HYPERLINK("http://vk.com/club22935147")</f>
        <v>http://vk.com/club22935147</v>
      </c>
      <c r="Q2464">
        <v>8943</v>
      </c>
      <c r="R2464" t="s">
        <v>124</v>
      </c>
      <c r="S2464" t="s">
        <v>125</v>
      </c>
      <c r="W2464">
        <v>11</v>
      </c>
      <c r="X2464">
        <v>11</v>
      </c>
      <c r="AE2464">
        <v>14</v>
      </c>
      <c r="AF2464">
        <v>0</v>
      </c>
      <c r="AG2464">
        <v>2159</v>
      </c>
      <c r="AJ2464" t="s">
        <v>8678</v>
      </c>
      <c r="AK2464" t="s">
        <v>8679</v>
      </c>
      <c r="AL2464" t="str">
        <f>HYPERLINK("https://sun9-58.userapi.com/impg/qIeH7ra4KR3jNx3Csi0roRoDHDHvhQy7-88xwA/93U0nJTUPoI.jpg?size=1920x1080&amp;quality=96&amp;sign=622042acad586c3e366a86990782a61c&amp;c_uniq_tag=cV4a_Jafm6b4duIkTTkGybq7vwh6Tx8hp6kCYzreCgg&amp;type=album")</f>
        <v>https://sun9-58.userapi.com/impg/qIeH7ra4KR3jNx3Csi0roRoDHDHvhQy7-88xwA/93U0nJTUPoI.jpg?size=1920x1080&amp;quality=96&amp;sign=622042acad586c3e366a86990782a61c&amp;c_uniq_tag=cV4a_Jafm6b4duIkTTkGybq7vwh6Tx8hp6kCYzreCgg&amp;type=album</v>
      </c>
      <c r="AM2464" t="s">
        <v>129</v>
      </c>
      <c r="AN2464" t="s">
        <v>130</v>
      </c>
      <c r="AP2464" t="s">
        <v>41</v>
      </c>
      <c r="AU2464" t="s">
        <v>46</v>
      </c>
      <c r="BA2464" t="s">
        <v>52</v>
      </c>
      <c r="BE2464" t="s">
        <v>56</v>
      </c>
    </row>
    <row r="2465" spans="1:69" x14ac:dyDescent="0.2">
      <c r="A2465" t="s">
        <v>8390</v>
      </c>
      <c r="B2465" t="s">
        <v>8680</v>
      </c>
      <c r="C2465" t="s">
        <v>8681</v>
      </c>
      <c r="D2465" t="s">
        <v>907</v>
      </c>
      <c r="E2465" t="s">
        <v>8682</v>
      </c>
      <c r="F2465" t="s">
        <v>180</v>
      </c>
      <c r="G2465" t="str">
        <f>HYPERLINK("https://telesputnik.ru/forum/viewtopic.php?f=36&amp;t=42382&amp;start=37800#p2480318")</f>
        <v>https://telesputnik.ru/forum/viewtopic.php?f=36&amp;t=42382&amp;start=37800#p2480318</v>
      </c>
      <c r="H2465" t="s">
        <v>228</v>
      </c>
      <c r="I2465" t="s">
        <v>4652</v>
      </c>
      <c r="J2465" t="str">
        <f>HYPERLINK("https://telesputnik.ru/forum/memberlist.php?mode=viewprofile&amp;u=232979")</f>
        <v>https://telesputnik.ru/forum/memberlist.php?mode=viewprofile&amp;u=232979</v>
      </c>
      <c r="N2465" t="s">
        <v>335</v>
      </c>
      <c r="O2465" t="s">
        <v>909</v>
      </c>
      <c r="P2465" t="str">
        <f>HYPERLINK("https://telesputnik.ru/forum/viewforum.php?f=36")</f>
        <v>https://telesputnik.ru/forum/viewforum.php?f=36</v>
      </c>
      <c r="R2465" t="s">
        <v>295</v>
      </c>
      <c r="S2465" t="s">
        <v>125</v>
      </c>
      <c r="AM2465" t="s">
        <v>129</v>
      </c>
      <c r="AN2465" t="s">
        <v>130</v>
      </c>
      <c r="AP2465" t="s">
        <v>41</v>
      </c>
      <c r="AY2465" t="s">
        <v>50</v>
      </c>
      <c r="AZ2465" t="s">
        <v>51</v>
      </c>
      <c r="BA2465" t="s">
        <v>52</v>
      </c>
    </row>
    <row r="2466" spans="1:69" x14ac:dyDescent="0.2">
      <c r="A2466" t="s">
        <v>8390</v>
      </c>
      <c r="B2466" t="s">
        <v>6207</v>
      </c>
      <c r="C2466" t="s">
        <v>8683</v>
      </c>
      <c r="D2466" t="s">
        <v>129</v>
      </c>
      <c r="E2466" t="s">
        <v>8684</v>
      </c>
      <c r="F2466" t="s">
        <v>118</v>
      </c>
      <c r="G2466" t="str">
        <f>HYPERLINK("https://twitter.com/364691605/status/1414467293082439688")</f>
        <v>https://twitter.com/364691605/status/1414467293082439688</v>
      </c>
      <c r="H2466" t="s">
        <v>119</v>
      </c>
      <c r="I2466" t="s">
        <v>8685</v>
      </c>
      <c r="J2466" t="str">
        <f>HYPERLINK("http://twitter.com/AntisocialZ1")</f>
        <v>http://twitter.com/AntisocialZ1</v>
      </c>
      <c r="K2466">
        <v>37</v>
      </c>
      <c r="N2466" t="s">
        <v>350</v>
      </c>
      <c r="R2466" t="s">
        <v>124</v>
      </c>
      <c r="W2466">
        <v>0</v>
      </c>
      <c r="X2466">
        <v>0</v>
      </c>
      <c r="AE2466">
        <v>0</v>
      </c>
      <c r="AF2466">
        <v>0</v>
      </c>
      <c r="AM2466" t="s">
        <v>129</v>
      </c>
      <c r="AN2466" t="s">
        <v>130</v>
      </c>
      <c r="AP2466" t="s">
        <v>41</v>
      </c>
      <c r="AZ2466" t="s">
        <v>51</v>
      </c>
      <c r="BA2466" t="s">
        <v>52</v>
      </c>
    </row>
    <row r="2467" spans="1:69" x14ac:dyDescent="0.2">
      <c r="A2467" t="s">
        <v>8390</v>
      </c>
      <c r="B2467" t="s">
        <v>8686</v>
      </c>
      <c r="C2467" t="s">
        <v>8687</v>
      </c>
      <c r="D2467" t="s">
        <v>8688</v>
      </c>
      <c r="E2467" t="s">
        <v>8689</v>
      </c>
      <c r="F2467" t="s">
        <v>180</v>
      </c>
      <c r="G2467" t="str">
        <f>HYPERLINK("https://otzovik.com/review_12160676.html")</f>
        <v>https://otzovik.com/review_12160676.html</v>
      </c>
      <c r="H2467" t="s">
        <v>181</v>
      </c>
      <c r="I2467" t="s">
        <v>8690</v>
      </c>
      <c r="J2467" t="str">
        <f>HYPERLINK("http://otzovik.com/profile/Doctor3025")</f>
        <v>http://otzovik.com/profile/Doctor3025</v>
      </c>
      <c r="N2467" t="s">
        <v>390</v>
      </c>
      <c r="O2467" t="s">
        <v>8691</v>
      </c>
      <c r="P2467" t="str">
        <f>HYPERLINK("https://otzovik.com/reviews/tarif_ediniy_sputnikovogo_operatora_trikolor_tv/")</f>
        <v>https://otzovik.com/reviews/tarif_ediniy_sputnikovogo_operatora_trikolor_tv/</v>
      </c>
      <c r="R2467" t="s">
        <v>184</v>
      </c>
      <c r="S2467" t="s">
        <v>125</v>
      </c>
      <c r="T2467" t="s">
        <v>169</v>
      </c>
      <c r="U2467" t="s">
        <v>169</v>
      </c>
      <c r="W2467">
        <v>0</v>
      </c>
      <c r="X2467">
        <v>0</v>
      </c>
      <c r="AE2467">
        <v>0</v>
      </c>
      <c r="AH2467">
        <v>5</v>
      </c>
      <c r="AM2467" t="s">
        <v>129</v>
      </c>
      <c r="AN2467" t="s">
        <v>130</v>
      </c>
      <c r="AP2467" t="s">
        <v>41</v>
      </c>
      <c r="AT2467" t="s">
        <v>45</v>
      </c>
      <c r="AU2467" t="s">
        <v>46</v>
      </c>
      <c r="AY2467" t="s">
        <v>50</v>
      </c>
      <c r="AZ2467" t="s">
        <v>51</v>
      </c>
      <c r="BA2467" t="s">
        <v>52</v>
      </c>
      <c r="BL2467" t="s">
        <v>63</v>
      </c>
    </row>
    <row r="2468" spans="1:69" x14ac:dyDescent="0.2">
      <c r="A2468" t="s">
        <v>8390</v>
      </c>
      <c r="B2468" t="s">
        <v>8692</v>
      </c>
      <c r="C2468" t="s">
        <v>8693</v>
      </c>
      <c r="D2468" t="s">
        <v>204</v>
      </c>
      <c r="E2468" t="s">
        <v>8694</v>
      </c>
      <c r="F2468" t="s">
        <v>180</v>
      </c>
      <c r="G2468" t="str">
        <f>HYPERLINK("https://play.google.com/store/apps/details?id=ru.iflex.android.a3colortv&amp;reviewId=gp:AOqpTOFHyW9l62OAzvgr5vYXSEu-22kFaNiz-SyVRCNID4Bg2Tgaji56vSeqSB_KPbUlOSH86ZjqbfRybItgRw")</f>
        <v>https://play.google.com/store/apps/details?id=ru.iflex.android.a3colortv&amp;reviewId=gp:AOqpTOFHyW9l62OAzvgr5vYXSEu-22kFaNiz-SyVRCNID4Bg2Tgaji56vSeqSB_KPbUlOSH86ZjqbfRybItgRw</v>
      </c>
      <c r="H2468" t="s">
        <v>228</v>
      </c>
      <c r="I2468" t="s">
        <v>8695</v>
      </c>
      <c r="J2468" t="str">
        <f>HYPERLINK("https://plus.google.com/104828848250437290593")</f>
        <v>https://plus.google.com/104828848250437290593</v>
      </c>
      <c r="K2468">
        <v>0</v>
      </c>
      <c r="L2468" t="s">
        <v>121</v>
      </c>
      <c r="N2468" t="s">
        <v>207</v>
      </c>
      <c r="O2468" t="s">
        <v>204</v>
      </c>
      <c r="P2468" t="str">
        <f>HYPERLINK("https://play.google.com/store/apps/details?id=ru.iflex.android.a3colortv&amp;hl=ru")</f>
        <v>https://play.google.com/store/apps/details?id=ru.iflex.android.a3colortv&amp;hl=ru</v>
      </c>
      <c r="R2468" t="s">
        <v>184</v>
      </c>
      <c r="S2468" t="s">
        <v>125</v>
      </c>
      <c r="W2468">
        <v>0</v>
      </c>
      <c r="X2468">
        <v>0</v>
      </c>
      <c r="AH2468">
        <v>1</v>
      </c>
      <c r="AM2468" t="s">
        <v>129</v>
      </c>
      <c r="AN2468" t="s">
        <v>130</v>
      </c>
      <c r="AP2468" t="s">
        <v>41</v>
      </c>
      <c r="AU2468" t="s">
        <v>46</v>
      </c>
      <c r="AW2468" t="s">
        <v>48</v>
      </c>
      <c r="AY2468" t="s">
        <v>50</v>
      </c>
      <c r="AZ2468" t="s">
        <v>51</v>
      </c>
      <c r="BA2468" t="s">
        <v>52</v>
      </c>
      <c r="BQ2468" t="s">
        <v>68</v>
      </c>
    </row>
    <row r="2469" spans="1:69" x14ac:dyDescent="0.2">
      <c r="A2469" t="s">
        <v>8390</v>
      </c>
      <c r="B2469" t="s">
        <v>6912</v>
      </c>
      <c r="C2469" t="s">
        <v>8696</v>
      </c>
      <c r="D2469" t="s">
        <v>6224</v>
      </c>
      <c r="E2469" t="s">
        <v>8697</v>
      </c>
      <c r="F2469" t="s">
        <v>118</v>
      </c>
      <c r="G2469" t="str">
        <f>HYPERLINK("https://www.youtube.com/watch?v=cuBcZGF3Yzc&amp;lc=UgyeMT6Z8UqE6u1CBMB4AaABAg")</f>
        <v>https://www.youtube.com/watch?v=cuBcZGF3Yzc&amp;lc=UgyeMT6Z8UqE6u1CBMB4AaABAg</v>
      </c>
      <c r="H2469" t="s">
        <v>119</v>
      </c>
      <c r="I2469" t="s">
        <v>8698</v>
      </c>
      <c r="J2469" t="str">
        <f>HYPERLINK("https://www.youtube.com/channel/UCSgFtxRVREIVfVZqRdS8f4Q")</f>
        <v>https://www.youtube.com/channel/UCSgFtxRVREIVfVZqRdS8f4Q</v>
      </c>
      <c r="K2469">
        <v>1</v>
      </c>
      <c r="L2469" t="s">
        <v>121</v>
      </c>
      <c r="N2469" t="s">
        <v>248</v>
      </c>
      <c r="O2469" t="s">
        <v>6227</v>
      </c>
      <c r="P2469" t="str">
        <f>HYPERLINK("https://www.youtube.com/channel/UCRP4EhX1Op-jL7D87PB3qhQ")</f>
        <v>https://www.youtube.com/channel/UCRP4EhX1Op-jL7D87PB3qhQ</v>
      </c>
      <c r="Q2469">
        <v>2820000</v>
      </c>
      <c r="R2469" t="s">
        <v>124</v>
      </c>
      <c r="S2469" t="s">
        <v>125</v>
      </c>
      <c r="W2469">
        <v>0</v>
      </c>
      <c r="X2469">
        <v>0</v>
      </c>
      <c r="AE2469">
        <v>0</v>
      </c>
      <c r="AM2469" t="s">
        <v>129</v>
      </c>
      <c r="AN2469" t="s">
        <v>130</v>
      </c>
      <c r="AP2469" t="s">
        <v>41</v>
      </c>
      <c r="AY2469" t="s">
        <v>50</v>
      </c>
      <c r="AZ2469" t="s">
        <v>51</v>
      </c>
      <c r="BB2469" t="s">
        <v>53</v>
      </c>
    </row>
    <row r="2470" spans="1:69" x14ac:dyDescent="0.2">
      <c r="A2470" t="s">
        <v>8390</v>
      </c>
      <c r="B2470" t="s">
        <v>8699</v>
      </c>
      <c r="C2470" t="s">
        <v>8693</v>
      </c>
      <c r="D2470" t="s">
        <v>204</v>
      </c>
      <c r="E2470" t="s">
        <v>8700</v>
      </c>
      <c r="F2470" t="s">
        <v>180</v>
      </c>
      <c r="G2470" t="str">
        <f>HYPERLINK("https://play.google.com/store/apps/details?id=ru.iflex.android.a3colortv&amp;reviewId=gp:AOqpTOHnAHp16q5M-JZ5nLrPNWgu201vIOaGGo6Lu7Dy_m-oxWkjOlGfyKRVRe8sbDXlMgEBFze_N-GK74MkIA")</f>
        <v>https://play.google.com/store/apps/details?id=ru.iflex.android.a3colortv&amp;reviewId=gp:AOqpTOHnAHp16q5M-JZ5nLrPNWgu201vIOaGGo6Lu7Dy_m-oxWkjOlGfyKRVRe8sbDXlMgEBFze_N-GK74MkIA</v>
      </c>
      <c r="H2470" t="s">
        <v>181</v>
      </c>
      <c r="I2470" t="s">
        <v>8701</v>
      </c>
      <c r="J2470" t="str">
        <f>HYPERLINK("https://plus.google.com/102838431241586768734")</f>
        <v>https://plus.google.com/102838431241586768734</v>
      </c>
      <c r="L2470" t="s">
        <v>121</v>
      </c>
      <c r="N2470" t="s">
        <v>207</v>
      </c>
      <c r="O2470" t="s">
        <v>204</v>
      </c>
      <c r="P2470" t="str">
        <f>HYPERLINK("https://play.google.com/store/apps/details?id=ru.iflex.android.a3colortv&amp;hl=ru")</f>
        <v>https://play.google.com/store/apps/details?id=ru.iflex.android.a3colortv&amp;hl=ru</v>
      </c>
      <c r="R2470" t="s">
        <v>184</v>
      </c>
      <c r="S2470" t="s">
        <v>125</v>
      </c>
      <c r="W2470">
        <v>0</v>
      </c>
      <c r="X2470">
        <v>0</v>
      </c>
      <c r="AH2470">
        <v>5</v>
      </c>
      <c r="AM2470" t="s">
        <v>129</v>
      </c>
      <c r="AN2470" t="s">
        <v>130</v>
      </c>
      <c r="AP2470" t="s">
        <v>41</v>
      </c>
      <c r="AZ2470" t="s">
        <v>51</v>
      </c>
      <c r="BA2470" t="s">
        <v>52</v>
      </c>
      <c r="BP2470" t="s">
        <v>67</v>
      </c>
      <c r="BQ2470" t="s">
        <v>68</v>
      </c>
    </row>
    <row r="2471" spans="1:69" x14ac:dyDescent="0.2">
      <c r="A2471" t="s">
        <v>8390</v>
      </c>
      <c r="B2471" t="s">
        <v>4943</v>
      </c>
      <c r="C2471" t="s">
        <v>8702</v>
      </c>
      <c r="D2471" t="s">
        <v>2169</v>
      </c>
      <c r="E2471" t="s">
        <v>8703</v>
      </c>
      <c r="F2471" t="s">
        <v>180</v>
      </c>
      <c r="G2471" t="str">
        <f>HYPERLINK("https://www.ozon.ru/context/detail/id/172324122/#58795186")</f>
        <v>https://www.ozon.ru/context/detail/id/172324122/#58795186</v>
      </c>
      <c r="H2471" t="s">
        <v>181</v>
      </c>
      <c r="I2471" t="s">
        <v>8704</v>
      </c>
      <c r="J2471" t="str">
        <f>HYPERLINK("https://www.ozon.ru/context/client_opinion/ClientGuid/04555ab2-9c6d-424b-93ff-d0a242992789/")</f>
        <v>https://www.ozon.ru/context/client_opinion/ClientGuid/04555ab2-9c6d-424b-93ff-d0a242992789/</v>
      </c>
      <c r="L2471" t="s">
        <v>121</v>
      </c>
      <c r="N2471" t="s">
        <v>183</v>
      </c>
      <c r="O2471" t="s">
        <v>2169</v>
      </c>
      <c r="P2471" t="str">
        <f>HYPERLINK("https://www.ozon.ru/context/detail/id/172324122/")</f>
        <v>https://www.ozon.ru/context/detail/id/172324122/</v>
      </c>
      <c r="R2471" t="s">
        <v>184</v>
      </c>
      <c r="S2471" t="s">
        <v>125</v>
      </c>
      <c r="W2471">
        <v>0</v>
      </c>
      <c r="X2471">
        <v>0</v>
      </c>
      <c r="AH2471">
        <v>5</v>
      </c>
      <c r="AJ2471" t="s">
        <v>3176</v>
      </c>
      <c r="AK2471" t="s">
        <v>129</v>
      </c>
      <c r="AL2471" t="str">
        <f>HYPERLINK("https://cdn1.ozone.ru/s3/rp-photo-3/f4bdc375-2454-4e8e-87a1-ebc65be90d1b.jpeg")</f>
        <v>https://cdn1.ozone.ru/s3/rp-photo-3/f4bdc375-2454-4e8e-87a1-ebc65be90d1b.jpeg</v>
      </c>
      <c r="AM2471" t="s">
        <v>129</v>
      </c>
      <c r="AN2471" t="s">
        <v>130</v>
      </c>
      <c r="AP2471" t="s">
        <v>41</v>
      </c>
      <c r="AT2471" t="s">
        <v>45</v>
      </c>
      <c r="AZ2471" t="s">
        <v>51</v>
      </c>
      <c r="BA2471" t="s">
        <v>52</v>
      </c>
      <c r="BL2471" t="s">
        <v>63</v>
      </c>
    </row>
    <row r="2472" spans="1:69" x14ac:dyDescent="0.2">
      <c r="A2472" t="s">
        <v>8390</v>
      </c>
      <c r="B2472" t="s">
        <v>8705</v>
      </c>
      <c r="C2472" t="s">
        <v>8696</v>
      </c>
      <c r="D2472" t="s">
        <v>6224</v>
      </c>
      <c r="E2472" t="s">
        <v>8706</v>
      </c>
      <c r="F2472" t="s">
        <v>118</v>
      </c>
      <c r="G2472" t="str">
        <f>HYPERLINK("https://www.youtube.com/watch?v=cuBcZGF3Yzc&amp;lc=Ugwx9cRS7uuFBJhafVB4AaABAg")</f>
        <v>https://www.youtube.com/watch?v=cuBcZGF3Yzc&amp;lc=Ugwx9cRS7uuFBJhafVB4AaABAg</v>
      </c>
      <c r="H2472" t="s">
        <v>119</v>
      </c>
      <c r="I2472" t="s">
        <v>8707</v>
      </c>
      <c r="J2472" t="str">
        <f>HYPERLINK("https://www.youtube.com/channel/UCm_58O5a4QlPvQx7pZabltQ")</f>
        <v>https://www.youtube.com/channel/UCm_58O5a4QlPvQx7pZabltQ</v>
      </c>
      <c r="K2472">
        <v>5</v>
      </c>
      <c r="N2472" t="s">
        <v>248</v>
      </c>
      <c r="O2472" t="s">
        <v>6227</v>
      </c>
      <c r="P2472" t="str">
        <f>HYPERLINK("https://www.youtube.com/channel/UCRP4EhX1Op-jL7D87PB3qhQ")</f>
        <v>https://www.youtube.com/channel/UCRP4EhX1Op-jL7D87PB3qhQ</v>
      </c>
      <c r="Q2472">
        <v>2820000</v>
      </c>
      <c r="R2472" t="s">
        <v>124</v>
      </c>
      <c r="S2472" t="s">
        <v>125</v>
      </c>
      <c r="W2472">
        <v>2</v>
      </c>
      <c r="X2472">
        <v>2</v>
      </c>
      <c r="AE2472">
        <v>0</v>
      </c>
      <c r="AM2472" t="s">
        <v>129</v>
      </c>
      <c r="AN2472" t="s">
        <v>130</v>
      </c>
      <c r="AP2472" t="s">
        <v>41</v>
      </c>
      <c r="AW2472" t="s">
        <v>48</v>
      </c>
      <c r="AZ2472" t="s">
        <v>51</v>
      </c>
      <c r="BB2472" t="s">
        <v>53</v>
      </c>
    </row>
    <row r="2473" spans="1:69" x14ac:dyDescent="0.2">
      <c r="A2473" t="s">
        <v>8390</v>
      </c>
      <c r="B2473" t="s">
        <v>8708</v>
      </c>
      <c r="C2473" t="s">
        <v>8709</v>
      </c>
      <c r="D2473" t="s">
        <v>129</v>
      </c>
      <c r="E2473" t="s">
        <v>8710</v>
      </c>
      <c r="F2473" t="s">
        <v>180</v>
      </c>
      <c r="G2473" t="str">
        <f>HYPERLINK("https://vk.com/wall-14098618_8653")</f>
        <v>https://vk.com/wall-14098618_8653</v>
      </c>
      <c r="H2473" t="s">
        <v>119</v>
      </c>
      <c r="I2473" t="s">
        <v>3232</v>
      </c>
      <c r="J2473" t="str">
        <f>HYPERLINK("http://vk.com/id525424243")</f>
        <v>http://vk.com/id525424243</v>
      </c>
      <c r="K2473">
        <v>105</v>
      </c>
      <c r="L2473" t="s">
        <v>121</v>
      </c>
      <c r="M2473">
        <v>38</v>
      </c>
      <c r="N2473" t="s">
        <v>122</v>
      </c>
      <c r="O2473" t="s">
        <v>1663</v>
      </c>
      <c r="P2473" t="str">
        <f>HYPERLINK("http://vk.com/club14098618")</f>
        <v>http://vk.com/club14098618</v>
      </c>
      <c r="Q2473">
        <v>4681</v>
      </c>
      <c r="R2473" t="s">
        <v>124</v>
      </c>
      <c r="S2473" t="s">
        <v>125</v>
      </c>
      <c r="T2473" t="s">
        <v>1819</v>
      </c>
      <c r="U2473" t="s">
        <v>2175</v>
      </c>
      <c r="W2473">
        <v>0</v>
      </c>
      <c r="X2473">
        <v>0</v>
      </c>
      <c r="AE2473">
        <v>1</v>
      </c>
      <c r="AF2473">
        <v>0</v>
      </c>
      <c r="AM2473" t="s">
        <v>129</v>
      </c>
      <c r="AN2473" t="s">
        <v>130</v>
      </c>
      <c r="AP2473" t="s">
        <v>41</v>
      </c>
      <c r="AT2473" t="s">
        <v>45</v>
      </c>
      <c r="AU2473" t="s">
        <v>46</v>
      </c>
      <c r="AZ2473" t="s">
        <v>51</v>
      </c>
      <c r="BA2473" t="s">
        <v>52</v>
      </c>
    </row>
    <row r="2474" spans="1:69" x14ac:dyDescent="0.2">
      <c r="A2474" t="s">
        <v>8390</v>
      </c>
      <c r="B2474" t="s">
        <v>6549</v>
      </c>
      <c r="C2474" t="s">
        <v>8709</v>
      </c>
      <c r="D2474" t="s">
        <v>8655</v>
      </c>
      <c r="E2474" t="s">
        <v>8711</v>
      </c>
      <c r="F2474" t="s">
        <v>118</v>
      </c>
      <c r="G2474" t="str">
        <f>HYPERLINK("https://vk.com/wall-61101621_254594?reply=254606")</f>
        <v>https://vk.com/wall-61101621_254594?reply=254606</v>
      </c>
      <c r="H2474" t="s">
        <v>119</v>
      </c>
      <c r="I2474" t="s">
        <v>3232</v>
      </c>
      <c r="J2474" t="str">
        <f>HYPERLINK("http://vk.com/id525424243")</f>
        <v>http://vk.com/id525424243</v>
      </c>
      <c r="K2474">
        <v>105</v>
      </c>
      <c r="L2474" t="s">
        <v>121</v>
      </c>
      <c r="M2474">
        <v>38</v>
      </c>
      <c r="N2474" t="s">
        <v>122</v>
      </c>
      <c r="O2474" t="s">
        <v>160</v>
      </c>
      <c r="P2474" t="str">
        <f>HYPERLINK("http://vk.com/club61101621")</f>
        <v>http://vk.com/club61101621</v>
      </c>
      <c r="Q2474">
        <v>21119</v>
      </c>
      <c r="R2474" t="s">
        <v>124</v>
      </c>
      <c r="S2474" t="s">
        <v>125</v>
      </c>
      <c r="T2474" t="s">
        <v>1819</v>
      </c>
      <c r="U2474" t="s">
        <v>2175</v>
      </c>
      <c r="W2474">
        <v>0</v>
      </c>
      <c r="X2474">
        <v>0</v>
      </c>
      <c r="AM2474" t="s">
        <v>129</v>
      </c>
      <c r="AN2474" t="s">
        <v>130</v>
      </c>
      <c r="AP2474" t="s">
        <v>41</v>
      </c>
      <c r="AT2474" t="s">
        <v>45</v>
      </c>
      <c r="AU2474" t="s">
        <v>46</v>
      </c>
      <c r="AZ2474" t="s">
        <v>51</v>
      </c>
      <c r="BA2474" t="s">
        <v>52</v>
      </c>
    </row>
    <row r="2475" spans="1:69" x14ac:dyDescent="0.2">
      <c r="A2475" t="s">
        <v>8390</v>
      </c>
      <c r="B2475" t="s">
        <v>8712</v>
      </c>
      <c r="C2475" t="s">
        <v>8713</v>
      </c>
      <c r="D2475" t="s">
        <v>8714</v>
      </c>
      <c r="E2475" t="s">
        <v>8715</v>
      </c>
      <c r="F2475" t="s">
        <v>118</v>
      </c>
      <c r="G2475" t="str">
        <f>HYPERLINK("https://vk.com/wall-22935147_368292?reply=368312")</f>
        <v>https://vk.com/wall-22935147_368292?reply=368312</v>
      </c>
      <c r="H2475" t="s">
        <v>119</v>
      </c>
      <c r="I2475" t="s">
        <v>3232</v>
      </c>
      <c r="J2475" t="str">
        <f>HYPERLINK("http://vk.com/id525424243")</f>
        <v>http://vk.com/id525424243</v>
      </c>
      <c r="K2475">
        <v>105</v>
      </c>
      <c r="L2475" t="s">
        <v>121</v>
      </c>
      <c r="M2475">
        <v>38</v>
      </c>
      <c r="N2475" t="s">
        <v>122</v>
      </c>
      <c r="O2475" t="s">
        <v>1093</v>
      </c>
      <c r="P2475" t="str">
        <f>HYPERLINK("http://vk.com/club22935147")</f>
        <v>http://vk.com/club22935147</v>
      </c>
      <c r="Q2475">
        <v>8943</v>
      </c>
      <c r="R2475" t="s">
        <v>124</v>
      </c>
      <c r="S2475" t="s">
        <v>125</v>
      </c>
      <c r="T2475" t="s">
        <v>1819</v>
      </c>
      <c r="U2475" t="s">
        <v>2175</v>
      </c>
      <c r="W2475">
        <v>0</v>
      </c>
      <c r="X2475">
        <v>0</v>
      </c>
      <c r="AM2475" t="s">
        <v>129</v>
      </c>
      <c r="AN2475" t="s">
        <v>130</v>
      </c>
      <c r="AP2475" t="s">
        <v>41</v>
      </c>
      <c r="AT2475" t="s">
        <v>45</v>
      </c>
      <c r="AU2475" t="s">
        <v>46</v>
      </c>
      <c r="AZ2475" t="s">
        <v>51</v>
      </c>
      <c r="BA2475" t="s">
        <v>52</v>
      </c>
    </row>
    <row r="2476" spans="1:69" x14ac:dyDescent="0.2">
      <c r="A2476" t="s">
        <v>8390</v>
      </c>
      <c r="B2476" t="s">
        <v>8716</v>
      </c>
      <c r="C2476" t="s">
        <v>8713</v>
      </c>
      <c r="D2476" t="s">
        <v>8512</v>
      </c>
      <c r="E2476" t="s">
        <v>8717</v>
      </c>
      <c r="F2476" t="s">
        <v>118</v>
      </c>
      <c r="G2476" t="str">
        <f>HYPERLINK("https://vk.com/wall-27863223_291592?reply=291655")</f>
        <v>https://vk.com/wall-27863223_291592?reply=291655</v>
      </c>
      <c r="H2476" t="s">
        <v>119</v>
      </c>
      <c r="I2476" t="s">
        <v>3232</v>
      </c>
      <c r="J2476" t="str">
        <f>HYPERLINK("http://vk.com/id525424243")</f>
        <v>http://vk.com/id525424243</v>
      </c>
      <c r="K2476">
        <v>105</v>
      </c>
      <c r="L2476" t="s">
        <v>121</v>
      </c>
      <c r="M2476">
        <v>38</v>
      </c>
      <c r="N2476" t="s">
        <v>122</v>
      </c>
      <c r="O2476" t="s">
        <v>175</v>
      </c>
      <c r="P2476" t="str">
        <f>HYPERLINK("http://vk.com/club27863223")</f>
        <v>http://vk.com/club27863223</v>
      </c>
      <c r="Q2476">
        <v>134698</v>
      </c>
      <c r="R2476" t="s">
        <v>124</v>
      </c>
      <c r="S2476" t="s">
        <v>125</v>
      </c>
      <c r="T2476" t="s">
        <v>1819</v>
      </c>
      <c r="U2476" t="s">
        <v>2175</v>
      </c>
      <c r="W2476">
        <v>0</v>
      </c>
      <c r="X2476">
        <v>0</v>
      </c>
      <c r="AM2476" t="s">
        <v>129</v>
      </c>
      <c r="AN2476" t="s">
        <v>130</v>
      </c>
      <c r="AP2476" t="s">
        <v>41</v>
      </c>
      <c r="AT2476" t="s">
        <v>45</v>
      </c>
      <c r="AU2476" t="s">
        <v>46</v>
      </c>
      <c r="AZ2476" t="s">
        <v>51</v>
      </c>
      <c r="BA2476" t="s">
        <v>52</v>
      </c>
    </row>
    <row r="2477" spans="1:69" x14ac:dyDescent="0.2">
      <c r="A2477" t="s">
        <v>8390</v>
      </c>
      <c r="B2477" t="s">
        <v>8718</v>
      </c>
      <c r="C2477" t="s">
        <v>8598</v>
      </c>
      <c r="D2477" t="s">
        <v>8719</v>
      </c>
      <c r="E2477" t="s">
        <v>8720</v>
      </c>
      <c r="F2477" t="s">
        <v>180</v>
      </c>
      <c r="G2477" t="str">
        <f>HYPERLINK("https://www.cableman.ru/content/trikolor-i-stopkoronavirusrf-zapustili-aktsiyu-privivaisya")</f>
        <v>https://www.cableman.ru/content/trikolor-i-stopkoronavirusrf-zapustili-aktsiyu-privivaisya</v>
      </c>
      <c r="H2477" t="s">
        <v>119</v>
      </c>
      <c r="I2477" t="s">
        <v>8721</v>
      </c>
      <c r="J2477" t="str">
        <f>HYPERLINK("https://www.cableman.ru/content/trikolor-i-stopkoronavirusrf-zapustili-aktsiyu-privivaisya")</f>
        <v>https://www.cableman.ru/content/trikolor-i-stopkoronavirusrf-zapustili-aktsiyu-privivaisya</v>
      </c>
      <c r="L2477" t="s">
        <v>151</v>
      </c>
      <c r="N2477" t="s">
        <v>934</v>
      </c>
      <c r="R2477" t="s">
        <v>785</v>
      </c>
      <c r="S2477" t="s">
        <v>125</v>
      </c>
      <c r="AJ2477" t="s">
        <v>588</v>
      </c>
      <c r="AK2477" t="s">
        <v>876</v>
      </c>
      <c r="AL2477" t="str">
        <f>HYPERLINK("https://www.cableman.ru/sites/all/themes/openpublish_theme/images/logo-1.png")</f>
        <v>https://www.cableman.ru/sites/all/themes/openpublish_theme/images/logo-1.png</v>
      </c>
      <c r="AM2477" t="s">
        <v>129</v>
      </c>
      <c r="AN2477" t="s">
        <v>130</v>
      </c>
      <c r="AV2477" t="s">
        <v>47</v>
      </c>
    </row>
    <row r="2478" spans="1:69" x14ac:dyDescent="0.2">
      <c r="A2478" t="s">
        <v>8390</v>
      </c>
      <c r="B2478" t="s">
        <v>8722</v>
      </c>
      <c r="C2478" t="s">
        <v>8723</v>
      </c>
      <c r="D2478" t="s">
        <v>8724</v>
      </c>
      <c r="E2478" t="s">
        <v>8725</v>
      </c>
      <c r="F2478" t="s">
        <v>118</v>
      </c>
      <c r="G2478" t="str">
        <f>HYPERLINK("https://vk.com/wall-94526769_39000?reply=39015&amp;thread=39006")</f>
        <v>https://vk.com/wall-94526769_39000?reply=39015&amp;thread=39006</v>
      </c>
      <c r="H2478" t="s">
        <v>119</v>
      </c>
      <c r="I2478" t="s">
        <v>8726</v>
      </c>
      <c r="J2478" t="str">
        <f>HYPERLINK("http://vk.com/id240437165")</f>
        <v>http://vk.com/id240437165</v>
      </c>
      <c r="K2478">
        <v>202</v>
      </c>
      <c r="L2478" t="s">
        <v>121</v>
      </c>
      <c r="M2478">
        <v>35</v>
      </c>
      <c r="N2478" t="s">
        <v>122</v>
      </c>
      <c r="O2478" t="s">
        <v>8727</v>
      </c>
      <c r="P2478" t="str">
        <f>HYPERLINK("http://vk.com/club94526769")</f>
        <v>http://vk.com/club94526769</v>
      </c>
      <c r="Q2478">
        <v>2404</v>
      </c>
      <c r="R2478" t="s">
        <v>124</v>
      </c>
      <c r="S2478" t="s">
        <v>125</v>
      </c>
      <c r="T2478" t="s">
        <v>4836</v>
      </c>
      <c r="U2478" t="s">
        <v>4837</v>
      </c>
      <c r="AM2478" t="s">
        <v>129</v>
      </c>
      <c r="AN2478" t="s">
        <v>130</v>
      </c>
      <c r="AP2478" t="s">
        <v>41</v>
      </c>
      <c r="AW2478" t="s">
        <v>48</v>
      </c>
      <c r="AZ2478" t="s">
        <v>51</v>
      </c>
      <c r="BA2478" t="s">
        <v>52</v>
      </c>
      <c r="BM2478" t="s">
        <v>64</v>
      </c>
    </row>
    <row r="2479" spans="1:69" x14ac:dyDescent="0.2">
      <c r="A2479" t="s">
        <v>8390</v>
      </c>
      <c r="B2479" t="s">
        <v>8728</v>
      </c>
      <c r="C2479" t="s">
        <v>8729</v>
      </c>
      <c r="D2479" t="s">
        <v>8730</v>
      </c>
      <c r="E2479" t="s">
        <v>8731</v>
      </c>
      <c r="F2479" t="s">
        <v>180</v>
      </c>
      <c r="G2479" t="str">
        <f>HYPERLINK("https://otvet.mail.ru/answer/1993722755")</f>
        <v>https://otvet.mail.ru/answer/1993722755</v>
      </c>
      <c r="H2479" t="s">
        <v>119</v>
      </c>
      <c r="I2479" t="s">
        <v>8732</v>
      </c>
      <c r="J2479" t="str">
        <f>HYPERLINK("http://otvet.mail.ru/profile/id95494984")</f>
        <v>http://otvet.mail.ru/profile/id95494984</v>
      </c>
      <c r="L2479" t="s">
        <v>121</v>
      </c>
      <c r="N2479" t="s">
        <v>690</v>
      </c>
      <c r="O2479" t="s">
        <v>7252</v>
      </c>
      <c r="P2479" t="str">
        <f>HYPERLINK("https://otvet.mail.ru/technics/")</f>
        <v>https://otvet.mail.ru/technics/</v>
      </c>
      <c r="R2479" t="s">
        <v>295</v>
      </c>
      <c r="S2479" t="s">
        <v>125</v>
      </c>
      <c r="AM2479" t="s">
        <v>129</v>
      </c>
      <c r="AN2479" t="s">
        <v>130</v>
      </c>
      <c r="AP2479" t="s">
        <v>41</v>
      </c>
      <c r="AZ2479" t="s">
        <v>51</v>
      </c>
      <c r="BA2479" t="s">
        <v>52</v>
      </c>
      <c r="BM2479" t="s">
        <v>64</v>
      </c>
      <c r="BQ2479" t="s">
        <v>68</v>
      </c>
    </row>
    <row r="2480" spans="1:69" x14ac:dyDescent="0.2">
      <c r="A2480" t="s">
        <v>8390</v>
      </c>
      <c r="B2480" t="s">
        <v>8354</v>
      </c>
      <c r="C2480" t="s">
        <v>8729</v>
      </c>
      <c r="D2480" t="s">
        <v>8730</v>
      </c>
      <c r="E2480" t="s">
        <v>8733</v>
      </c>
      <c r="F2480" t="s">
        <v>180</v>
      </c>
      <c r="G2480" t="str">
        <f>HYPERLINK("https://otvet.mail.ru/answer/1993718642/cid-330956661/")</f>
        <v>https://otvet.mail.ru/answer/1993718642/cid-330956661/</v>
      </c>
      <c r="H2480" t="s">
        <v>119</v>
      </c>
      <c r="I2480" t="s">
        <v>8734</v>
      </c>
      <c r="J2480" t="str">
        <f>HYPERLINK("http://otvet.mail.ru/profile/id209892704")</f>
        <v>http://otvet.mail.ru/profile/id209892704</v>
      </c>
      <c r="L2480" t="s">
        <v>121</v>
      </c>
      <c r="N2480" t="s">
        <v>690</v>
      </c>
      <c r="O2480" t="s">
        <v>7252</v>
      </c>
      <c r="P2480" t="str">
        <f>HYPERLINK("https://otvet.mail.ru/technics/")</f>
        <v>https://otvet.mail.ru/technics/</v>
      </c>
      <c r="R2480" t="s">
        <v>295</v>
      </c>
      <c r="S2480" t="s">
        <v>125</v>
      </c>
      <c r="AM2480" t="s">
        <v>129</v>
      </c>
      <c r="AN2480" t="s">
        <v>130</v>
      </c>
      <c r="AP2480" t="s">
        <v>41</v>
      </c>
      <c r="AW2480" t="s">
        <v>48</v>
      </c>
      <c r="AZ2480" t="s">
        <v>51</v>
      </c>
      <c r="BA2480" t="s">
        <v>52</v>
      </c>
      <c r="BM2480" t="s">
        <v>64</v>
      </c>
    </row>
    <row r="2481" spans="1:97" x14ac:dyDescent="0.2">
      <c r="A2481" t="s">
        <v>8390</v>
      </c>
      <c r="B2481" t="s">
        <v>6577</v>
      </c>
      <c r="C2481" t="s">
        <v>8735</v>
      </c>
      <c r="D2481" t="s">
        <v>2304</v>
      </c>
      <c r="E2481" t="s">
        <v>8736</v>
      </c>
      <c r="F2481" t="s">
        <v>118</v>
      </c>
      <c r="G2481" t="str">
        <f>HYPERLINK("https://www.youtube.com/watch?v=cpy1_cJ5jYo&amp;lc=UgyJJZ6fOHzTMbW2aVp4AaABAg")</f>
        <v>https://www.youtube.com/watch?v=cpy1_cJ5jYo&amp;lc=UgyJJZ6fOHzTMbW2aVp4AaABAg</v>
      </c>
      <c r="H2481" t="s">
        <v>119</v>
      </c>
      <c r="I2481" t="s">
        <v>8737</v>
      </c>
      <c r="J2481" t="str">
        <f>HYPERLINK("https://www.youtube.com/channel/UC6tBkKJEf0J7JGvOLiXAgXA")</f>
        <v>https://www.youtube.com/channel/UC6tBkKJEf0J7JGvOLiXAgXA</v>
      </c>
      <c r="K2481">
        <v>0</v>
      </c>
      <c r="L2481" t="s">
        <v>151</v>
      </c>
      <c r="N2481" t="s">
        <v>248</v>
      </c>
      <c r="O2481" t="s">
        <v>2307</v>
      </c>
      <c r="P2481" t="str">
        <f>HYPERLINK("https://www.youtube.com/channel/UCfV0sfiYm-_0X3ULYnctXxw")</f>
        <v>https://www.youtube.com/channel/UCfV0sfiYm-_0X3ULYnctXxw</v>
      </c>
      <c r="Q2481">
        <v>25000</v>
      </c>
      <c r="R2481" t="s">
        <v>124</v>
      </c>
      <c r="S2481" t="s">
        <v>125</v>
      </c>
      <c r="W2481">
        <v>0</v>
      </c>
      <c r="X2481">
        <v>0</v>
      </c>
      <c r="AE2481">
        <v>0</v>
      </c>
      <c r="AM2481" t="s">
        <v>129</v>
      </c>
      <c r="AN2481" t="s">
        <v>130</v>
      </c>
      <c r="AP2481" t="s">
        <v>41</v>
      </c>
      <c r="AT2481" t="s">
        <v>45</v>
      </c>
      <c r="AZ2481" t="s">
        <v>51</v>
      </c>
      <c r="BA2481" t="s">
        <v>52</v>
      </c>
      <c r="BL2481" t="s">
        <v>63</v>
      </c>
    </row>
    <row r="2482" spans="1:97" x14ac:dyDescent="0.2">
      <c r="A2482" t="s">
        <v>8390</v>
      </c>
      <c r="B2482" t="s">
        <v>8738</v>
      </c>
      <c r="C2482" t="s">
        <v>8739</v>
      </c>
      <c r="D2482" t="s">
        <v>8740</v>
      </c>
      <c r="E2482" t="s">
        <v>8741</v>
      </c>
      <c r="F2482" t="s">
        <v>180</v>
      </c>
      <c r="G2482" t="str">
        <f>HYPERLINK("https://www.ozon.ru/context/detail/id/214519059/#58782898")</f>
        <v>https://www.ozon.ru/context/detail/id/214519059/#58782898</v>
      </c>
      <c r="H2482" t="s">
        <v>181</v>
      </c>
      <c r="I2482" t="s">
        <v>3263</v>
      </c>
      <c r="J2482" t="str">
        <f>HYPERLINK("https://www.ozon.ru/context/client_opinion/ClientGuid/bf889dae-820c-4616-ab01-0b347ba4e7e0/")</f>
        <v>https://www.ozon.ru/context/client_opinion/ClientGuid/bf889dae-820c-4616-ab01-0b347ba4e7e0/</v>
      </c>
      <c r="L2482" t="s">
        <v>151</v>
      </c>
      <c r="N2482" t="s">
        <v>183</v>
      </c>
      <c r="O2482" t="s">
        <v>8740</v>
      </c>
      <c r="P2482" t="str">
        <f>HYPERLINK("https://www.ozon.ru/context/detail/id/214519059/")</f>
        <v>https://www.ozon.ru/context/detail/id/214519059/</v>
      </c>
      <c r="R2482" t="s">
        <v>184</v>
      </c>
      <c r="S2482" t="s">
        <v>125</v>
      </c>
      <c r="W2482">
        <v>0</v>
      </c>
      <c r="X2482">
        <v>0</v>
      </c>
      <c r="AH2482">
        <v>5</v>
      </c>
      <c r="AM2482" t="s">
        <v>129</v>
      </c>
      <c r="AN2482" t="s">
        <v>130</v>
      </c>
      <c r="AP2482" t="s">
        <v>41</v>
      </c>
      <c r="AT2482" t="s">
        <v>45</v>
      </c>
      <c r="AZ2482" t="s">
        <v>51</v>
      </c>
      <c r="BA2482" t="s">
        <v>52</v>
      </c>
      <c r="BL2482" t="s">
        <v>63</v>
      </c>
    </row>
    <row r="2483" spans="1:97" x14ac:dyDescent="0.2">
      <c r="A2483" t="s">
        <v>8390</v>
      </c>
      <c r="B2483" t="s">
        <v>8742</v>
      </c>
      <c r="C2483" t="s">
        <v>8743</v>
      </c>
      <c r="D2483" t="s">
        <v>8744</v>
      </c>
      <c r="E2483" t="s">
        <v>8745</v>
      </c>
      <c r="F2483" t="s">
        <v>118</v>
      </c>
      <c r="G2483" t="str">
        <f>HYPERLINK("https://www.youtube.com/watch?v=1lDbyscXHX4&amp;lc=Ugyrxa8ViW3i_-LLoxh4AaABAg")</f>
        <v>https://www.youtube.com/watch?v=1lDbyscXHX4&amp;lc=Ugyrxa8ViW3i_-LLoxh4AaABAg</v>
      </c>
      <c r="H2483" t="s">
        <v>119</v>
      </c>
      <c r="I2483" t="s">
        <v>8746</v>
      </c>
      <c r="J2483" t="str">
        <f>HYPERLINK("https://www.youtube.com/channel/UCBlkqCxcuMWWF_s-mWXDiow")</f>
        <v>https://www.youtube.com/channel/UCBlkqCxcuMWWF_s-mWXDiow</v>
      </c>
      <c r="K2483">
        <v>1</v>
      </c>
      <c r="L2483" t="s">
        <v>121</v>
      </c>
      <c r="N2483" t="s">
        <v>248</v>
      </c>
      <c r="O2483" t="s">
        <v>8747</v>
      </c>
      <c r="P2483" t="str">
        <f>HYPERLINK("https://www.youtube.com/channel/UCchxYeKWUrq5J91MctWEV-Q")</f>
        <v>https://www.youtube.com/channel/UCchxYeKWUrq5J91MctWEV-Q</v>
      </c>
      <c r="Q2483">
        <v>9010</v>
      </c>
      <c r="R2483" t="s">
        <v>124</v>
      </c>
      <c r="S2483" t="s">
        <v>125</v>
      </c>
      <c r="W2483">
        <v>0</v>
      </c>
      <c r="X2483">
        <v>0</v>
      </c>
      <c r="AE2483">
        <v>0</v>
      </c>
      <c r="AM2483" t="s">
        <v>129</v>
      </c>
      <c r="AN2483" t="s">
        <v>130</v>
      </c>
      <c r="AP2483" t="s">
        <v>41</v>
      </c>
      <c r="AZ2483" t="s">
        <v>51</v>
      </c>
      <c r="BA2483" t="s">
        <v>52</v>
      </c>
      <c r="BL2483" t="s">
        <v>63</v>
      </c>
    </row>
    <row r="2484" spans="1:97" x14ac:dyDescent="0.2">
      <c r="A2484" t="s">
        <v>8390</v>
      </c>
      <c r="B2484" t="s">
        <v>742</v>
      </c>
      <c r="C2484" t="s">
        <v>8748</v>
      </c>
      <c r="D2484" t="s">
        <v>8749</v>
      </c>
      <c r="E2484" t="s">
        <v>8750</v>
      </c>
      <c r="F2484" t="s">
        <v>118</v>
      </c>
      <c r="G2484" t="str">
        <f>HYPERLINK("https://telegram.me/tsflood/44057")</f>
        <v>https://telegram.me/tsflood/44057</v>
      </c>
      <c r="H2484" t="s">
        <v>119</v>
      </c>
      <c r="I2484" t="s">
        <v>8751</v>
      </c>
      <c r="J2484" t="str">
        <f>HYPERLINK("https://telegram.me/cheriksoft")</f>
        <v>https://telegram.me/cheriksoft</v>
      </c>
      <c r="L2484" t="s">
        <v>121</v>
      </c>
      <c r="N2484" t="s">
        <v>143</v>
      </c>
      <c r="O2484" t="s">
        <v>5445</v>
      </c>
      <c r="P2484" t="str">
        <f>HYPERLINK("https://telegram.me/tsflood")</f>
        <v>https://telegram.me/tsflood</v>
      </c>
      <c r="Q2484">
        <v>119</v>
      </c>
      <c r="R2484" t="s">
        <v>145</v>
      </c>
      <c r="AM2484" t="s">
        <v>129</v>
      </c>
      <c r="AN2484" t="s">
        <v>130</v>
      </c>
      <c r="AP2484" t="s">
        <v>41</v>
      </c>
      <c r="AW2484" t="s">
        <v>48</v>
      </c>
      <c r="AZ2484" t="s">
        <v>51</v>
      </c>
      <c r="BA2484" t="s">
        <v>52</v>
      </c>
      <c r="BM2484" t="s">
        <v>64</v>
      </c>
    </row>
    <row r="2485" spans="1:97" x14ac:dyDescent="0.2">
      <c r="A2485" t="s">
        <v>8390</v>
      </c>
      <c r="B2485" t="s">
        <v>8752</v>
      </c>
      <c r="C2485" t="s">
        <v>8753</v>
      </c>
      <c r="D2485" t="s">
        <v>129</v>
      </c>
      <c r="E2485" t="s">
        <v>8754</v>
      </c>
      <c r="F2485" t="s">
        <v>180</v>
      </c>
      <c r="G2485" t="str">
        <f>HYPERLINK("https://telegram.me/vzhiconf/381378")</f>
        <v>https://telegram.me/vzhiconf/381378</v>
      </c>
      <c r="H2485" t="s">
        <v>119</v>
      </c>
      <c r="I2485" t="s">
        <v>8755</v>
      </c>
      <c r="J2485" t="str">
        <f>HYPERLINK("https://telegram.me/comandantege")</f>
        <v>https://telegram.me/comandantege</v>
      </c>
      <c r="N2485" t="s">
        <v>143</v>
      </c>
      <c r="O2485" t="s">
        <v>8756</v>
      </c>
      <c r="P2485" t="str">
        <f>HYPERLINK("https://telegram.me/vzhiconf")</f>
        <v>https://telegram.me/vzhiconf</v>
      </c>
      <c r="Q2485">
        <v>157</v>
      </c>
      <c r="R2485" t="s">
        <v>145</v>
      </c>
      <c r="AM2485" t="s">
        <v>129</v>
      </c>
      <c r="AN2485" t="s">
        <v>130</v>
      </c>
      <c r="AP2485" t="s">
        <v>41</v>
      </c>
      <c r="AY2485" t="s">
        <v>50</v>
      </c>
      <c r="AZ2485" t="s">
        <v>51</v>
      </c>
      <c r="BB2485" t="s">
        <v>53</v>
      </c>
    </row>
    <row r="2486" spans="1:97" x14ac:dyDescent="0.2">
      <c r="A2486" t="s">
        <v>8757</v>
      </c>
      <c r="B2486" t="s">
        <v>4061</v>
      </c>
      <c r="C2486" t="s">
        <v>8758</v>
      </c>
      <c r="D2486" t="s">
        <v>8759</v>
      </c>
      <c r="E2486" t="s">
        <v>8760</v>
      </c>
      <c r="F2486" t="s">
        <v>118</v>
      </c>
      <c r="G2486" t="str">
        <f>HYPERLINK("https://telegram.me/avstreamchat/193262")</f>
        <v>https://telegram.me/avstreamchat/193262</v>
      </c>
      <c r="H2486" t="s">
        <v>228</v>
      </c>
      <c r="I2486" t="s">
        <v>8761</v>
      </c>
      <c r="J2486" t="str">
        <f>HYPERLINK("https://telegram.me/andreyseve")</f>
        <v>https://telegram.me/andreyseve</v>
      </c>
      <c r="L2486" t="s">
        <v>121</v>
      </c>
      <c r="N2486" t="s">
        <v>143</v>
      </c>
      <c r="O2486" t="s">
        <v>8414</v>
      </c>
      <c r="P2486" t="str">
        <f>HYPERLINK("https://telegram.me/avstreamchat")</f>
        <v>https://telegram.me/avstreamchat</v>
      </c>
      <c r="Q2486">
        <v>3534</v>
      </c>
      <c r="R2486" t="s">
        <v>145</v>
      </c>
      <c r="AM2486" t="s">
        <v>129</v>
      </c>
      <c r="AN2486" t="s">
        <v>130</v>
      </c>
      <c r="AP2486" t="s">
        <v>41</v>
      </c>
      <c r="AW2486" t="s">
        <v>48</v>
      </c>
      <c r="AZ2486" t="s">
        <v>51</v>
      </c>
      <c r="BA2486" t="s">
        <v>52</v>
      </c>
    </row>
    <row r="2487" spans="1:97" x14ac:dyDescent="0.2">
      <c r="A2487" t="s">
        <v>8757</v>
      </c>
      <c r="B2487" t="s">
        <v>761</v>
      </c>
      <c r="C2487" t="s">
        <v>8762</v>
      </c>
      <c r="D2487" t="s">
        <v>8763</v>
      </c>
      <c r="E2487" t="s">
        <v>8764</v>
      </c>
      <c r="F2487" t="s">
        <v>118</v>
      </c>
      <c r="G2487" t="str">
        <f>HYPERLINK("https://vk.com/topic-124657642_39299584?post=4870")</f>
        <v>https://vk.com/topic-124657642_39299584?post=4870</v>
      </c>
      <c r="H2487" t="s">
        <v>119</v>
      </c>
      <c r="I2487" t="s">
        <v>8765</v>
      </c>
      <c r="J2487" t="str">
        <f>HYPERLINK("http://vk.com/id10862124")</f>
        <v>http://vk.com/id10862124</v>
      </c>
      <c r="K2487">
        <v>50</v>
      </c>
      <c r="L2487" t="s">
        <v>121</v>
      </c>
      <c r="M2487">
        <v>45</v>
      </c>
      <c r="N2487" t="s">
        <v>122</v>
      </c>
      <c r="O2487" t="s">
        <v>427</v>
      </c>
      <c r="P2487" t="str">
        <f>HYPERLINK("http://vk.com/club124657642")</f>
        <v>http://vk.com/club124657642</v>
      </c>
      <c r="Q2487">
        <v>15373</v>
      </c>
      <c r="R2487" t="s">
        <v>124</v>
      </c>
      <c r="S2487" t="s">
        <v>125</v>
      </c>
      <c r="T2487" t="s">
        <v>169</v>
      </c>
      <c r="U2487" t="s">
        <v>169</v>
      </c>
      <c r="AM2487" t="s">
        <v>129</v>
      </c>
      <c r="AN2487" t="s">
        <v>130</v>
      </c>
      <c r="AP2487" t="s">
        <v>41</v>
      </c>
      <c r="AU2487" t="s">
        <v>46</v>
      </c>
      <c r="AW2487" t="s">
        <v>48</v>
      </c>
      <c r="AZ2487" t="s">
        <v>51</v>
      </c>
      <c r="BA2487" t="s">
        <v>52</v>
      </c>
      <c r="CS2487" t="s">
        <v>96</v>
      </c>
    </row>
    <row r="2488" spans="1:97" x14ac:dyDescent="0.2">
      <c r="A2488" t="s">
        <v>8757</v>
      </c>
      <c r="B2488" t="s">
        <v>2869</v>
      </c>
      <c r="C2488" t="s">
        <v>8766</v>
      </c>
      <c r="D2488" t="s">
        <v>332</v>
      </c>
      <c r="E2488" t="s">
        <v>8767</v>
      </c>
      <c r="F2488" t="s">
        <v>180</v>
      </c>
      <c r="G2488" t="str">
        <f>HYPERLINK("https://telesputnik.ru/forum/viewtopic.php?f=36&amp;t=42382&amp;start=37800#p2480224")</f>
        <v>https://telesputnik.ru/forum/viewtopic.php?f=36&amp;t=42382&amp;start=37800#p2480224</v>
      </c>
      <c r="H2488" t="s">
        <v>119</v>
      </c>
      <c r="I2488" t="s">
        <v>8768</v>
      </c>
      <c r="J2488" t="str">
        <f>HYPERLINK("https://telesputnik.ru/forum/memberlist.php?mode=viewprofile&amp;u=58694")</f>
        <v>https://telesputnik.ru/forum/memberlist.php?mode=viewprofile&amp;u=58694</v>
      </c>
      <c r="N2488" t="s">
        <v>335</v>
      </c>
      <c r="O2488" t="s">
        <v>336</v>
      </c>
      <c r="P2488" t="str">
        <f>HYPERLINK("https://telesputnik.ru/forum/viewforum.php?f=11")</f>
        <v>https://telesputnik.ru/forum/viewforum.php?f=11</v>
      </c>
      <c r="R2488" t="s">
        <v>295</v>
      </c>
      <c r="S2488" t="s">
        <v>125</v>
      </c>
      <c r="AM2488" t="s">
        <v>129</v>
      </c>
      <c r="AN2488" t="s">
        <v>130</v>
      </c>
      <c r="AP2488" t="s">
        <v>41</v>
      </c>
      <c r="AU2488" t="s">
        <v>46</v>
      </c>
      <c r="AY2488" t="s">
        <v>50</v>
      </c>
      <c r="AZ2488" t="s">
        <v>51</v>
      </c>
      <c r="BA2488" t="s">
        <v>52</v>
      </c>
    </row>
    <row r="2489" spans="1:97" x14ac:dyDescent="0.2">
      <c r="A2489" t="s">
        <v>8757</v>
      </c>
      <c r="B2489" t="s">
        <v>2296</v>
      </c>
      <c r="C2489" t="s">
        <v>8769</v>
      </c>
      <c r="D2489" t="s">
        <v>8770</v>
      </c>
      <c r="E2489" t="s">
        <v>8771</v>
      </c>
      <c r="F2489" t="s">
        <v>118</v>
      </c>
      <c r="G2489" t="str">
        <f>HYPERLINK("https://www.facebook.com/story.php?story_fbid=10223325240413683&amp;id=1065723938&amp;comment_id=10223325245933821&amp;reply_comment_id=10223325275134551")</f>
        <v>https://www.facebook.com/story.php?story_fbid=10223325240413683&amp;id=1065723938&amp;comment_id=10223325245933821&amp;reply_comment_id=10223325275134551</v>
      </c>
      <c r="H2489" t="s">
        <v>119</v>
      </c>
      <c r="I2489" t="s">
        <v>8772</v>
      </c>
      <c r="J2489" t="str">
        <f>HYPERLINK("https://www.facebook.com/100001876712488")</f>
        <v>https://www.facebook.com/100001876712488</v>
      </c>
      <c r="K2489">
        <v>0</v>
      </c>
      <c r="L2489" t="s">
        <v>151</v>
      </c>
      <c r="N2489" t="s">
        <v>305</v>
      </c>
      <c r="O2489" t="s">
        <v>8773</v>
      </c>
      <c r="P2489" t="str">
        <f>HYPERLINK("https://www.facebook.com/1065723938")</f>
        <v>https://www.facebook.com/1065723938</v>
      </c>
      <c r="Q2489">
        <v>2912</v>
      </c>
      <c r="R2489" t="s">
        <v>124</v>
      </c>
      <c r="S2489" t="s">
        <v>125</v>
      </c>
      <c r="T2489" t="s">
        <v>169</v>
      </c>
      <c r="U2489" t="s">
        <v>169</v>
      </c>
      <c r="W2489">
        <v>0</v>
      </c>
      <c r="X2489">
        <v>0</v>
      </c>
      <c r="AE2489">
        <v>0</v>
      </c>
      <c r="AM2489" t="s">
        <v>129</v>
      </c>
      <c r="AN2489" t="s">
        <v>130</v>
      </c>
      <c r="AP2489" t="s">
        <v>41</v>
      </c>
      <c r="AU2489" t="s">
        <v>46</v>
      </c>
      <c r="AZ2489" t="s">
        <v>51</v>
      </c>
      <c r="BA2489" t="s">
        <v>52</v>
      </c>
      <c r="BL2489" t="s">
        <v>63</v>
      </c>
    </row>
    <row r="2490" spans="1:97" x14ac:dyDescent="0.2">
      <c r="A2490" t="s">
        <v>8757</v>
      </c>
      <c r="B2490" t="s">
        <v>155</v>
      </c>
      <c r="C2490" t="s">
        <v>8774</v>
      </c>
      <c r="D2490" t="s">
        <v>8775</v>
      </c>
      <c r="E2490" t="s">
        <v>8776</v>
      </c>
      <c r="F2490" t="s">
        <v>118</v>
      </c>
      <c r="G2490" t="str">
        <f>HYPERLINK("https://www.facebook.com/story.php?story_fbid=3687040884730815&amp;id=100002748186497&amp;comment_id=3687079768060260")</f>
        <v>https://www.facebook.com/story.php?story_fbid=3687040884730815&amp;id=100002748186497&amp;comment_id=3687079768060260</v>
      </c>
      <c r="H2490" t="s">
        <v>119</v>
      </c>
      <c r="I2490" t="s">
        <v>8777</v>
      </c>
      <c r="J2490" t="str">
        <f>HYPERLINK("https://www.facebook.com/100000950049617")</f>
        <v>https://www.facebook.com/100000950049617</v>
      </c>
      <c r="K2490">
        <v>889</v>
      </c>
      <c r="L2490" t="s">
        <v>151</v>
      </c>
      <c r="N2490" t="s">
        <v>305</v>
      </c>
      <c r="O2490" t="s">
        <v>8778</v>
      </c>
      <c r="P2490" t="str">
        <f>HYPERLINK("https://www.facebook.com/100002748186497")</f>
        <v>https://www.facebook.com/100002748186497</v>
      </c>
      <c r="Q2490">
        <v>4869</v>
      </c>
      <c r="R2490" t="s">
        <v>124</v>
      </c>
      <c r="S2490" t="s">
        <v>125</v>
      </c>
      <c r="T2490" t="s">
        <v>667</v>
      </c>
      <c r="U2490" t="s">
        <v>668</v>
      </c>
      <c r="W2490">
        <v>1</v>
      </c>
      <c r="X2490">
        <v>1</v>
      </c>
      <c r="AE2490">
        <v>0</v>
      </c>
      <c r="AM2490" t="s">
        <v>129</v>
      </c>
      <c r="AN2490" t="s">
        <v>130</v>
      </c>
      <c r="AP2490" t="s">
        <v>41</v>
      </c>
      <c r="AZ2490" t="s">
        <v>51</v>
      </c>
      <c r="BB2490" t="s">
        <v>53</v>
      </c>
    </row>
    <row r="2491" spans="1:97" x14ac:dyDescent="0.2">
      <c r="A2491" t="s">
        <v>8757</v>
      </c>
      <c r="B2491" t="s">
        <v>1277</v>
      </c>
      <c r="C2491" t="s">
        <v>8779</v>
      </c>
      <c r="D2491" t="s">
        <v>8780</v>
      </c>
      <c r="E2491" t="s">
        <v>8781</v>
      </c>
      <c r="F2491" t="s">
        <v>180</v>
      </c>
      <c r="G2491" t="str">
        <f>HYPERLINK("https://forum.auto.ru/housing/17510106/#post-17510177")</f>
        <v>https://forum.auto.ru/housing/17510106/#post-17510177</v>
      </c>
      <c r="H2491" t="s">
        <v>119</v>
      </c>
      <c r="I2491" t="s">
        <v>8782</v>
      </c>
      <c r="J2491" t="str">
        <f>HYPERLINK("https://auto.ru/profile/17817/")</f>
        <v>https://auto.ru/profile/17817/</v>
      </c>
      <c r="N2491" t="s">
        <v>4534</v>
      </c>
      <c r="O2491" t="s">
        <v>4535</v>
      </c>
      <c r="P2491" t="str">
        <f>HYPERLINK("https://forum.auto.ru/housing/")</f>
        <v>https://forum.auto.ru/housing/</v>
      </c>
      <c r="R2491" t="s">
        <v>295</v>
      </c>
      <c r="S2491" t="s">
        <v>125</v>
      </c>
      <c r="AM2491" t="s">
        <v>129</v>
      </c>
      <c r="AN2491" t="s">
        <v>130</v>
      </c>
      <c r="AP2491" t="s">
        <v>41</v>
      </c>
      <c r="AW2491" t="s">
        <v>48</v>
      </c>
      <c r="AZ2491" t="s">
        <v>51</v>
      </c>
      <c r="BA2491" t="s">
        <v>52</v>
      </c>
    </row>
    <row r="2492" spans="1:97" x14ac:dyDescent="0.2">
      <c r="A2492" t="s">
        <v>8757</v>
      </c>
      <c r="B2492" t="s">
        <v>4089</v>
      </c>
      <c r="C2492" t="s">
        <v>8783</v>
      </c>
      <c r="D2492" t="s">
        <v>129</v>
      </c>
      <c r="E2492" t="s">
        <v>8784</v>
      </c>
      <c r="F2492" t="s">
        <v>118</v>
      </c>
      <c r="G2492" t="str">
        <f>HYPERLINK("https://twitter.com/89786679/status/1414305424870891522")</f>
        <v>https://twitter.com/89786679/status/1414305424870891522</v>
      </c>
      <c r="H2492" t="s">
        <v>181</v>
      </c>
      <c r="I2492" t="s">
        <v>8785</v>
      </c>
      <c r="J2492" t="str">
        <f>HYPERLINK("http://twitter.com/V0LANT")</f>
        <v>http://twitter.com/V0LANT</v>
      </c>
      <c r="K2492">
        <v>129</v>
      </c>
      <c r="N2492" t="s">
        <v>350</v>
      </c>
      <c r="R2492" t="s">
        <v>124</v>
      </c>
      <c r="S2492" t="s">
        <v>125</v>
      </c>
      <c r="T2492" t="s">
        <v>759</v>
      </c>
      <c r="U2492" t="s">
        <v>2080</v>
      </c>
      <c r="W2492">
        <v>0</v>
      </c>
      <c r="X2492">
        <v>0</v>
      </c>
      <c r="AE2492">
        <v>0</v>
      </c>
      <c r="AF2492">
        <v>0</v>
      </c>
      <c r="AM2492" t="s">
        <v>129</v>
      </c>
      <c r="AN2492" t="s">
        <v>130</v>
      </c>
      <c r="AP2492" t="s">
        <v>41</v>
      </c>
      <c r="AW2492" t="s">
        <v>48</v>
      </c>
      <c r="AZ2492" t="s">
        <v>51</v>
      </c>
      <c r="BA2492" t="s">
        <v>52</v>
      </c>
      <c r="BM2492" t="s">
        <v>64</v>
      </c>
    </row>
    <row r="2493" spans="1:97" x14ac:dyDescent="0.2">
      <c r="A2493" t="s">
        <v>8757</v>
      </c>
      <c r="B2493" t="s">
        <v>163</v>
      </c>
      <c r="C2493" t="s">
        <v>8786</v>
      </c>
      <c r="D2493" t="s">
        <v>8787</v>
      </c>
      <c r="E2493" t="s">
        <v>8788</v>
      </c>
      <c r="F2493" t="s">
        <v>118</v>
      </c>
      <c r="G2493" t="str">
        <f>HYPERLINK("https://telegram.me/mi_deti_maminih_podrug228/25725")</f>
        <v>https://telegram.me/mi_deti_maminih_podrug228/25725</v>
      </c>
      <c r="H2493" t="s">
        <v>119</v>
      </c>
      <c r="I2493" t="s">
        <v>8789</v>
      </c>
      <c r="J2493" t="str">
        <f>HYPERLINK("https://telegram.me/atpwv0")</f>
        <v>https://telegram.me/atpwv0</v>
      </c>
      <c r="N2493" t="s">
        <v>143</v>
      </c>
      <c r="O2493" t="s">
        <v>8790</v>
      </c>
      <c r="P2493" t="str">
        <f>HYPERLINK("https://telegram.me/mi_deti_maminih_podrug228")</f>
        <v>https://telegram.me/mi_deti_maminih_podrug228</v>
      </c>
      <c r="Q2493">
        <v>17</v>
      </c>
      <c r="R2493" t="s">
        <v>145</v>
      </c>
      <c r="AM2493" t="s">
        <v>129</v>
      </c>
      <c r="AN2493" t="s">
        <v>130</v>
      </c>
      <c r="AP2493" t="s">
        <v>41</v>
      </c>
      <c r="AY2493" t="s">
        <v>50</v>
      </c>
      <c r="AZ2493" t="s">
        <v>51</v>
      </c>
      <c r="BA2493" t="s">
        <v>52</v>
      </c>
    </row>
    <row r="2494" spans="1:97" x14ac:dyDescent="0.2">
      <c r="A2494" t="s">
        <v>8757</v>
      </c>
      <c r="B2494" t="s">
        <v>163</v>
      </c>
      <c r="C2494" t="s">
        <v>8786</v>
      </c>
      <c r="D2494" t="s">
        <v>8791</v>
      </c>
      <c r="E2494" t="s">
        <v>8787</v>
      </c>
      <c r="F2494" t="s">
        <v>118</v>
      </c>
      <c r="G2494" t="str">
        <f>HYPERLINK("https://telegram.me/mi_deti_maminih_podrug228/25723")</f>
        <v>https://telegram.me/mi_deti_maminih_podrug228/25723</v>
      </c>
      <c r="H2494" t="s">
        <v>119</v>
      </c>
      <c r="I2494" t="s">
        <v>8792</v>
      </c>
      <c r="J2494" t="str">
        <f>HYPERLINK("https://telegram.me/1463587933")</f>
        <v>https://telegram.me/1463587933</v>
      </c>
      <c r="N2494" t="s">
        <v>143</v>
      </c>
      <c r="O2494" t="s">
        <v>8790</v>
      </c>
      <c r="P2494" t="str">
        <f>HYPERLINK("https://telegram.me/mi_deti_maminih_podrug228")</f>
        <v>https://telegram.me/mi_deti_maminih_podrug228</v>
      </c>
      <c r="Q2494">
        <v>17</v>
      </c>
      <c r="R2494" t="s">
        <v>145</v>
      </c>
      <c r="AM2494" t="s">
        <v>129</v>
      </c>
      <c r="AN2494" t="s">
        <v>130</v>
      </c>
      <c r="AP2494" t="s">
        <v>41</v>
      </c>
      <c r="AY2494" t="s">
        <v>50</v>
      </c>
      <c r="AZ2494" t="s">
        <v>51</v>
      </c>
      <c r="BA2494" t="s">
        <v>52</v>
      </c>
    </row>
    <row r="2495" spans="1:97" x14ac:dyDescent="0.2">
      <c r="A2495" t="s">
        <v>8757</v>
      </c>
      <c r="B2495" t="s">
        <v>5012</v>
      </c>
      <c r="C2495" t="s">
        <v>8793</v>
      </c>
      <c r="D2495" t="s">
        <v>129</v>
      </c>
      <c r="E2495" t="s">
        <v>8794</v>
      </c>
      <c r="F2495" t="s">
        <v>118</v>
      </c>
      <c r="G2495" t="str">
        <f>HYPERLINK("https://twitter.com/846792504582254593/status/1414301293670289415")</f>
        <v>https://twitter.com/846792504582254593/status/1414301293670289415</v>
      </c>
      <c r="H2495" t="s">
        <v>228</v>
      </c>
      <c r="I2495" t="s">
        <v>8795</v>
      </c>
      <c r="J2495" t="str">
        <f>HYPERLINK("http://twitter.com/Roma_Badboy")</f>
        <v>http://twitter.com/Roma_Badboy</v>
      </c>
      <c r="K2495">
        <v>11</v>
      </c>
      <c r="N2495" t="s">
        <v>350</v>
      </c>
      <c r="R2495" t="s">
        <v>124</v>
      </c>
      <c r="S2495" t="s">
        <v>125</v>
      </c>
      <c r="T2495" t="s">
        <v>169</v>
      </c>
      <c r="U2495" t="s">
        <v>169</v>
      </c>
      <c r="W2495">
        <v>1</v>
      </c>
      <c r="X2495">
        <v>1</v>
      </c>
      <c r="AE2495">
        <v>0</v>
      </c>
      <c r="AF2495">
        <v>0</v>
      </c>
      <c r="AM2495" t="s">
        <v>129</v>
      </c>
      <c r="AN2495" t="s">
        <v>130</v>
      </c>
      <c r="AP2495" t="s">
        <v>41</v>
      </c>
      <c r="AT2495" t="s">
        <v>45</v>
      </c>
      <c r="AW2495" t="s">
        <v>48</v>
      </c>
      <c r="AZ2495" t="s">
        <v>51</v>
      </c>
      <c r="BA2495" t="s">
        <v>52</v>
      </c>
    </row>
    <row r="2496" spans="1:97" x14ac:dyDescent="0.2">
      <c r="A2496" t="s">
        <v>8757</v>
      </c>
      <c r="B2496" t="s">
        <v>1886</v>
      </c>
      <c r="C2496" t="s">
        <v>8796</v>
      </c>
      <c r="D2496" t="s">
        <v>204</v>
      </c>
      <c r="E2496" t="s">
        <v>8797</v>
      </c>
      <c r="F2496" t="s">
        <v>180</v>
      </c>
      <c r="G2496" t="str">
        <f>HYPERLINK("https://play.google.com/store/apps/details?id=ru.iflex.android.a3colortv&amp;reviewId=gp:AOqpTOHqFo5E61yIWeDGXZyvgJtdKuIvOKpD3ItiqnlT5G4JmBqYR44T4xJIadTzgRIloMW7jY-6sjHQ_EmUag")</f>
        <v>https://play.google.com/store/apps/details?id=ru.iflex.android.a3colortv&amp;reviewId=gp:AOqpTOHqFo5E61yIWeDGXZyvgJtdKuIvOKpD3ItiqnlT5G4JmBqYR44T4xJIadTzgRIloMW7jY-6sjHQ_EmUag</v>
      </c>
      <c r="H2496" t="s">
        <v>228</v>
      </c>
      <c r="I2496" t="s">
        <v>8798</v>
      </c>
      <c r="J2496" t="str">
        <f>HYPERLINK("https://plus.google.com/101612017789970572694")</f>
        <v>https://plus.google.com/101612017789970572694</v>
      </c>
      <c r="L2496" t="s">
        <v>121</v>
      </c>
      <c r="N2496" t="s">
        <v>207</v>
      </c>
      <c r="O2496" t="s">
        <v>204</v>
      </c>
      <c r="P2496" t="str">
        <f>HYPERLINK("https://play.google.com/store/apps/details?id=ru.iflex.android.a3colortv&amp;hl=ru")</f>
        <v>https://play.google.com/store/apps/details?id=ru.iflex.android.a3colortv&amp;hl=ru</v>
      </c>
      <c r="R2496" t="s">
        <v>184</v>
      </c>
      <c r="S2496" t="s">
        <v>125</v>
      </c>
      <c r="W2496">
        <v>0</v>
      </c>
      <c r="X2496">
        <v>0</v>
      </c>
      <c r="AH2496">
        <v>2</v>
      </c>
      <c r="AM2496" t="s">
        <v>129</v>
      </c>
      <c r="AN2496" t="s">
        <v>130</v>
      </c>
      <c r="AP2496" t="s">
        <v>41</v>
      </c>
      <c r="AZ2496" t="s">
        <v>51</v>
      </c>
      <c r="BA2496" t="s">
        <v>52</v>
      </c>
      <c r="BQ2496" t="s">
        <v>68</v>
      </c>
    </row>
    <row r="2497" spans="1:69" x14ac:dyDescent="0.2">
      <c r="A2497" t="s">
        <v>8757</v>
      </c>
      <c r="B2497" t="s">
        <v>1306</v>
      </c>
      <c r="C2497" t="s">
        <v>8799</v>
      </c>
      <c r="D2497" t="s">
        <v>6794</v>
      </c>
      <c r="E2497" t="s">
        <v>8800</v>
      </c>
      <c r="F2497" t="s">
        <v>118</v>
      </c>
      <c r="G2497" t="str">
        <f>HYPERLINK("https://vk.com/wall-61007329_296671?reply=296734&amp;thread=296684")</f>
        <v>https://vk.com/wall-61007329_296671?reply=296734&amp;thread=296684</v>
      </c>
      <c r="H2497" t="s">
        <v>228</v>
      </c>
      <c r="I2497" t="s">
        <v>8801</v>
      </c>
      <c r="J2497" t="str">
        <f>HYPERLINK("http://vk.com/id70271102")</f>
        <v>http://vk.com/id70271102</v>
      </c>
      <c r="K2497">
        <v>459</v>
      </c>
      <c r="L2497" t="s">
        <v>121</v>
      </c>
      <c r="M2497">
        <v>38</v>
      </c>
      <c r="N2497" t="s">
        <v>122</v>
      </c>
      <c r="O2497" t="s">
        <v>6797</v>
      </c>
      <c r="P2497" t="str">
        <f>HYPERLINK("http://vk.com/club61007329")</f>
        <v>http://vk.com/club61007329</v>
      </c>
      <c r="Q2497">
        <v>24110</v>
      </c>
      <c r="R2497" t="s">
        <v>124</v>
      </c>
      <c r="S2497" t="s">
        <v>125</v>
      </c>
      <c r="AM2497" t="s">
        <v>129</v>
      </c>
      <c r="AN2497" t="s">
        <v>130</v>
      </c>
      <c r="AP2497" t="s">
        <v>41</v>
      </c>
      <c r="AU2497" t="s">
        <v>46</v>
      </c>
      <c r="AW2497" t="s">
        <v>48</v>
      </c>
      <c r="AZ2497" t="s">
        <v>51</v>
      </c>
      <c r="BA2497" t="s">
        <v>52</v>
      </c>
    </row>
    <row r="2498" spans="1:69" x14ac:dyDescent="0.2">
      <c r="A2498" t="s">
        <v>8757</v>
      </c>
      <c r="B2498" t="s">
        <v>1902</v>
      </c>
      <c r="C2498" t="s">
        <v>8802</v>
      </c>
      <c r="D2498" t="s">
        <v>8724</v>
      </c>
      <c r="E2498" t="s">
        <v>8803</v>
      </c>
      <c r="F2498" t="s">
        <v>118</v>
      </c>
      <c r="G2498" t="str">
        <f>HYPERLINK("https://vk.com/wall-94526769_39000?reply=39013&amp;thread=39006")</f>
        <v>https://vk.com/wall-94526769_39000?reply=39013&amp;thread=39006</v>
      </c>
      <c r="H2498" t="s">
        <v>181</v>
      </c>
      <c r="I2498" t="s">
        <v>8804</v>
      </c>
      <c r="J2498" t="str">
        <f>HYPERLINK("http://vk.com/id376698781")</f>
        <v>http://vk.com/id376698781</v>
      </c>
      <c r="K2498">
        <v>3590</v>
      </c>
      <c r="L2498" t="s">
        <v>121</v>
      </c>
      <c r="M2498">
        <v>21</v>
      </c>
      <c r="N2498" t="s">
        <v>122</v>
      </c>
      <c r="O2498" t="s">
        <v>8727</v>
      </c>
      <c r="P2498" t="str">
        <f>HYPERLINK("http://vk.com/club94526769")</f>
        <v>http://vk.com/club94526769</v>
      </c>
      <c r="Q2498">
        <v>2404</v>
      </c>
      <c r="R2498" t="s">
        <v>124</v>
      </c>
      <c r="S2498" t="s">
        <v>125</v>
      </c>
      <c r="AM2498" t="s">
        <v>129</v>
      </c>
      <c r="AN2498" t="s">
        <v>130</v>
      </c>
      <c r="AP2498" t="s">
        <v>41</v>
      </c>
      <c r="AT2498" t="s">
        <v>45</v>
      </c>
      <c r="AW2498" t="s">
        <v>48</v>
      </c>
      <c r="AZ2498" t="s">
        <v>51</v>
      </c>
      <c r="BB2498" t="s">
        <v>53</v>
      </c>
    </row>
    <row r="2499" spans="1:69" x14ac:dyDescent="0.2">
      <c r="A2499" t="s">
        <v>8757</v>
      </c>
      <c r="B2499" t="s">
        <v>8805</v>
      </c>
      <c r="C2499" t="s">
        <v>8806</v>
      </c>
      <c r="D2499" t="s">
        <v>1336</v>
      </c>
      <c r="E2499" t="s">
        <v>8807</v>
      </c>
      <c r="F2499" t="s">
        <v>118</v>
      </c>
      <c r="G2499" t="str">
        <f>HYPERLINK("https://www.youtube.com/watch?v=XSvUHFcHCNU&amp;lc=Ugw8miQwTRQPzMXrZSB4AaABAg")</f>
        <v>https://www.youtube.com/watch?v=XSvUHFcHCNU&amp;lc=Ugw8miQwTRQPzMXrZSB4AaABAg</v>
      </c>
      <c r="H2499" t="s">
        <v>119</v>
      </c>
      <c r="I2499" t="s">
        <v>8737</v>
      </c>
      <c r="J2499" t="str">
        <f>HYPERLINK("https://www.youtube.com/channel/UC6tBkKJEf0J7JGvOLiXAgXA")</f>
        <v>https://www.youtube.com/channel/UC6tBkKJEf0J7JGvOLiXAgXA</v>
      </c>
      <c r="K2499">
        <v>0</v>
      </c>
      <c r="L2499" t="s">
        <v>151</v>
      </c>
      <c r="N2499" t="s">
        <v>248</v>
      </c>
      <c r="O2499" t="s">
        <v>1338</v>
      </c>
      <c r="P2499" t="str">
        <f>HYPERLINK("https://www.youtube.com/channel/UCbGvxMcJgZWpeT0ymfG7-RQ")</f>
        <v>https://www.youtube.com/channel/UCbGvxMcJgZWpeT0ymfG7-RQ</v>
      </c>
      <c r="Q2499">
        <v>818</v>
      </c>
      <c r="R2499" t="s">
        <v>124</v>
      </c>
      <c r="W2499">
        <v>0</v>
      </c>
      <c r="X2499">
        <v>0</v>
      </c>
      <c r="AE2499">
        <v>0</v>
      </c>
      <c r="AM2499" t="s">
        <v>129</v>
      </c>
      <c r="AN2499" t="s">
        <v>130</v>
      </c>
      <c r="AP2499" t="s">
        <v>41</v>
      </c>
      <c r="AT2499" t="s">
        <v>45</v>
      </c>
      <c r="AZ2499" t="s">
        <v>51</v>
      </c>
      <c r="BA2499" t="s">
        <v>52</v>
      </c>
      <c r="BL2499" t="s">
        <v>63</v>
      </c>
    </row>
    <row r="2500" spans="1:69" x14ac:dyDescent="0.2">
      <c r="A2500" t="s">
        <v>8757</v>
      </c>
      <c r="B2500" t="s">
        <v>1317</v>
      </c>
      <c r="C2500" t="s">
        <v>8808</v>
      </c>
      <c r="D2500" t="s">
        <v>7240</v>
      </c>
      <c r="E2500" t="s">
        <v>8809</v>
      </c>
      <c r="F2500" t="s">
        <v>118</v>
      </c>
      <c r="G2500" t="str">
        <f>HYPERLINK("https://vk.com/wall-25564835_222884?reply=222895&amp;thread=222893")</f>
        <v>https://vk.com/wall-25564835_222884?reply=222895&amp;thread=222893</v>
      </c>
      <c r="H2500" t="s">
        <v>119</v>
      </c>
      <c r="I2500" t="s">
        <v>8617</v>
      </c>
      <c r="J2500" t="str">
        <f>HYPERLINK("http://vk.com/id53504801")</f>
        <v>http://vk.com/id53504801</v>
      </c>
      <c r="K2500">
        <v>557</v>
      </c>
      <c r="L2500" t="s">
        <v>151</v>
      </c>
      <c r="N2500" t="s">
        <v>122</v>
      </c>
      <c r="O2500" t="s">
        <v>7243</v>
      </c>
      <c r="P2500" t="str">
        <f>HYPERLINK("http://vk.com/club25564835")</f>
        <v>http://vk.com/club25564835</v>
      </c>
      <c r="Q2500">
        <v>5788</v>
      </c>
      <c r="R2500" t="s">
        <v>124</v>
      </c>
      <c r="AM2500" t="s">
        <v>129</v>
      </c>
      <c r="AN2500" t="s">
        <v>130</v>
      </c>
      <c r="AP2500" t="s">
        <v>41</v>
      </c>
      <c r="AZ2500" t="s">
        <v>51</v>
      </c>
      <c r="BA2500" t="s">
        <v>52</v>
      </c>
      <c r="BL2500" t="s">
        <v>63</v>
      </c>
    </row>
    <row r="2501" spans="1:69" x14ac:dyDescent="0.2">
      <c r="A2501" t="s">
        <v>8757</v>
      </c>
      <c r="B2501" t="s">
        <v>2334</v>
      </c>
      <c r="C2501" t="s">
        <v>8810</v>
      </c>
      <c r="D2501" t="s">
        <v>8811</v>
      </c>
      <c r="E2501" t="s">
        <v>8812</v>
      </c>
      <c r="F2501" t="s">
        <v>118</v>
      </c>
      <c r="G2501" t="str">
        <f>HYPERLINK("https://telegram.me/modem_ca_chat/37989")</f>
        <v>https://telegram.me/modem_ca_chat/37989</v>
      </c>
      <c r="H2501" t="s">
        <v>119</v>
      </c>
      <c r="I2501" t="s">
        <v>8813</v>
      </c>
      <c r="J2501" t="str">
        <f>HYPERLINK("https://telegram.me/mrnekiton")</f>
        <v>https://telegram.me/mrnekiton</v>
      </c>
      <c r="N2501" t="s">
        <v>143</v>
      </c>
      <c r="O2501" t="s">
        <v>4813</v>
      </c>
      <c r="P2501" t="str">
        <f>HYPERLINK("https://telegram.me/modem_ca_chat")</f>
        <v>https://telegram.me/modem_ca_chat</v>
      </c>
      <c r="Q2501">
        <v>220</v>
      </c>
      <c r="R2501" t="s">
        <v>145</v>
      </c>
      <c r="AM2501" t="s">
        <v>129</v>
      </c>
      <c r="AN2501" t="s">
        <v>130</v>
      </c>
      <c r="AP2501" t="s">
        <v>41</v>
      </c>
      <c r="AU2501" t="s">
        <v>46</v>
      </c>
      <c r="AZ2501" t="s">
        <v>51</v>
      </c>
      <c r="BA2501" t="s">
        <v>52</v>
      </c>
    </row>
    <row r="2502" spans="1:69" x14ac:dyDescent="0.2">
      <c r="A2502" t="s">
        <v>8757</v>
      </c>
      <c r="B2502" t="s">
        <v>8814</v>
      </c>
      <c r="C2502" t="s">
        <v>8815</v>
      </c>
      <c r="D2502" t="s">
        <v>7240</v>
      </c>
      <c r="E2502" t="s">
        <v>8816</v>
      </c>
      <c r="F2502" t="s">
        <v>118</v>
      </c>
      <c r="G2502" t="str">
        <f>HYPERLINK("https://vk.com/wall-25564835_222884?reply=222894")</f>
        <v>https://vk.com/wall-25564835_222884?reply=222894</v>
      </c>
      <c r="H2502" t="s">
        <v>119</v>
      </c>
      <c r="I2502" t="s">
        <v>8817</v>
      </c>
      <c r="J2502" t="str">
        <f>HYPERLINK("http://vk.com/id619267250")</f>
        <v>http://vk.com/id619267250</v>
      </c>
      <c r="K2502">
        <v>23</v>
      </c>
      <c r="L2502" t="s">
        <v>151</v>
      </c>
      <c r="M2502">
        <v>14</v>
      </c>
      <c r="N2502" t="s">
        <v>122</v>
      </c>
      <c r="O2502" t="s">
        <v>7243</v>
      </c>
      <c r="P2502" t="str">
        <f>HYPERLINK("http://vk.com/club25564835")</f>
        <v>http://vk.com/club25564835</v>
      </c>
      <c r="Q2502">
        <v>5788</v>
      </c>
      <c r="R2502" t="s">
        <v>124</v>
      </c>
      <c r="AM2502" t="s">
        <v>129</v>
      </c>
      <c r="AN2502" t="s">
        <v>130</v>
      </c>
      <c r="AP2502" t="s">
        <v>41</v>
      </c>
      <c r="AZ2502" t="s">
        <v>51</v>
      </c>
      <c r="BA2502" t="s">
        <v>52</v>
      </c>
      <c r="BL2502" t="s">
        <v>63</v>
      </c>
    </row>
    <row r="2503" spans="1:69" x14ac:dyDescent="0.2">
      <c r="A2503" t="s">
        <v>8757</v>
      </c>
      <c r="B2503" t="s">
        <v>8814</v>
      </c>
      <c r="C2503" t="s">
        <v>8818</v>
      </c>
      <c r="D2503" t="s">
        <v>7240</v>
      </c>
      <c r="E2503" t="s">
        <v>8819</v>
      </c>
      <c r="F2503" t="s">
        <v>118</v>
      </c>
      <c r="G2503" t="str">
        <f>HYPERLINK("https://vk.com/wall-25564835_222884?reply=222893")</f>
        <v>https://vk.com/wall-25564835_222884?reply=222893</v>
      </c>
      <c r="H2503" t="s">
        <v>119</v>
      </c>
      <c r="I2503" t="s">
        <v>8817</v>
      </c>
      <c r="J2503" t="str">
        <f>HYPERLINK("http://vk.com/id619267250")</f>
        <v>http://vk.com/id619267250</v>
      </c>
      <c r="K2503">
        <v>23</v>
      </c>
      <c r="L2503" t="s">
        <v>151</v>
      </c>
      <c r="M2503">
        <v>14</v>
      </c>
      <c r="N2503" t="s">
        <v>122</v>
      </c>
      <c r="O2503" t="s">
        <v>7243</v>
      </c>
      <c r="P2503" t="str">
        <f>HYPERLINK("http://vk.com/club25564835")</f>
        <v>http://vk.com/club25564835</v>
      </c>
      <c r="Q2503">
        <v>5788</v>
      </c>
      <c r="R2503" t="s">
        <v>124</v>
      </c>
      <c r="AM2503" t="s">
        <v>129</v>
      </c>
      <c r="AN2503" t="s">
        <v>130</v>
      </c>
      <c r="AP2503" t="s">
        <v>41</v>
      </c>
      <c r="AZ2503" t="s">
        <v>51</v>
      </c>
      <c r="BA2503" t="s">
        <v>52</v>
      </c>
      <c r="BL2503" t="s">
        <v>63</v>
      </c>
      <c r="BO2503" t="s">
        <v>66</v>
      </c>
    </row>
    <row r="2504" spans="1:69" x14ac:dyDescent="0.2">
      <c r="A2504" t="s">
        <v>8757</v>
      </c>
      <c r="B2504" t="s">
        <v>193</v>
      </c>
      <c r="C2504" t="s">
        <v>8820</v>
      </c>
      <c r="D2504" t="s">
        <v>7240</v>
      </c>
      <c r="E2504" t="s">
        <v>8821</v>
      </c>
      <c r="F2504" t="s">
        <v>118</v>
      </c>
      <c r="G2504" t="str">
        <f>HYPERLINK("https://vk.com/wall-25564835_222884?reply=222892&amp;thread=222891")</f>
        <v>https://vk.com/wall-25564835_222884?reply=222892&amp;thread=222891</v>
      </c>
      <c r="H2504" t="s">
        <v>119</v>
      </c>
      <c r="I2504" t="s">
        <v>8617</v>
      </c>
      <c r="J2504" t="str">
        <f>HYPERLINK("http://vk.com/id53504801")</f>
        <v>http://vk.com/id53504801</v>
      </c>
      <c r="K2504">
        <v>557</v>
      </c>
      <c r="L2504" t="s">
        <v>151</v>
      </c>
      <c r="N2504" t="s">
        <v>122</v>
      </c>
      <c r="O2504" t="s">
        <v>7243</v>
      </c>
      <c r="P2504" t="str">
        <f>HYPERLINK("http://vk.com/club25564835")</f>
        <v>http://vk.com/club25564835</v>
      </c>
      <c r="Q2504">
        <v>5788</v>
      </c>
      <c r="R2504" t="s">
        <v>124</v>
      </c>
      <c r="AM2504" t="s">
        <v>129</v>
      </c>
      <c r="AN2504" t="s">
        <v>130</v>
      </c>
      <c r="AP2504" t="s">
        <v>41</v>
      </c>
      <c r="AY2504" t="s">
        <v>50</v>
      </c>
      <c r="AZ2504" t="s">
        <v>51</v>
      </c>
      <c r="BA2504" t="s">
        <v>52</v>
      </c>
    </row>
    <row r="2505" spans="1:69" x14ac:dyDescent="0.2">
      <c r="A2505" t="s">
        <v>8757</v>
      </c>
      <c r="B2505" t="s">
        <v>8822</v>
      </c>
      <c r="C2505" t="s">
        <v>8808</v>
      </c>
      <c r="D2505" t="s">
        <v>3166</v>
      </c>
      <c r="E2505" t="s">
        <v>8823</v>
      </c>
      <c r="F2505" t="s">
        <v>118</v>
      </c>
      <c r="G2505" t="str">
        <f>HYPERLINK("https://vk.com/wall-27863223_291605?reply=291653")</f>
        <v>https://vk.com/wall-27863223_291605?reply=291653</v>
      </c>
      <c r="H2505" t="s">
        <v>119</v>
      </c>
      <c r="I2505" t="s">
        <v>8824</v>
      </c>
      <c r="J2505" t="str">
        <f>HYPERLINK("http://vk.com/id521584221")</f>
        <v>http://vk.com/id521584221</v>
      </c>
      <c r="K2505">
        <v>8</v>
      </c>
      <c r="L2505" t="s">
        <v>121</v>
      </c>
      <c r="M2505">
        <v>31</v>
      </c>
      <c r="N2505" t="s">
        <v>122</v>
      </c>
      <c r="O2505" t="s">
        <v>175</v>
      </c>
      <c r="P2505" t="str">
        <f>HYPERLINK("http://vk.com/club27863223")</f>
        <v>http://vk.com/club27863223</v>
      </c>
      <c r="Q2505">
        <v>134698</v>
      </c>
      <c r="R2505" t="s">
        <v>124</v>
      </c>
      <c r="S2505" t="s">
        <v>125</v>
      </c>
      <c r="T2505" t="s">
        <v>6649</v>
      </c>
      <c r="U2505" t="s">
        <v>8556</v>
      </c>
      <c r="W2505">
        <v>0</v>
      </c>
      <c r="X2505">
        <v>0</v>
      </c>
      <c r="AM2505" t="s">
        <v>129</v>
      </c>
      <c r="AN2505" t="s">
        <v>130</v>
      </c>
      <c r="AP2505" t="s">
        <v>41</v>
      </c>
      <c r="AT2505" t="s">
        <v>45</v>
      </c>
      <c r="AU2505" t="s">
        <v>46</v>
      </c>
      <c r="AY2505" t="s">
        <v>50</v>
      </c>
      <c r="AZ2505" t="s">
        <v>51</v>
      </c>
      <c r="BA2505" t="s">
        <v>52</v>
      </c>
    </row>
    <row r="2506" spans="1:69" x14ac:dyDescent="0.2">
      <c r="A2506" t="s">
        <v>8757</v>
      </c>
      <c r="B2506" t="s">
        <v>1920</v>
      </c>
      <c r="C2506" t="s">
        <v>8808</v>
      </c>
      <c r="D2506" t="s">
        <v>3166</v>
      </c>
      <c r="E2506" t="s">
        <v>8825</v>
      </c>
      <c r="F2506" t="s">
        <v>118</v>
      </c>
      <c r="G2506" t="str">
        <f>HYPERLINK("https://vk.com/wall-27863223_291605?w=wall-27863223_291605_r291652")</f>
        <v>https://vk.com/wall-27863223_291605?w=wall-27863223_291605_r291652</v>
      </c>
      <c r="H2506" t="s">
        <v>119</v>
      </c>
      <c r="I2506" t="s">
        <v>8826</v>
      </c>
      <c r="J2506" t="str">
        <f>HYPERLINK("http://vk.com/id17973557")</f>
        <v>http://vk.com/id17973557</v>
      </c>
      <c r="K2506">
        <v>118</v>
      </c>
      <c r="L2506" t="s">
        <v>121</v>
      </c>
      <c r="M2506">
        <v>48</v>
      </c>
      <c r="N2506" t="s">
        <v>122</v>
      </c>
      <c r="O2506" t="s">
        <v>175</v>
      </c>
      <c r="P2506" t="str">
        <f>HYPERLINK("http://vk.com/club27863223")</f>
        <v>http://vk.com/club27863223</v>
      </c>
      <c r="Q2506">
        <v>134698</v>
      </c>
      <c r="R2506" t="s">
        <v>124</v>
      </c>
      <c r="S2506" t="s">
        <v>125</v>
      </c>
      <c r="T2506" t="s">
        <v>137</v>
      </c>
      <c r="U2506" t="s">
        <v>137</v>
      </c>
      <c r="W2506">
        <v>0</v>
      </c>
      <c r="X2506">
        <v>0</v>
      </c>
      <c r="AM2506" t="s">
        <v>129</v>
      </c>
      <c r="AN2506" t="s">
        <v>130</v>
      </c>
      <c r="AP2506" t="s">
        <v>41</v>
      </c>
      <c r="AZ2506" t="s">
        <v>51</v>
      </c>
      <c r="BA2506" t="s">
        <v>52</v>
      </c>
      <c r="BQ2506" t="s">
        <v>68</v>
      </c>
    </row>
    <row r="2507" spans="1:69" x14ac:dyDescent="0.2">
      <c r="A2507" t="s">
        <v>8757</v>
      </c>
      <c r="B2507" t="s">
        <v>2361</v>
      </c>
      <c r="C2507" t="s">
        <v>8808</v>
      </c>
      <c r="D2507" t="s">
        <v>3166</v>
      </c>
      <c r="E2507" t="s">
        <v>8827</v>
      </c>
      <c r="F2507" t="s">
        <v>118</v>
      </c>
      <c r="G2507" t="str">
        <f>HYPERLINK("https://vk.com/wall-27863223_291605?w=wall-27863223_291605_r291651")</f>
        <v>https://vk.com/wall-27863223_291605?w=wall-27863223_291605_r291651</v>
      </c>
      <c r="H2507" t="s">
        <v>119</v>
      </c>
      <c r="I2507" t="s">
        <v>8035</v>
      </c>
      <c r="J2507" t="str">
        <f>HYPERLINK("http://vk.com/id266087453")</f>
        <v>http://vk.com/id266087453</v>
      </c>
      <c r="K2507">
        <v>81</v>
      </c>
      <c r="L2507" t="s">
        <v>121</v>
      </c>
      <c r="M2507">
        <v>42</v>
      </c>
      <c r="N2507" t="s">
        <v>122</v>
      </c>
      <c r="O2507" t="s">
        <v>175</v>
      </c>
      <c r="P2507" t="str">
        <f>HYPERLINK("http://vk.com/club27863223")</f>
        <v>http://vk.com/club27863223</v>
      </c>
      <c r="Q2507">
        <v>134698</v>
      </c>
      <c r="R2507" t="s">
        <v>124</v>
      </c>
      <c r="W2507">
        <v>0</v>
      </c>
      <c r="X2507">
        <v>0</v>
      </c>
      <c r="AM2507" t="s">
        <v>129</v>
      </c>
      <c r="AN2507" t="s">
        <v>130</v>
      </c>
      <c r="AP2507" t="s">
        <v>41</v>
      </c>
      <c r="AT2507" t="s">
        <v>45</v>
      </c>
      <c r="AY2507" t="s">
        <v>50</v>
      </c>
      <c r="AZ2507" t="s">
        <v>51</v>
      </c>
      <c r="BA2507" t="s">
        <v>52</v>
      </c>
      <c r="BL2507" t="s">
        <v>63</v>
      </c>
    </row>
    <row r="2508" spans="1:69" x14ac:dyDescent="0.2">
      <c r="A2508" t="s">
        <v>8757</v>
      </c>
      <c r="B2508" t="s">
        <v>3664</v>
      </c>
      <c r="C2508" t="s">
        <v>8531</v>
      </c>
      <c r="D2508" t="s">
        <v>3391</v>
      </c>
      <c r="E2508" t="s">
        <v>8828</v>
      </c>
      <c r="F2508" t="s">
        <v>180</v>
      </c>
      <c r="G2508" t="str">
        <f>HYPERLINK("https://www.wildberries.ru/catalog/14072152/detail.aspx?targetUrl=ES#Comments")</f>
        <v>https://www.wildberries.ru/catalog/14072152/detail.aspx?targetUrl=ES#Comments</v>
      </c>
      <c r="H2508" t="s">
        <v>181</v>
      </c>
      <c r="I2508" t="s">
        <v>1781</v>
      </c>
      <c r="J2508" t="str">
        <f>HYPERLINK("https://www.wildberries.ru/profile/w7TDssOkw7PCu8KzwrLCt8KywrHCs8K1wrY=")</f>
        <v>https://www.wildberries.ru/profile/w7TDssOkw7PCu8KzwrLCt8KywrHCs8K1wrY=</v>
      </c>
      <c r="L2508" t="s">
        <v>151</v>
      </c>
      <c r="N2508" t="s">
        <v>534</v>
      </c>
      <c r="O2508" t="s">
        <v>3391</v>
      </c>
      <c r="P2508" t="str">
        <f>HYPERLINK("https://www.wildberries.ru/catalog/10526045/detail.aspx")</f>
        <v>https://www.wildberries.ru/catalog/10526045/detail.aspx</v>
      </c>
      <c r="R2508" t="s">
        <v>184</v>
      </c>
      <c r="S2508" t="s">
        <v>125</v>
      </c>
      <c r="W2508">
        <v>0</v>
      </c>
      <c r="X2508">
        <v>0</v>
      </c>
      <c r="AH2508">
        <v>5</v>
      </c>
      <c r="AM2508" t="s">
        <v>129</v>
      </c>
      <c r="AN2508" t="s">
        <v>130</v>
      </c>
      <c r="AP2508" t="s">
        <v>41</v>
      </c>
      <c r="AZ2508" t="s">
        <v>51</v>
      </c>
      <c r="BA2508" t="s">
        <v>52</v>
      </c>
      <c r="BK2508" t="s">
        <v>62</v>
      </c>
    </row>
    <row r="2509" spans="1:69" x14ac:dyDescent="0.2">
      <c r="A2509" t="s">
        <v>8757</v>
      </c>
      <c r="B2509" t="s">
        <v>4628</v>
      </c>
      <c r="C2509" t="s">
        <v>8829</v>
      </c>
      <c r="D2509" t="s">
        <v>8830</v>
      </c>
      <c r="E2509" t="s">
        <v>8831</v>
      </c>
      <c r="F2509" t="s">
        <v>118</v>
      </c>
      <c r="G2509" t="str">
        <f>HYPERLINK("https://vk.com/wall-139496655_538732?reply=538961&amp;thread=538750")</f>
        <v>https://vk.com/wall-139496655_538732?reply=538961&amp;thread=538750</v>
      </c>
      <c r="H2509" t="s">
        <v>119</v>
      </c>
      <c r="I2509" t="s">
        <v>8832</v>
      </c>
      <c r="J2509" t="str">
        <f>HYPERLINK("http://vk.com/id247298060")</f>
        <v>http://vk.com/id247298060</v>
      </c>
      <c r="K2509">
        <v>2223</v>
      </c>
      <c r="L2509" t="s">
        <v>121</v>
      </c>
      <c r="N2509" t="s">
        <v>122</v>
      </c>
      <c r="O2509" t="s">
        <v>8833</v>
      </c>
      <c r="P2509" t="str">
        <f>HYPERLINK("http://vk.com/club139496655")</f>
        <v>http://vk.com/club139496655</v>
      </c>
      <c r="Q2509">
        <v>916248</v>
      </c>
      <c r="R2509" t="s">
        <v>124</v>
      </c>
      <c r="AM2509" t="s">
        <v>129</v>
      </c>
      <c r="AN2509" t="s">
        <v>130</v>
      </c>
      <c r="AP2509" t="s">
        <v>41</v>
      </c>
      <c r="AU2509" t="s">
        <v>46</v>
      </c>
      <c r="AZ2509" t="s">
        <v>51</v>
      </c>
      <c r="BA2509" t="s">
        <v>52</v>
      </c>
    </row>
    <row r="2510" spans="1:69" x14ac:dyDescent="0.2">
      <c r="A2510" t="s">
        <v>8757</v>
      </c>
      <c r="B2510" t="s">
        <v>1339</v>
      </c>
      <c r="C2510" t="s">
        <v>8834</v>
      </c>
      <c r="D2510" t="s">
        <v>6224</v>
      </c>
      <c r="E2510" t="s">
        <v>8835</v>
      </c>
      <c r="F2510" t="s">
        <v>118</v>
      </c>
      <c r="G2510" t="str">
        <f>HYPERLINK("https://www.youtube.com/watch?v=cuBcZGF3Yzc&amp;lc=UgzuC8mauYMQLjvw18J4AaABAg")</f>
        <v>https://www.youtube.com/watch?v=cuBcZGF3Yzc&amp;lc=UgzuC8mauYMQLjvw18J4AaABAg</v>
      </c>
      <c r="H2510" t="s">
        <v>228</v>
      </c>
      <c r="I2510" t="s">
        <v>8836</v>
      </c>
      <c r="J2510" t="str">
        <f>HYPERLINK("https://www.youtube.com/channel/UCf03SA1l9ENqvO8Tz5ABn5Q")</f>
        <v>https://www.youtube.com/channel/UCf03SA1l9ENqvO8Tz5ABn5Q</v>
      </c>
      <c r="K2510">
        <v>2</v>
      </c>
      <c r="L2510" t="s">
        <v>121</v>
      </c>
      <c r="N2510" t="s">
        <v>248</v>
      </c>
      <c r="O2510" t="s">
        <v>6227</v>
      </c>
      <c r="P2510" t="str">
        <f>HYPERLINK("https://www.youtube.com/channel/UCRP4EhX1Op-jL7D87PB3qhQ")</f>
        <v>https://www.youtube.com/channel/UCRP4EhX1Op-jL7D87PB3qhQ</v>
      </c>
      <c r="Q2510">
        <v>2820000</v>
      </c>
      <c r="R2510" t="s">
        <v>124</v>
      </c>
      <c r="S2510" t="s">
        <v>125</v>
      </c>
      <c r="W2510">
        <v>0</v>
      </c>
      <c r="X2510">
        <v>0</v>
      </c>
      <c r="AE2510">
        <v>0</v>
      </c>
      <c r="AM2510" t="s">
        <v>129</v>
      </c>
      <c r="AN2510" t="s">
        <v>130</v>
      </c>
      <c r="AP2510" t="s">
        <v>41</v>
      </c>
      <c r="AT2510" t="s">
        <v>45</v>
      </c>
      <c r="AY2510" t="s">
        <v>50</v>
      </c>
      <c r="AZ2510" t="s">
        <v>51</v>
      </c>
      <c r="BA2510" t="s">
        <v>52</v>
      </c>
    </row>
    <row r="2511" spans="1:69" x14ac:dyDescent="0.2">
      <c r="A2511" t="s">
        <v>8757</v>
      </c>
      <c r="B2511" t="s">
        <v>243</v>
      </c>
      <c r="C2511" t="s">
        <v>8837</v>
      </c>
      <c r="D2511" t="s">
        <v>8838</v>
      </c>
      <c r="E2511" t="s">
        <v>8839</v>
      </c>
      <c r="F2511" t="s">
        <v>118</v>
      </c>
      <c r="G2511" t="str">
        <f>HYPERLINK("https://vk.com/wall-157352565_27032?reply=27041")</f>
        <v>https://vk.com/wall-157352565_27032?reply=27041</v>
      </c>
      <c r="H2511" t="s">
        <v>119</v>
      </c>
      <c r="I2511" t="s">
        <v>8840</v>
      </c>
      <c r="J2511" t="str">
        <f>HYPERLINK("http://vk.com/id85008382")</f>
        <v>http://vk.com/id85008382</v>
      </c>
      <c r="K2511">
        <v>136</v>
      </c>
      <c r="L2511" t="s">
        <v>121</v>
      </c>
      <c r="N2511" t="s">
        <v>122</v>
      </c>
      <c r="O2511" t="s">
        <v>8841</v>
      </c>
      <c r="P2511" t="str">
        <f>HYPERLINK("http://vk.com/club157352565")</f>
        <v>http://vk.com/club157352565</v>
      </c>
      <c r="Q2511">
        <v>7608</v>
      </c>
      <c r="R2511" t="s">
        <v>124</v>
      </c>
      <c r="S2511" t="s">
        <v>125</v>
      </c>
      <c r="AM2511" t="s">
        <v>129</v>
      </c>
      <c r="AN2511" t="s">
        <v>130</v>
      </c>
      <c r="AP2511" t="s">
        <v>41</v>
      </c>
      <c r="AZ2511" t="s">
        <v>51</v>
      </c>
      <c r="BA2511" t="s">
        <v>52</v>
      </c>
      <c r="BL2511" t="s">
        <v>63</v>
      </c>
      <c r="BM2511" t="s">
        <v>64</v>
      </c>
    </row>
    <row r="2512" spans="1:69" x14ac:dyDescent="0.2">
      <c r="A2512" t="s">
        <v>8757</v>
      </c>
      <c r="B2512" t="s">
        <v>8842</v>
      </c>
      <c r="C2512" t="s">
        <v>8843</v>
      </c>
      <c r="D2512" t="s">
        <v>8844</v>
      </c>
      <c r="E2512" t="s">
        <v>8845</v>
      </c>
      <c r="F2512" t="s">
        <v>118</v>
      </c>
      <c r="G2512" t="str">
        <f>HYPERLINK("https://ok.ru/group/54229048098816/topic/156586739304448#MTYyNjAyMzgzNzE1NTotODEwNToxNjI2MDIzODM3MTU1OjE1NjU4NjczOTMwNDQ0ODox")</f>
        <v>https://ok.ru/group/54229048098816/topic/156586739304448#MTYyNjAyMzgzNzE1NTotODEwNToxNjI2MDIzODM3MTU1OjE1NjU4NjczOTMwNDQ0ODox</v>
      </c>
      <c r="H2512" t="s">
        <v>119</v>
      </c>
      <c r="I2512" t="s">
        <v>8846</v>
      </c>
      <c r="J2512" t="str">
        <f>HYPERLINK("https://ok.ru/profile/568736840247")</f>
        <v>https://ok.ru/profile/568736840247</v>
      </c>
      <c r="K2512">
        <v>18</v>
      </c>
      <c r="L2512" t="s">
        <v>121</v>
      </c>
      <c r="M2512">
        <v>103</v>
      </c>
      <c r="N2512" t="s">
        <v>347</v>
      </c>
      <c r="O2512" t="s">
        <v>8847</v>
      </c>
      <c r="P2512" t="str">
        <f>HYPERLINK("https://ok.ru/group/54229048098816")</f>
        <v>https://ok.ru/group/54229048098816</v>
      </c>
      <c r="Q2512">
        <v>91143</v>
      </c>
      <c r="R2512" t="s">
        <v>124</v>
      </c>
      <c r="S2512" t="s">
        <v>125</v>
      </c>
      <c r="T2512" t="s">
        <v>3158</v>
      </c>
      <c r="U2512" t="s">
        <v>3159</v>
      </c>
      <c r="W2512">
        <v>0</v>
      </c>
      <c r="X2512">
        <v>0</v>
      </c>
      <c r="AM2512" t="s">
        <v>129</v>
      </c>
      <c r="AN2512" t="s">
        <v>130</v>
      </c>
      <c r="AP2512" t="s">
        <v>41</v>
      </c>
      <c r="AY2512" t="s">
        <v>50</v>
      </c>
      <c r="AZ2512" t="s">
        <v>51</v>
      </c>
      <c r="BA2512" t="s">
        <v>52</v>
      </c>
      <c r="BL2512" t="s">
        <v>63</v>
      </c>
      <c r="BO2512" t="s">
        <v>66</v>
      </c>
    </row>
    <row r="2513" spans="1:69" x14ac:dyDescent="0.2">
      <c r="A2513" t="s">
        <v>8757</v>
      </c>
      <c r="B2513" t="s">
        <v>4178</v>
      </c>
      <c r="C2513" t="s">
        <v>5628</v>
      </c>
      <c r="D2513" t="s">
        <v>476</v>
      </c>
      <c r="E2513" t="s">
        <v>8848</v>
      </c>
      <c r="F2513" t="s">
        <v>180</v>
      </c>
      <c r="G2513" t="str">
        <f>HYPERLINK("https://www.ozon.ru/context/detail/id/261611432/#58739546")</f>
        <v>https://www.ozon.ru/context/detail/id/261611432/#58739546</v>
      </c>
      <c r="H2513" t="s">
        <v>181</v>
      </c>
      <c r="I2513" t="s">
        <v>8849</v>
      </c>
      <c r="J2513" t="str">
        <f>HYPERLINK("https://www.ozon.ru/context/client_opinion/ClientGuid/61ecaed2-c328-4b3d-a079-80e03fbb9d68/")</f>
        <v>https://www.ozon.ru/context/client_opinion/ClientGuid/61ecaed2-c328-4b3d-a079-80e03fbb9d68/</v>
      </c>
      <c r="L2513" t="s">
        <v>151</v>
      </c>
      <c r="N2513" t="s">
        <v>183</v>
      </c>
      <c r="O2513" t="s">
        <v>476</v>
      </c>
      <c r="P2513" t="str">
        <f>HYPERLINK("https://www.ozon.ru/context/detail/id/261611432/")</f>
        <v>https://www.ozon.ru/context/detail/id/261611432/</v>
      </c>
      <c r="R2513" t="s">
        <v>184</v>
      </c>
      <c r="S2513" t="s">
        <v>125</v>
      </c>
      <c r="W2513">
        <v>0</v>
      </c>
      <c r="X2513">
        <v>0</v>
      </c>
      <c r="AH2513">
        <v>5</v>
      </c>
      <c r="AM2513" t="s">
        <v>129</v>
      </c>
      <c r="AN2513" t="s">
        <v>130</v>
      </c>
      <c r="AP2513" t="s">
        <v>41</v>
      </c>
      <c r="AT2513" t="s">
        <v>45</v>
      </c>
      <c r="AZ2513" t="s">
        <v>51</v>
      </c>
      <c r="BA2513" t="s">
        <v>52</v>
      </c>
    </row>
    <row r="2514" spans="1:69" x14ac:dyDescent="0.2">
      <c r="A2514" t="s">
        <v>8757</v>
      </c>
      <c r="B2514" t="s">
        <v>2403</v>
      </c>
      <c r="C2514" t="s">
        <v>8808</v>
      </c>
      <c r="D2514" t="s">
        <v>8655</v>
      </c>
      <c r="E2514" t="s">
        <v>8850</v>
      </c>
      <c r="F2514" t="s">
        <v>118</v>
      </c>
      <c r="G2514" t="str">
        <f>HYPERLINK("https://vk.com/wall-61101621_254594?reply=254605")</f>
        <v>https://vk.com/wall-61101621_254594?reply=254605</v>
      </c>
      <c r="H2514" t="s">
        <v>119</v>
      </c>
      <c r="I2514" t="s">
        <v>3106</v>
      </c>
      <c r="J2514" t="str">
        <f>HYPERLINK("http://vk.com/id3438593")</f>
        <v>http://vk.com/id3438593</v>
      </c>
      <c r="K2514">
        <v>49</v>
      </c>
      <c r="L2514" t="s">
        <v>121</v>
      </c>
      <c r="N2514" t="s">
        <v>122</v>
      </c>
      <c r="O2514" t="s">
        <v>160</v>
      </c>
      <c r="P2514" t="str">
        <f>HYPERLINK("http://vk.com/club61101621")</f>
        <v>http://vk.com/club61101621</v>
      </c>
      <c r="Q2514">
        <v>21119</v>
      </c>
      <c r="R2514" t="s">
        <v>124</v>
      </c>
      <c r="S2514" t="s">
        <v>125</v>
      </c>
      <c r="T2514" t="s">
        <v>169</v>
      </c>
      <c r="U2514" t="s">
        <v>169</v>
      </c>
      <c r="W2514">
        <v>0</v>
      </c>
      <c r="X2514">
        <v>0</v>
      </c>
      <c r="AM2514" t="s">
        <v>129</v>
      </c>
      <c r="AN2514" t="s">
        <v>130</v>
      </c>
      <c r="AP2514" t="s">
        <v>41</v>
      </c>
      <c r="AW2514" t="s">
        <v>48</v>
      </c>
      <c r="AZ2514" t="s">
        <v>51</v>
      </c>
      <c r="BA2514" t="s">
        <v>52</v>
      </c>
    </row>
    <row r="2515" spans="1:69" x14ac:dyDescent="0.2">
      <c r="A2515" t="s">
        <v>8757</v>
      </c>
      <c r="B2515" t="s">
        <v>847</v>
      </c>
      <c r="C2515" t="s">
        <v>8851</v>
      </c>
      <c r="D2515" t="s">
        <v>8852</v>
      </c>
      <c r="E2515" t="s">
        <v>8853</v>
      </c>
      <c r="F2515" t="s">
        <v>118</v>
      </c>
      <c r="G2515" t="str">
        <f>HYPERLINK("https://www.youtube.com/watch?v=8Ii2dgGSmU8&amp;lc=UgyXMcrir2okdm_brTR4AaABAg")</f>
        <v>https://www.youtube.com/watch?v=8Ii2dgGSmU8&amp;lc=UgyXMcrir2okdm_brTR4AaABAg</v>
      </c>
      <c r="H2515" t="s">
        <v>119</v>
      </c>
      <c r="I2515" t="s">
        <v>1838</v>
      </c>
      <c r="J2515" t="str">
        <f>HYPERLINK("https://www.youtube.com/channel/UCEioXjRGFLTTJUnyqliPTjQ")</f>
        <v>https://www.youtube.com/channel/UCEioXjRGFLTTJUnyqliPTjQ</v>
      </c>
      <c r="K2515">
        <v>102</v>
      </c>
      <c r="N2515" t="s">
        <v>248</v>
      </c>
      <c r="O2515" t="s">
        <v>1838</v>
      </c>
      <c r="P2515" t="str">
        <f>HYPERLINK("https://www.youtube.com/channel/UCEioXjRGFLTTJUnyqliPTjQ")</f>
        <v>https://www.youtube.com/channel/UCEioXjRGFLTTJUnyqliPTjQ</v>
      </c>
      <c r="Q2515">
        <v>102</v>
      </c>
      <c r="R2515" t="s">
        <v>124</v>
      </c>
      <c r="S2515" t="s">
        <v>125</v>
      </c>
      <c r="W2515">
        <v>0</v>
      </c>
      <c r="X2515">
        <v>0</v>
      </c>
      <c r="AE2515">
        <v>0</v>
      </c>
      <c r="AM2515" t="s">
        <v>129</v>
      </c>
      <c r="AN2515" t="s">
        <v>130</v>
      </c>
      <c r="AP2515" t="s">
        <v>41</v>
      </c>
      <c r="AZ2515" t="s">
        <v>51</v>
      </c>
      <c r="BA2515" t="s">
        <v>52</v>
      </c>
      <c r="BL2515" t="s">
        <v>63</v>
      </c>
      <c r="BM2515" t="s">
        <v>64</v>
      </c>
    </row>
    <row r="2516" spans="1:69" x14ac:dyDescent="0.2">
      <c r="A2516" t="s">
        <v>8757</v>
      </c>
      <c r="B2516" t="s">
        <v>1937</v>
      </c>
      <c r="C2516" t="s">
        <v>8808</v>
      </c>
      <c r="D2516" t="s">
        <v>8655</v>
      </c>
      <c r="E2516" t="s">
        <v>8854</v>
      </c>
      <c r="F2516" t="s">
        <v>118</v>
      </c>
      <c r="G2516" t="str">
        <f>HYPERLINK("https://vk.com/wall-61101621_254594?reply=254604")</f>
        <v>https://vk.com/wall-61101621_254594?reply=254604</v>
      </c>
      <c r="H2516" t="s">
        <v>119</v>
      </c>
      <c r="I2516" t="s">
        <v>8855</v>
      </c>
      <c r="J2516" t="str">
        <f>HYPERLINK("http://vk.com/id369993710")</f>
        <v>http://vk.com/id369993710</v>
      </c>
      <c r="K2516">
        <v>145</v>
      </c>
      <c r="L2516" t="s">
        <v>121</v>
      </c>
      <c r="N2516" t="s">
        <v>122</v>
      </c>
      <c r="O2516" t="s">
        <v>160</v>
      </c>
      <c r="P2516" t="str">
        <f>HYPERLINK("http://vk.com/club61101621")</f>
        <v>http://vk.com/club61101621</v>
      </c>
      <c r="Q2516">
        <v>21119</v>
      </c>
      <c r="R2516" t="s">
        <v>124</v>
      </c>
      <c r="S2516" t="s">
        <v>125</v>
      </c>
      <c r="W2516">
        <v>0</v>
      </c>
      <c r="X2516">
        <v>0</v>
      </c>
      <c r="AM2516" t="s">
        <v>129</v>
      </c>
      <c r="AN2516" t="s">
        <v>130</v>
      </c>
      <c r="AP2516" t="s">
        <v>41</v>
      </c>
      <c r="AZ2516" t="s">
        <v>51</v>
      </c>
      <c r="BA2516" t="s">
        <v>52</v>
      </c>
      <c r="BM2516" t="s">
        <v>64</v>
      </c>
    </row>
    <row r="2517" spans="1:69" x14ac:dyDescent="0.2">
      <c r="A2517" t="s">
        <v>8757</v>
      </c>
      <c r="B2517" t="s">
        <v>1937</v>
      </c>
      <c r="C2517" t="s">
        <v>8856</v>
      </c>
      <c r="D2517" t="s">
        <v>8857</v>
      </c>
      <c r="E2517" t="s">
        <v>8858</v>
      </c>
      <c r="F2517" t="s">
        <v>180</v>
      </c>
      <c r="G2517" t="str">
        <f>HYPERLINK("https://market.yandex.ru/product/725478048/reviews?id=134390659")</f>
        <v>https://market.yandex.ru/product/725478048/reviews?id=134390659</v>
      </c>
      <c r="H2517" t="s">
        <v>181</v>
      </c>
      <c r="I2517" t="s">
        <v>8859</v>
      </c>
      <c r="J2517" t="str">
        <f>HYPERLINK("https://market.yandex.ru/user/8a8y99ppmautqet55m4b8z7h98/reviews")</f>
        <v>https://market.yandex.ru/user/8a8y99ppmautqet55m4b8z7h98/reviews</v>
      </c>
      <c r="N2517" t="s">
        <v>611</v>
      </c>
      <c r="O2517" t="s">
        <v>8857</v>
      </c>
      <c r="P2517" t="str">
        <f>HYPERLINK("https://market.yandex.ru/product/725478048")</f>
        <v>https://market.yandex.ru/product/725478048</v>
      </c>
      <c r="R2517" t="s">
        <v>184</v>
      </c>
      <c r="S2517" t="s">
        <v>125</v>
      </c>
      <c r="T2517" t="s">
        <v>126</v>
      </c>
      <c r="U2517" t="s">
        <v>127</v>
      </c>
      <c r="W2517">
        <v>2</v>
      </c>
      <c r="X2517">
        <v>2</v>
      </c>
      <c r="AH2517">
        <v>5</v>
      </c>
      <c r="AM2517" t="s">
        <v>129</v>
      </c>
      <c r="AN2517" t="s">
        <v>130</v>
      </c>
      <c r="AP2517" t="s">
        <v>41</v>
      </c>
      <c r="AT2517" t="s">
        <v>45</v>
      </c>
      <c r="AW2517" t="s">
        <v>48</v>
      </c>
      <c r="AZ2517" t="s">
        <v>51</v>
      </c>
      <c r="BA2517" t="s">
        <v>52</v>
      </c>
    </row>
    <row r="2518" spans="1:69" x14ac:dyDescent="0.2">
      <c r="A2518" t="s">
        <v>8757</v>
      </c>
      <c r="B2518" t="s">
        <v>2406</v>
      </c>
      <c r="C2518" t="s">
        <v>8808</v>
      </c>
      <c r="D2518" t="s">
        <v>8655</v>
      </c>
      <c r="E2518" t="s">
        <v>8860</v>
      </c>
      <c r="F2518" t="s">
        <v>118</v>
      </c>
      <c r="G2518" t="str">
        <f>HYPERLINK("https://vk.com/wall-61101621_254594?reply=254603")</f>
        <v>https://vk.com/wall-61101621_254594?reply=254603</v>
      </c>
      <c r="H2518" t="s">
        <v>119</v>
      </c>
      <c r="I2518" t="s">
        <v>8861</v>
      </c>
      <c r="J2518" t="str">
        <f>HYPERLINK("http://vk.com/id29248802")</f>
        <v>http://vk.com/id29248802</v>
      </c>
      <c r="K2518">
        <v>208</v>
      </c>
      <c r="L2518" t="s">
        <v>121</v>
      </c>
      <c r="N2518" t="s">
        <v>122</v>
      </c>
      <c r="O2518" t="s">
        <v>160</v>
      </c>
      <c r="P2518" t="str">
        <f>HYPERLINK("http://vk.com/club61101621")</f>
        <v>http://vk.com/club61101621</v>
      </c>
      <c r="Q2518">
        <v>21119</v>
      </c>
      <c r="R2518" t="s">
        <v>124</v>
      </c>
      <c r="S2518" t="s">
        <v>125</v>
      </c>
      <c r="T2518" t="s">
        <v>8862</v>
      </c>
      <c r="U2518" t="s">
        <v>8863</v>
      </c>
      <c r="W2518">
        <v>0</v>
      </c>
      <c r="X2518">
        <v>0</v>
      </c>
      <c r="AM2518" t="s">
        <v>129</v>
      </c>
      <c r="AN2518" t="s">
        <v>130</v>
      </c>
      <c r="AP2518" t="s">
        <v>41</v>
      </c>
      <c r="AW2518" t="s">
        <v>48</v>
      </c>
      <c r="AZ2518" t="s">
        <v>51</v>
      </c>
      <c r="BA2518" t="s">
        <v>52</v>
      </c>
      <c r="BM2518" t="s">
        <v>64</v>
      </c>
    </row>
    <row r="2519" spans="1:69" x14ac:dyDescent="0.2">
      <c r="A2519" t="s">
        <v>8757</v>
      </c>
      <c r="B2519" t="s">
        <v>8864</v>
      </c>
      <c r="C2519" t="s">
        <v>8865</v>
      </c>
      <c r="D2519" t="s">
        <v>129</v>
      </c>
      <c r="E2519" t="s">
        <v>7240</v>
      </c>
      <c r="F2519" t="s">
        <v>180</v>
      </c>
      <c r="G2519" t="str">
        <f>HYPERLINK("https://vk.com/wall-25564835_222884")</f>
        <v>https://vk.com/wall-25564835_222884</v>
      </c>
      <c r="H2519" t="s">
        <v>119</v>
      </c>
      <c r="I2519" t="s">
        <v>8617</v>
      </c>
      <c r="J2519" t="str">
        <f>HYPERLINK("http://vk.com/id53504801")</f>
        <v>http://vk.com/id53504801</v>
      </c>
      <c r="K2519">
        <v>557</v>
      </c>
      <c r="L2519" t="s">
        <v>151</v>
      </c>
      <c r="N2519" t="s">
        <v>122</v>
      </c>
      <c r="O2519" t="s">
        <v>7243</v>
      </c>
      <c r="P2519" t="str">
        <f>HYPERLINK("http://vk.com/club25564835")</f>
        <v>http://vk.com/club25564835</v>
      </c>
      <c r="Q2519">
        <v>5788</v>
      </c>
      <c r="R2519" t="s">
        <v>124</v>
      </c>
      <c r="W2519">
        <v>1</v>
      </c>
      <c r="X2519">
        <v>1</v>
      </c>
      <c r="AE2519">
        <v>19</v>
      </c>
      <c r="AF2519">
        <v>0</v>
      </c>
      <c r="AM2519" t="s">
        <v>129</v>
      </c>
      <c r="AN2519" t="s">
        <v>130</v>
      </c>
      <c r="AP2519" t="s">
        <v>41</v>
      </c>
      <c r="AW2519" t="s">
        <v>48</v>
      </c>
      <c r="AZ2519" t="s">
        <v>51</v>
      </c>
      <c r="BA2519" t="s">
        <v>52</v>
      </c>
      <c r="BL2519" t="s">
        <v>63</v>
      </c>
    </row>
    <row r="2520" spans="1:69" x14ac:dyDescent="0.2">
      <c r="A2520" t="s">
        <v>8757</v>
      </c>
      <c r="B2520" t="s">
        <v>858</v>
      </c>
      <c r="C2520" t="s">
        <v>8815</v>
      </c>
      <c r="D2520" t="s">
        <v>204</v>
      </c>
      <c r="E2520" t="s">
        <v>4155</v>
      </c>
      <c r="F2520" t="s">
        <v>180</v>
      </c>
      <c r="G2520" t="str">
        <f>HYPERLINK("https://play.google.com/store/apps/details?id=ru.iflex.android.a3colortv&amp;reviewId=gp:AOqpTOFwW_MGPSAMLsUKduApXI8aX_G7Cq4oUZi_p29rEZiRZSWbKjVMgn60wz1xvrjVswx5iADCMk3VINz0ag")</f>
        <v>https://play.google.com/store/apps/details?id=ru.iflex.android.a3colortv&amp;reviewId=gp:AOqpTOFwW_MGPSAMLsUKduApXI8aX_G7Cq4oUZi_p29rEZiRZSWbKjVMgn60wz1xvrjVswx5iADCMk3VINz0ag</v>
      </c>
      <c r="H2520" t="s">
        <v>181</v>
      </c>
      <c r="I2520" t="s">
        <v>8866</v>
      </c>
      <c r="J2520" t="str">
        <f>HYPERLINK("https://plus.google.com/115974935979608503215")</f>
        <v>https://plus.google.com/115974935979608503215</v>
      </c>
      <c r="L2520" t="s">
        <v>121</v>
      </c>
      <c r="N2520" t="s">
        <v>207</v>
      </c>
      <c r="O2520" t="s">
        <v>204</v>
      </c>
      <c r="P2520" t="str">
        <f>HYPERLINK("https://play.google.com/store/apps/details?id=ru.iflex.android.a3colortv&amp;hl=ru")</f>
        <v>https://play.google.com/store/apps/details?id=ru.iflex.android.a3colortv&amp;hl=ru</v>
      </c>
      <c r="R2520" t="s">
        <v>184</v>
      </c>
      <c r="S2520" t="s">
        <v>125</v>
      </c>
      <c r="W2520">
        <v>0</v>
      </c>
      <c r="X2520">
        <v>0</v>
      </c>
      <c r="AH2520">
        <v>5</v>
      </c>
      <c r="AM2520" t="s">
        <v>129</v>
      </c>
      <c r="AN2520" t="s">
        <v>130</v>
      </c>
      <c r="AP2520" t="s">
        <v>41</v>
      </c>
      <c r="AZ2520" t="s">
        <v>51</v>
      </c>
      <c r="BA2520" t="s">
        <v>52</v>
      </c>
      <c r="BQ2520" t="s">
        <v>68</v>
      </c>
    </row>
    <row r="2521" spans="1:69" x14ac:dyDescent="0.2">
      <c r="A2521" t="s">
        <v>8757</v>
      </c>
      <c r="B2521" t="s">
        <v>893</v>
      </c>
      <c r="C2521" t="s">
        <v>8867</v>
      </c>
      <c r="D2521" t="s">
        <v>8868</v>
      </c>
      <c r="E2521" t="s">
        <v>8869</v>
      </c>
      <c r="F2521" t="s">
        <v>118</v>
      </c>
      <c r="G2521" t="str">
        <f>HYPERLINK("https://vk.com/wall-62986492_215808?reply=215826")</f>
        <v>https://vk.com/wall-62986492_215808?reply=215826</v>
      </c>
      <c r="H2521" t="s">
        <v>119</v>
      </c>
      <c r="I2521" t="s">
        <v>8870</v>
      </c>
      <c r="J2521" t="str">
        <f>HYPERLINK("http://vk.com/id246863063")</f>
        <v>http://vk.com/id246863063</v>
      </c>
      <c r="K2521">
        <v>109</v>
      </c>
      <c r="L2521" t="s">
        <v>151</v>
      </c>
      <c r="M2521">
        <v>56</v>
      </c>
      <c r="N2521" t="s">
        <v>122</v>
      </c>
      <c r="O2521" t="s">
        <v>8871</v>
      </c>
      <c r="P2521" t="str">
        <f>HYPERLINK("http://vk.com/club62986492")</f>
        <v>http://vk.com/club62986492</v>
      </c>
      <c r="Q2521">
        <v>10930</v>
      </c>
      <c r="R2521" t="s">
        <v>124</v>
      </c>
      <c r="S2521" t="s">
        <v>125</v>
      </c>
      <c r="T2521" t="s">
        <v>487</v>
      </c>
      <c r="U2521" t="s">
        <v>1826</v>
      </c>
      <c r="AM2521" t="s">
        <v>129</v>
      </c>
      <c r="AN2521" t="s">
        <v>130</v>
      </c>
      <c r="AP2521" t="s">
        <v>41</v>
      </c>
      <c r="AW2521" t="s">
        <v>48</v>
      </c>
      <c r="AX2521" t="s">
        <v>49</v>
      </c>
      <c r="AZ2521" t="s">
        <v>51</v>
      </c>
      <c r="BA2521" t="s">
        <v>52</v>
      </c>
      <c r="BL2521" t="s">
        <v>63</v>
      </c>
    </row>
    <row r="2522" spans="1:69" x14ac:dyDescent="0.2">
      <c r="A2522" t="s">
        <v>8757</v>
      </c>
      <c r="B2522" t="s">
        <v>7696</v>
      </c>
      <c r="C2522" t="s">
        <v>8872</v>
      </c>
      <c r="D2522" t="s">
        <v>8873</v>
      </c>
      <c r="E2522" t="s">
        <v>8874</v>
      </c>
      <c r="F2522" t="s">
        <v>118</v>
      </c>
      <c r="G2522" t="str">
        <f>HYPERLINK("https://www.facebook.com/story.php?story_fbid=5671145699624783&amp;id=100001882288198&amp;comment_id=5671212406284779")</f>
        <v>https://www.facebook.com/story.php?story_fbid=5671145699624783&amp;id=100001882288198&amp;comment_id=5671212406284779</v>
      </c>
      <c r="H2522" t="s">
        <v>119</v>
      </c>
      <c r="I2522" t="s">
        <v>8875</v>
      </c>
      <c r="J2522" t="str">
        <f>HYPERLINK("https://www.facebook.com/100006492336400")</f>
        <v>https://www.facebook.com/100006492336400</v>
      </c>
      <c r="K2522">
        <v>1981</v>
      </c>
      <c r="L2522" t="s">
        <v>121</v>
      </c>
      <c r="N2522" t="s">
        <v>305</v>
      </c>
      <c r="O2522" t="s">
        <v>8876</v>
      </c>
      <c r="P2522" t="str">
        <f>HYPERLINK("https://www.facebook.com/100001882288198")</f>
        <v>https://www.facebook.com/100001882288198</v>
      </c>
      <c r="Q2522">
        <v>3366</v>
      </c>
      <c r="R2522" t="s">
        <v>124</v>
      </c>
      <c r="S2522" t="s">
        <v>125</v>
      </c>
      <c r="T2522" t="s">
        <v>627</v>
      </c>
      <c r="U2522" t="s">
        <v>846</v>
      </c>
      <c r="W2522">
        <v>1</v>
      </c>
      <c r="X2522">
        <v>1</v>
      </c>
      <c r="AE2522">
        <v>0</v>
      </c>
      <c r="AM2522" t="s">
        <v>129</v>
      </c>
      <c r="AN2522" t="s">
        <v>130</v>
      </c>
      <c r="AP2522" t="s">
        <v>41</v>
      </c>
      <c r="AT2522" t="s">
        <v>45</v>
      </c>
      <c r="AU2522" t="s">
        <v>46</v>
      </c>
      <c r="AZ2522" t="s">
        <v>51</v>
      </c>
      <c r="BA2522" t="s">
        <v>52</v>
      </c>
      <c r="BM2522" t="s">
        <v>64</v>
      </c>
    </row>
    <row r="2523" spans="1:69" x14ac:dyDescent="0.2">
      <c r="A2523" t="s">
        <v>8757</v>
      </c>
      <c r="B2523" t="s">
        <v>1429</v>
      </c>
      <c r="C2523" t="s">
        <v>8877</v>
      </c>
      <c r="D2523" t="s">
        <v>8878</v>
      </c>
      <c r="E2523" t="s">
        <v>8879</v>
      </c>
      <c r="F2523" t="s">
        <v>118</v>
      </c>
      <c r="G2523" t="str">
        <f>HYPERLINK("https://vk.com/wall-42496486_433409?reply=433413")</f>
        <v>https://vk.com/wall-42496486_433409?reply=433413</v>
      </c>
      <c r="H2523" t="s">
        <v>119</v>
      </c>
      <c r="I2523" t="s">
        <v>8880</v>
      </c>
      <c r="J2523" t="str">
        <f>HYPERLINK("http://vk.com/id246653585")</f>
        <v>http://vk.com/id246653585</v>
      </c>
      <c r="K2523">
        <v>21</v>
      </c>
      <c r="L2523" t="s">
        <v>121</v>
      </c>
      <c r="M2523">
        <v>49</v>
      </c>
      <c r="N2523" t="s">
        <v>122</v>
      </c>
      <c r="O2523" t="s">
        <v>8881</v>
      </c>
      <c r="P2523" t="str">
        <f>HYPERLINK("http://vk.com/club42496486")</f>
        <v>http://vk.com/club42496486</v>
      </c>
      <c r="Q2523">
        <v>23364</v>
      </c>
      <c r="R2523" t="s">
        <v>124</v>
      </c>
      <c r="S2523" t="s">
        <v>125</v>
      </c>
      <c r="T2523" t="s">
        <v>601</v>
      </c>
      <c r="U2523" t="s">
        <v>8882</v>
      </c>
      <c r="AM2523" t="s">
        <v>129</v>
      </c>
      <c r="AN2523" t="s">
        <v>130</v>
      </c>
      <c r="AP2523" t="s">
        <v>41</v>
      </c>
      <c r="AZ2523" t="s">
        <v>51</v>
      </c>
      <c r="BA2523" t="s">
        <v>52</v>
      </c>
      <c r="BL2523" t="s">
        <v>63</v>
      </c>
      <c r="BO2523" t="s">
        <v>66</v>
      </c>
    </row>
    <row r="2524" spans="1:69" x14ac:dyDescent="0.2">
      <c r="A2524" t="s">
        <v>8757</v>
      </c>
      <c r="B2524" t="s">
        <v>2982</v>
      </c>
      <c r="C2524" t="s">
        <v>8808</v>
      </c>
      <c r="D2524" t="s">
        <v>8655</v>
      </c>
      <c r="E2524" t="s">
        <v>8883</v>
      </c>
      <c r="F2524" t="s">
        <v>118</v>
      </c>
      <c r="G2524" t="str">
        <f>HYPERLINK("https://vk.com/wall-61101621_254594?reply=254602")</f>
        <v>https://vk.com/wall-61101621_254594?reply=254602</v>
      </c>
      <c r="H2524" t="s">
        <v>119</v>
      </c>
      <c r="I2524" t="s">
        <v>159</v>
      </c>
      <c r="J2524" t="str">
        <f>HYPERLINK("http://vk.com/id27298520")</f>
        <v>http://vk.com/id27298520</v>
      </c>
      <c r="K2524">
        <v>113</v>
      </c>
      <c r="L2524" t="s">
        <v>121</v>
      </c>
      <c r="N2524" t="s">
        <v>122</v>
      </c>
      <c r="O2524" t="s">
        <v>160</v>
      </c>
      <c r="P2524" t="str">
        <f>HYPERLINK("http://vk.com/club61101621")</f>
        <v>http://vk.com/club61101621</v>
      </c>
      <c r="Q2524">
        <v>21119</v>
      </c>
      <c r="R2524" t="s">
        <v>124</v>
      </c>
      <c r="S2524" t="s">
        <v>125</v>
      </c>
      <c r="T2524" t="s">
        <v>161</v>
      </c>
      <c r="U2524" t="s">
        <v>162</v>
      </c>
      <c r="W2524">
        <v>0</v>
      </c>
      <c r="X2524">
        <v>0</v>
      </c>
      <c r="AM2524" t="s">
        <v>129</v>
      </c>
      <c r="AN2524" t="s">
        <v>130</v>
      </c>
      <c r="AP2524" t="s">
        <v>41</v>
      </c>
      <c r="AW2524" t="s">
        <v>48</v>
      </c>
      <c r="AZ2524" t="s">
        <v>51</v>
      </c>
      <c r="BA2524" t="s">
        <v>52</v>
      </c>
      <c r="BM2524" t="s">
        <v>64</v>
      </c>
    </row>
    <row r="2525" spans="1:69" x14ac:dyDescent="0.2">
      <c r="A2525" t="s">
        <v>8757</v>
      </c>
      <c r="B2525" t="s">
        <v>1976</v>
      </c>
      <c r="C2525" t="s">
        <v>8884</v>
      </c>
      <c r="D2525" t="s">
        <v>8868</v>
      </c>
      <c r="E2525" t="s">
        <v>8885</v>
      </c>
      <c r="F2525" t="s">
        <v>118</v>
      </c>
      <c r="G2525" t="str">
        <f>HYPERLINK("https://vk.com/wall-62986492_215808?reply=215821")</f>
        <v>https://vk.com/wall-62986492_215808?reply=215821</v>
      </c>
      <c r="H2525" t="s">
        <v>119</v>
      </c>
      <c r="I2525" t="s">
        <v>8886</v>
      </c>
      <c r="J2525" t="str">
        <f>HYPERLINK("http://vk.com/id52766635")</f>
        <v>http://vk.com/id52766635</v>
      </c>
      <c r="K2525">
        <v>578</v>
      </c>
      <c r="L2525" t="s">
        <v>121</v>
      </c>
      <c r="M2525">
        <v>37</v>
      </c>
      <c r="N2525" t="s">
        <v>122</v>
      </c>
      <c r="O2525" t="s">
        <v>8871</v>
      </c>
      <c r="P2525" t="str">
        <f>HYPERLINK("http://vk.com/club62986492")</f>
        <v>http://vk.com/club62986492</v>
      </c>
      <c r="Q2525">
        <v>10930</v>
      </c>
      <c r="R2525" t="s">
        <v>124</v>
      </c>
      <c r="S2525" t="s">
        <v>125</v>
      </c>
      <c r="T2525" t="s">
        <v>487</v>
      </c>
      <c r="U2525" t="s">
        <v>1826</v>
      </c>
      <c r="AM2525" t="s">
        <v>129</v>
      </c>
      <c r="AN2525" t="s">
        <v>130</v>
      </c>
      <c r="AP2525" t="s">
        <v>41</v>
      </c>
      <c r="AT2525" t="s">
        <v>45</v>
      </c>
      <c r="AZ2525" t="s">
        <v>51</v>
      </c>
      <c r="BA2525" t="s">
        <v>52</v>
      </c>
    </row>
    <row r="2526" spans="1:69" x14ac:dyDescent="0.2">
      <c r="A2526" t="s">
        <v>8757</v>
      </c>
      <c r="B2526" t="s">
        <v>2474</v>
      </c>
      <c r="C2526" t="s">
        <v>8808</v>
      </c>
      <c r="D2526" t="s">
        <v>3166</v>
      </c>
      <c r="E2526" t="s">
        <v>8887</v>
      </c>
      <c r="F2526" t="s">
        <v>118</v>
      </c>
      <c r="G2526" t="str">
        <f>HYPERLINK("https://vk.com/wall-27863223_291605?w=wall-27863223_291605_r291646")</f>
        <v>https://vk.com/wall-27863223_291605?w=wall-27863223_291605_r291646</v>
      </c>
      <c r="H2526" t="s">
        <v>119</v>
      </c>
      <c r="I2526" t="s">
        <v>8888</v>
      </c>
      <c r="J2526" t="str">
        <f>HYPERLINK("http://vk.com/id150490404")</f>
        <v>http://vk.com/id150490404</v>
      </c>
      <c r="K2526">
        <v>313</v>
      </c>
      <c r="L2526" t="s">
        <v>151</v>
      </c>
      <c r="N2526" t="s">
        <v>122</v>
      </c>
      <c r="O2526" t="s">
        <v>175</v>
      </c>
      <c r="P2526" t="str">
        <f>HYPERLINK("http://vk.com/club27863223")</f>
        <v>http://vk.com/club27863223</v>
      </c>
      <c r="Q2526">
        <v>134698</v>
      </c>
      <c r="R2526" t="s">
        <v>124</v>
      </c>
      <c r="S2526" t="s">
        <v>125</v>
      </c>
      <c r="T2526" t="s">
        <v>2225</v>
      </c>
      <c r="U2526" t="s">
        <v>6668</v>
      </c>
      <c r="W2526">
        <v>0</v>
      </c>
      <c r="X2526">
        <v>0</v>
      </c>
      <c r="AM2526" t="s">
        <v>129</v>
      </c>
      <c r="AN2526" t="s">
        <v>130</v>
      </c>
      <c r="AP2526" t="s">
        <v>41</v>
      </c>
      <c r="BA2526" t="s">
        <v>52</v>
      </c>
      <c r="BE2526" t="s">
        <v>56</v>
      </c>
      <c r="BL2526" t="s">
        <v>63</v>
      </c>
    </row>
    <row r="2527" spans="1:69" x14ac:dyDescent="0.2">
      <c r="A2527" t="s">
        <v>8757</v>
      </c>
      <c r="B2527" t="s">
        <v>4702</v>
      </c>
      <c r="C2527" t="s">
        <v>8808</v>
      </c>
      <c r="D2527" t="s">
        <v>3166</v>
      </c>
      <c r="E2527" t="s">
        <v>8889</v>
      </c>
      <c r="F2527" t="s">
        <v>118</v>
      </c>
      <c r="G2527" t="str">
        <f>HYPERLINK("https://vk.com/wall-27863223_291605?w=wall-27863223_291605_r291644")</f>
        <v>https://vk.com/wall-27863223_291605?w=wall-27863223_291605_r291644</v>
      </c>
      <c r="H2527" t="s">
        <v>119</v>
      </c>
      <c r="I2527" t="s">
        <v>8888</v>
      </c>
      <c r="J2527" t="str">
        <f>HYPERLINK("http://vk.com/id150490404")</f>
        <v>http://vk.com/id150490404</v>
      </c>
      <c r="K2527">
        <v>313</v>
      </c>
      <c r="L2527" t="s">
        <v>151</v>
      </c>
      <c r="N2527" t="s">
        <v>122</v>
      </c>
      <c r="O2527" t="s">
        <v>175</v>
      </c>
      <c r="P2527" t="str">
        <f>HYPERLINK("http://vk.com/club27863223")</f>
        <v>http://vk.com/club27863223</v>
      </c>
      <c r="Q2527">
        <v>134698</v>
      </c>
      <c r="R2527" t="s">
        <v>124</v>
      </c>
      <c r="S2527" t="s">
        <v>125</v>
      </c>
      <c r="T2527" t="s">
        <v>2225</v>
      </c>
      <c r="U2527" t="s">
        <v>6668</v>
      </c>
      <c r="W2527">
        <v>0</v>
      </c>
      <c r="X2527">
        <v>0</v>
      </c>
      <c r="AM2527" t="s">
        <v>129</v>
      </c>
      <c r="AN2527" t="s">
        <v>130</v>
      </c>
      <c r="AP2527" t="s">
        <v>41</v>
      </c>
      <c r="AZ2527" t="s">
        <v>51</v>
      </c>
      <c r="BA2527" t="s">
        <v>52</v>
      </c>
      <c r="BK2527" t="s">
        <v>62</v>
      </c>
      <c r="BL2527" t="s">
        <v>63</v>
      </c>
    </row>
    <row r="2528" spans="1:69" x14ac:dyDescent="0.2">
      <c r="A2528" t="s">
        <v>8757</v>
      </c>
      <c r="B2528" t="s">
        <v>3012</v>
      </c>
      <c r="C2528" t="s">
        <v>8808</v>
      </c>
      <c r="D2528" t="s">
        <v>3166</v>
      </c>
      <c r="E2528" t="s">
        <v>8890</v>
      </c>
      <c r="F2528" t="s">
        <v>118</v>
      </c>
      <c r="G2528" t="str">
        <f>HYPERLINK("https://vk.com/wall-27863223_291605?w=wall-27863223_291605_r291640")</f>
        <v>https://vk.com/wall-27863223_291605?w=wall-27863223_291605_r291640</v>
      </c>
      <c r="H2528" t="s">
        <v>119</v>
      </c>
      <c r="I2528" t="s">
        <v>8891</v>
      </c>
      <c r="J2528" t="str">
        <f>HYPERLINK("http://vk.com/id178518958")</f>
        <v>http://vk.com/id178518958</v>
      </c>
      <c r="K2528">
        <v>126</v>
      </c>
      <c r="L2528" t="s">
        <v>121</v>
      </c>
      <c r="M2528">
        <v>49</v>
      </c>
      <c r="N2528" t="s">
        <v>122</v>
      </c>
      <c r="O2528" t="s">
        <v>175</v>
      </c>
      <c r="P2528" t="str">
        <f>HYPERLINK("http://vk.com/club27863223")</f>
        <v>http://vk.com/club27863223</v>
      </c>
      <c r="Q2528">
        <v>134698</v>
      </c>
      <c r="R2528" t="s">
        <v>124</v>
      </c>
      <c r="S2528" t="s">
        <v>125</v>
      </c>
      <c r="T2528" t="s">
        <v>2166</v>
      </c>
      <c r="U2528" t="s">
        <v>8892</v>
      </c>
      <c r="W2528">
        <v>1</v>
      </c>
      <c r="X2528">
        <v>1</v>
      </c>
      <c r="AM2528" t="s">
        <v>129</v>
      </c>
      <c r="AN2528" t="s">
        <v>130</v>
      </c>
      <c r="AP2528" t="s">
        <v>41</v>
      </c>
      <c r="AU2528" t="s">
        <v>46</v>
      </c>
      <c r="AZ2528" t="s">
        <v>51</v>
      </c>
      <c r="BA2528" t="s">
        <v>52</v>
      </c>
    </row>
    <row r="2529" spans="1:65" x14ac:dyDescent="0.2">
      <c r="A2529" t="s">
        <v>8757</v>
      </c>
      <c r="B2529" t="s">
        <v>925</v>
      </c>
      <c r="C2529" t="s">
        <v>8893</v>
      </c>
      <c r="D2529" t="s">
        <v>8894</v>
      </c>
      <c r="E2529" t="s">
        <v>8895</v>
      </c>
      <c r="F2529" t="s">
        <v>118</v>
      </c>
      <c r="G2529" t="str">
        <f>HYPERLINK("https://www.youtube.com/watch?v=YNSkZOTlSZI&amp;lc=UgzatW_hgucq_rkQIQZ4AaABAg")</f>
        <v>https://www.youtube.com/watch?v=YNSkZOTlSZI&amp;lc=UgzatW_hgucq_rkQIQZ4AaABAg</v>
      </c>
      <c r="H2529" t="s">
        <v>119</v>
      </c>
      <c r="I2529" t="s">
        <v>8896</v>
      </c>
      <c r="J2529" t="str">
        <f>HYPERLINK("https://www.youtube.com/channel/UCSNeZ18su5HfOy6fQ1fAM-w")</f>
        <v>https://www.youtube.com/channel/UCSNeZ18su5HfOy6fQ1fAM-w</v>
      </c>
      <c r="K2529">
        <v>5</v>
      </c>
      <c r="L2529" t="s">
        <v>121</v>
      </c>
      <c r="N2529" t="s">
        <v>248</v>
      </c>
      <c r="O2529" t="s">
        <v>8897</v>
      </c>
      <c r="P2529" t="str">
        <f>HYPERLINK("https://www.youtube.com/channel/UCpUyogvJRirGUyiHZtQ-ljg")</f>
        <v>https://www.youtube.com/channel/UCpUyogvJRirGUyiHZtQ-ljg</v>
      </c>
      <c r="Q2529">
        <v>23600</v>
      </c>
      <c r="R2529" t="s">
        <v>124</v>
      </c>
      <c r="S2529" t="s">
        <v>125</v>
      </c>
      <c r="W2529">
        <v>0</v>
      </c>
      <c r="X2529">
        <v>0</v>
      </c>
      <c r="AE2529">
        <v>0</v>
      </c>
      <c r="AM2529" t="s">
        <v>129</v>
      </c>
      <c r="AN2529" t="s">
        <v>130</v>
      </c>
      <c r="AP2529" t="s">
        <v>41</v>
      </c>
      <c r="AT2529" t="s">
        <v>45</v>
      </c>
      <c r="AW2529" t="s">
        <v>48</v>
      </c>
      <c r="AY2529" t="s">
        <v>50</v>
      </c>
      <c r="AZ2529" t="s">
        <v>51</v>
      </c>
      <c r="BB2529" t="s">
        <v>53</v>
      </c>
    </row>
    <row r="2530" spans="1:65" x14ac:dyDescent="0.2">
      <c r="A2530" t="s">
        <v>8757</v>
      </c>
      <c r="B2530" t="s">
        <v>7068</v>
      </c>
      <c r="C2530" t="s">
        <v>8898</v>
      </c>
      <c r="D2530" t="s">
        <v>6224</v>
      </c>
      <c r="E2530" t="s">
        <v>8899</v>
      </c>
      <c r="F2530" t="s">
        <v>118</v>
      </c>
      <c r="G2530" t="str">
        <f>HYPERLINK("https://www.youtube.com/watch?v=cuBcZGF3Yzc&amp;lc=Ugz-PFMb6LsB4o9O1rp4AaABAg")</f>
        <v>https://www.youtube.com/watch?v=cuBcZGF3Yzc&amp;lc=Ugz-PFMb6LsB4o9O1rp4AaABAg</v>
      </c>
      <c r="H2530" t="s">
        <v>181</v>
      </c>
      <c r="I2530" t="s">
        <v>8900</v>
      </c>
      <c r="J2530" t="str">
        <f>HYPERLINK("https://www.youtube.com/channel/UCuPRMBA72YGE7nJsWOdG0ew")</f>
        <v>https://www.youtube.com/channel/UCuPRMBA72YGE7nJsWOdG0ew</v>
      </c>
      <c r="K2530">
        <v>7</v>
      </c>
      <c r="L2530" t="s">
        <v>121</v>
      </c>
      <c r="N2530" t="s">
        <v>248</v>
      </c>
      <c r="O2530" t="s">
        <v>6227</v>
      </c>
      <c r="P2530" t="str">
        <f>HYPERLINK("https://www.youtube.com/channel/UCRP4EhX1Op-jL7D87PB3qhQ")</f>
        <v>https://www.youtube.com/channel/UCRP4EhX1Op-jL7D87PB3qhQ</v>
      </c>
      <c r="Q2530">
        <v>2820000</v>
      </c>
      <c r="R2530" t="s">
        <v>124</v>
      </c>
      <c r="S2530" t="s">
        <v>125</v>
      </c>
      <c r="W2530">
        <v>0</v>
      </c>
      <c r="X2530">
        <v>0</v>
      </c>
      <c r="AE2530">
        <v>2</v>
      </c>
      <c r="AM2530" t="s">
        <v>129</v>
      </c>
      <c r="AN2530" t="s">
        <v>130</v>
      </c>
      <c r="AP2530" t="s">
        <v>41</v>
      </c>
      <c r="AW2530" t="s">
        <v>48</v>
      </c>
      <c r="AY2530" t="s">
        <v>50</v>
      </c>
      <c r="AZ2530" t="s">
        <v>51</v>
      </c>
      <c r="BB2530" t="s">
        <v>53</v>
      </c>
    </row>
    <row r="2531" spans="1:65" x14ac:dyDescent="0.2">
      <c r="A2531" t="s">
        <v>8757</v>
      </c>
      <c r="B2531" t="s">
        <v>3038</v>
      </c>
      <c r="C2531" t="s">
        <v>8808</v>
      </c>
      <c r="D2531" t="s">
        <v>8655</v>
      </c>
      <c r="E2531" t="s">
        <v>8901</v>
      </c>
      <c r="F2531" t="s">
        <v>118</v>
      </c>
      <c r="G2531" t="str">
        <f>HYPERLINK("https://vk.com/wall-61101621_254594?reply=254601")</f>
        <v>https://vk.com/wall-61101621_254594?reply=254601</v>
      </c>
      <c r="H2531" t="s">
        <v>119</v>
      </c>
      <c r="I2531" t="s">
        <v>8133</v>
      </c>
      <c r="J2531" t="str">
        <f>HYPERLINK("http://vk.com/id42616723")</f>
        <v>http://vk.com/id42616723</v>
      </c>
      <c r="K2531">
        <v>38</v>
      </c>
      <c r="L2531" t="s">
        <v>121</v>
      </c>
      <c r="M2531">
        <v>36</v>
      </c>
      <c r="N2531" t="s">
        <v>122</v>
      </c>
      <c r="O2531" t="s">
        <v>160</v>
      </c>
      <c r="P2531" t="str">
        <f>HYPERLINK("http://vk.com/club61101621")</f>
        <v>http://vk.com/club61101621</v>
      </c>
      <c r="Q2531">
        <v>21119</v>
      </c>
      <c r="R2531" t="s">
        <v>124</v>
      </c>
      <c r="S2531" t="s">
        <v>125</v>
      </c>
      <c r="T2531" t="s">
        <v>4130</v>
      </c>
      <c r="U2531" t="s">
        <v>8134</v>
      </c>
      <c r="W2531">
        <v>0</v>
      </c>
      <c r="X2531">
        <v>0</v>
      </c>
      <c r="AM2531" t="s">
        <v>129</v>
      </c>
      <c r="AN2531" t="s">
        <v>130</v>
      </c>
      <c r="AP2531" t="s">
        <v>41</v>
      </c>
      <c r="AW2531" t="s">
        <v>48</v>
      </c>
      <c r="AZ2531" t="s">
        <v>51</v>
      </c>
      <c r="BA2531" t="s">
        <v>52</v>
      </c>
      <c r="BM2531" t="s">
        <v>64</v>
      </c>
    </row>
    <row r="2532" spans="1:65" x14ac:dyDescent="0.2">
      <c r="A2532" t="s">
        <v>8757</v>
      </c>
      <c r="B2532" t="s">
        <v>3053</v>
      </c>
      <c r="C2532" t="s">
        <v>8902</v>
      </c>
      <c r="D2532" t="s">
        <v>8903</v>
      </c>
      <c r="E2532" t="s">
        <v>8904</v>
      </c>
      <c r="F2532" t="s">
        <v>118</v>
      </c>
      <c r="G2532" t="str">
        <f>HYPERLINK("https://vk.com/wall-22477747_428651?reply=428661")</f>
        <v>https://vk.com/wall-22477747_428651?reply=428661</v>
      </c>
      <c r="H2532" t="s">
        <v>119</v>
      </c>
      <c r="I2532" t="s">
        <v>8905</v>
      </c>
      <c r="J2532" t="str">
        <f>HYPERLINK("http://vk.com/id91314960")</f>
        <v>http://vk.com/id91314960</v>
      </c>
      <c r="K2532">
        <v>122</v>
      </c>
      <c r="L2532" t="s">
        <v>121</v>
      </c>
      <c r="N2532" t="s">
        <v>122</v>
      </c>
      <c r="O2532" t="s">
        <v>8906</v>
      </c>
      <c r="P2532" t="str">
        <f>HYPERLINK("http://vk.com/club22477747")</f>
        <v>http://vk.com/club22477747</v>
      </c>
      <c r="Q2532">
        <v>13564</v>
      </c>
      <c r="R2532" t="s">
        <v>124</v>
      </c>
      <c r="S2532" t="s">
        <v>125</v>
      </c>
      <c r="T2532" t="s">
        <v>137</v>
      </c>
      <c r="U2532" t="s">
        <v>137</v>
      </c>
      <c r="AM2532" t="s">
        <v>129</v>
      </c>
      <c r="AN2532" t="s">
        <v>130</v>
      </c>
      <c r="AP2532" t="s">
        <v>41</v>
      </c>
      <c r="AZ2532" t="s">
        <v>51</v>
      </c>
      <c r="BA2532" t="s">
        <v>52</v>
      </c>
      <c r="BM2532" t="s">
        <v>64</v>
      </c>
    </row>
    <row r="2533" spans="1:65" x14ac:dyDescent="0.2">
      <c r="A2533" t="s">
        <v>8757</v>
      </c>
      <c r="B2533" t="s">
        <v>8907</v>
      </c>
      <c r="C2533" t="s">
        <v>8908</v>
      </c>
      <c r="D2533" t="s">
        <v>8909</v>
      </c>
      <c r="E2533" t="s">
        <v>8910</v>
      </c>
      <c r="F2533" t="s">
        <v>118</v>
      </c>
      <c r="G2533" t="str">
        <f>HYPERLINK("https://vk.com/wall-1759467_57466?reply=57473")</f>
        <v>https://vk.com/wall-1759467_57466?reply=57473</v>
      </c>
      <c r="H2533" t="s">
        <v>119</v>
      </c>
      <c r="I2533" t="s">
        <v>8911</v>
      </c>
      <c r="J2533" t="str">
        <f>HYPERLINK("http://vk.com/id420797402")</f>
        <v>http://vk.com/id420797402</v>
      </c>
      <c r="K2533">
        <v>23</v>
      </c>
      <c r="L2533" t="s">
        <v>121</v>
      </c>
      <c r="M2533">
        <v>31</v>
      </c>
      <c r="N2533" t="s">
        <v>122</v>
      </c>
      <c r="O2533" t="s">
        <v>8912</v>
      </c>
      <c r="P2533" t="str">
        <f>HYPERLINK("http://vk.com/club1759467")</f>
        <v>http://vk.com/club1759467</v>
      </c>
      <c r="Q2533">
        <v>12350</v>
      </c>
      <c r="R2533" t="s">
        <v>124</v>
      </c>
      <c r="S2533" t="s">
        <v>125</v>
      </c>
      <c r="T2533" t="s">
        <v>161</v>
      </c>
      <c r="U2533" t="s">
        <v>6936</v>
      </c>
      <c r="AM2533" t="s">
        <v>129</v>
      </c>
      <c r="AN2533" t="s">
        <v>130</v>
      </c>
      <c r="AP2533" t="s">
        <v>41</v>
      </c>
      <c r="AU2533" t="s">
        <v>46</v>
      </c>
      <c r="AZ2533" t="s">
        <v>51</v>
      </c>
      <c r="BA2533" t="s">
        <v>52</v>
      </c>
    </row>
    <row r="2534" spans="1:65" x14ac:dyDescent="0.2">
      <c r="A2534" t="s">
        <v>8757</v>
      </c>
      <c r="B2534" t="s">
        <v>948</v>
      </c>
      <c r="C2534" t="s">
        <v>8808</v>
      </c>
      <c r="D2534" t="s">
        <v>8913</v>
      </c>
      <c r="E2534" t="s">
        <v>8914</v>
      </c>
      <c r="F2534" t="s">
        <v>118</v>
      </c>
      <c r="G2534" t="str">
        <f>HYPERLINK("https://vk.com/wall-22935147_368282?reply=368308")</f>
        <v>https://vk.com/wall-22935147_368282?reply=368308</v>
      </c>
      <c r="H2534" t="s">
        <v>119</v>
      </c>
      <c r="I2534" t="s">
        <v>8915</v>
      </c>
      <c r="J2534" t="str">
        <f>HYPERLINK("http://vk.com/id326265706")</f>
        <v>http://vk.com/id326265706</v>
      </c>
      <c r="K2534">
        <v>220</v>
      </c>
      <c r="L2534" t="s">
        <v>151</v>
      </c>
      <c r="N2534" t="s">
        <v>122</v>
      </c>
      <c r="O2534" t="s">
        <v>1093</v>
      </c>
      <c r="P2534" t="str">
        <f>HYPERLINK("http://vk.com/club22935147")</f>
        <v>http://vk.com/club22935147</v>
      </c>
      <c r="Q2534">
        <v>8943</v>
      </c>
      <c r="R2534" t="s">
        <v>124</v>
      </c>
      <c r="S2534" t="s">
        <v>125</v>
      </c>
      <c r="T2534" t="s">
        <v>169</v>
      </c>
      <c r="U2534" t="s">
        <v>169</v>
      </c>
      <c r="W2534">
        <v>1</v>
      </c>
      <c r="X2534">
        <v>1</v>
      </c>
      <c r="AJ2534" t="s">
        <v>129</v>
      </c>
      <c r="AK2534" t="s">
        <v>129</v>
      </c>
      <c r="AL2534" t="str">
        <f>HYPERLINK("https://sun9-38.userapi.com/impg/wgfFJ1Ti9618YfCXahQTS076a_mcB2MMs-NTjg/eB_HLbQOzmw.jpg?size=928x1600&amp;quality=96&amp;sign=ac91856db86d659d4161b60987a8c678&amp;c_uniq_tag=r-f8mOgxXku13fRY0x1U3fQdqAoSJeDJbSVXI3b9uvo&amp;type=album")</f>
        <v>https://sun9-38.userapi.com/impg/wgfFJ1Ti9618YfCXahQTS076a_mcB2MMs-NTjg/eB_HLbQOzmw.jpg?size=928x1600&amp;quality=96&amp;sign=ac91856db86d659d4161b60987a8c678&amp;c_uniq_tag=r-f8mOgxXku13fRY0x1U3fQdqAoSJeDJbSVXI3b9uvo&amp;type=album</v>
      </c>
      <c r="AM2534" t="s">
        <v>129</v>
      </c>
      <c r="AN2534" t="s">
        <v>130</v>
      </c>
      <c r="AP2534" t="s">
        <v>41</v>
      </c>
      <c r="AU2534" t="s">
        <v>46</v>
      </c>
      <c r="AW2534" t="s">
        <v>48</v>
      </c>
      <c r="AZ2534" t="s">
        <v>51</v>
      </c>
      <c r="BA2534" t="s">
        <v>52</v>
      </c>
    </row>
    <row r="2535" spans="1:65" x14ac:dyDescent="0.2">
      <c r="A2535" t="s">
        <v>8757</v>
      </c>
      <c r="B2535" t="s">
        <v>4283</v>
      </c>
      <c r="C2535" t="s">
        <v>8916</v>
      </c>
      <c r="D2535" t="s">
        <v>8917</v>
      </c>
      <c r="E2535" t="s">
        <v>8918</v>
      </c>
      <c r="F2535" t="s">
        <v>118</v>
      </c>
      <c r="G2535" t="str">
        <f>HYPERLINK("https://www.youtube.com/watch?v=LrBasYK2WTA&amp;lc=UgxjNvEXpe8FnzBdL3l4AaABAg")</f>
        <v>https://www.youtube.com/watch?v=LrBasYK2WTA&amp;lc=UgxjNvEXpe8FnzBdL3l4AaABAg</v>
      </c>
      <c r="H2535" t="s">
        <v>181</v>
      </c>
      <c r="I2535" t="s">
        <v>8919</v>
      </c>
      <c r="J2535" t="str">
        <f>HYPERLINK("https://www.youtube.com/channel/UCHZYvE4BaIpKMj1AWD50IaQ")</f>
        <v>https://www.youtube.com/channel/UCHZYvE4BaIpKMj1AWD50IaQ</v>
      </c>
      <c r="K2535">
        <v>0</v>
      </c>
      <c r="L2535" t="s">
        <v>151</v>
      </c>
      <c r="N2535" t="s">
        <v>248</v>
      </c>
      <c r="O2535" t="s">
        <v>8920</v>
      </c>
      <c r="P2535" t="str">
        <f>HYPERLINK("https://www.youtube.com/channel/UC1ubVsCr179qe2gmXkwkTqQ")</f>
        <v>https://www.youtube.com/channel/UC1ubVsCr179qe2gmXkwkTqQ</v>
      </c>
      <c r="Q2535">
        <v>35000</v>
      </c>
      <c r="R2535" t="s">
        <v>124</v>
      </c>
      <c r="W2535">
        <v>0</v>
      </c>
      <c r="X2535">
        <v>0</v>
      </c>
      <c r="AE2535">
        <v>0</v>
      </c>
      <c r="AM2535" t="s">
        <v>129</v>
      </c>
      <c r="AN2535" t="s">
        <v>130</v>
      </c>
      <c r="AP2535" t="s">
        <v>41</v>
      </c>
      <c r="AZ2535" t="s">
        <v>51</v>
      </c>
      <c r="BA2535" t="s">
        <v>52</v>
      </c>
      <c r="BL2535" t="s">
        <v>63</v>
      </c>
    </row>
    <row r="2536" spans="1:65" x14ac:dyDescent="0.2">
      <c r="A2536" t="s">
        <v>8757</v>
      </c>
      <c r="B2536" t="s">
        <v>4288</v>
      </c>
      <c r="C2536" t="s">
        <v>8808</v>
      </c>
      <c r="D2536" t="s">
        <v>8655</v>
      </c>
      <c r="E2536" t="s">
        <v>8921</v>
      </c>
      <c r="F2536" t="s">
        <v>118</v>
      </c>
      <c r="G2536" t="str">
        <f>HYPERLINK("https://vk.com/wall-61101621_254594?reply=254598")</f>
        <v>https://vk.com/wall-61101621_254594?reply=254598</v>
      </c>
      <c r="H2536" t="s">
        <v>119</v>
      </c>
      <c r="I2536" t="s">
        <v>733</v>
      </c>
      <c r="J2536" t="str">
        <f>HYPERLINK("http://vk.com/id618635793")</f>
        <v>http://vk.com/id618635793</v>
      </c>
      <c r="K2536">
        <v>18</v>
      </c>
      <c r="L2536" t="s">
        <v>121</v>
      </c>
      <c r="M2536">
        <v>53</v>
      </c>
      <c r="N2536" t="s">
        <v>122</v>
      </c>
      <c r="O2536" t="s">
        <v>160</v>
      </c>
      <c r="P2536" t="str">
        <f>HYPERLINK("http://vk.com/club61101621")</f>
        <v>http://vk.com/club61101621</v>
      </c>
      <c r="Q2536">
        <v>21119</v>
      </c>
      <c r="R2536" t="s">
        <v>124</v>
      </c>
      <c r="S2536" t="s">
        <v>125</v>
      </c>
      <c r="T2536" t="s">
        <v>212</v>
      </c>
      <c r="U2536" t="s">
        <v>734</v>
      </c>
      <c r="W2536">
        <v>0</v>
      </c>
      <c r="X2536">
        <v>0</v>
      </c>
      <c r="AM2536" t="s">
        <v>129</v>
      </c>
      <c r="AN2536" t="s">
        <v>130</v>
      </c>
      <c r="AP2536" t="s">
        <v>41</v>
      </c>
      <c r="AW2536" t="s">
        <v>48</v>
      </c>
      <c r="AZ2536" t="s">
        <v>51</v>
      </c>
      <c r="BA2536" t="s">
        <v>52</v>
      </c>
      <c r="BM2536" t="s">
        <v>64</v>
      </c>
    </row>
    <row r="2537" spans="1:65" x14ac:dyDescent="0.2">
      <c r="A2537" t="s">
        <v>8757</v>
      </c>
      <c r="B2537" t="s">
        <v>8922</v>
      </c>
      <c r="C2537" t="s">
        <v>8923</v>
      </c>
      <c r="D2537" t="s">
        <v>8924</v>
      </c>
      <c r="E2537" t="s">
        <v>8925</v>
      </c>
      <c r="F2537" t="s">
        <v>118</v>
      </c>
      <c r="G2537" t="str">
        <f>HYPERLINK("https://www.youtube.com/watch?v=iP9fZb11eTE&amp;lc=UgxWHNIbOhof72acfIp4AaABAg")</f>
        <v>https://www.youtube.com/watch?v=iP9fZb11eTE&amp;lc=UgxWHNIbOhof72acfIp4AaABAg</v>
      </c>
      <c r="H2537" t="s">
        <v>228</v>
      </c>
      <c r="I2537" t="s">
        <v>8926</v>
      </c>
      <c r="J2537" t="str">
        <f>HYPERLINK("https://www.youtube.com/channel/UCFjZgKomg7lT60iTsaoUtLg")</f>
        <v>https://www.youtube.com/channel/UCFjZgKomg7lT60iTsaoUtLg</v>
      </c>
      <c r="K2537">
        <v>20</v>
      </c>
      <c r="L2537" t="s">
        <v>121</v>
      </c>
      <c r="N2537" t="s">
        <v>248</v>
      </c>
      <c r="O2537" t="s">
        <v>8927</v>
      </c>
      <c r="P2537" t="str">
        <f>HYPERLINK("https://www.youtube.com/channel/UCzF2HUka8goWue5zlenXBjA")</f>
        <v>https://www.youtube.com/channel/UCzF2HUka8goWue5zlenXBjA</v>
      </c>
      <c r="Q2537">
        <v>822</v>
      </c>
      <c r="R2537" t="s">
        <v>124</v>
      </c>
      <c r="S2537" t="s">
        <v>125</v>
      </c>
      <c r="W2537">
        <v>0</v>
      </c>
      <c r="X2537">
        <v>0</v>
      </c>
      <c r="AE2537">
        <v>1</v>
      </c>
      <c r="AM2537" t="s">
        <v>129</v>
      </c>
      <c r="AN2537" t="s">
        <v>130</v>
      </c>
      <c r="AP2537" t="s">
        <v>41</v>
      </c>
      <c r="AW2537" t="s">
        <v>48</v>
      </c>
      <c r="AZ2537" t="s">
        <v>51</v>
      </c>
      <c r="BA2537" t="s">
        <v>52</v>
      </c>
      <c r="BM2537" t="s">
        <v>64</v>
      </c>
    </row>
    <row r="2538" spans="1:65" x14ac:dyDescent="0.2">
      <c r="A2538" t="s">
        <v>8757</v>
      </c>
      <c r="B2538" t="s">
        <v>436</v>
      </c>
      <c r="C2538" t="s">
        <v>8808</v>
      </c>
      <c r="D2538" t="s">
        <v>8655</v>
      </c>
      <c r="E2538" t="s">
        <v>8928</v>
      </c>
      <c r="F2538" t="s">
        <v>118</v>
      </c>
      <c r="G2538" t="str">
        <f>HYPERLINK("https://vk.com/wall-61101621_254594?reply=254596")</f>
        <v>https://vk.com/wall-61101621_254594?reply=254596</v>
      </c>
      <c r="H2538" t="s">
        <v>119</v>
      </c>
      <c r="I2538" t="s">
        <v>8670</v>
      </c>
      <c r="J2538" t="str">
        <f>HYPERLINK("http://vk.com/id213086164")</f>
        <v>http://vk.com/id213086164</v>
      </c>
      <c r="K2538">
        <v>116</v>
      </c>
      <c r="L2538" t="s">
        <v>121</v>
      </c>
      <c r="M2538">
        <v>45</v>
      </c>
      <c r="N2538" t="s">
        <v>122</v>
      </c>
      <c r="O2538" t="s">
        <v>160</v>
      </c>
      <c r="P2538" t="str">
        <f>HYPERLINK("http://vk.com/club61101621")</f>
        <v>http://vk.com/club61101621</v>
      </c>
      <c r="Q2538">
        <v>21119</v>
      </c>
      <c r="R2538" t="s">
        <v>124</v>
      </c>
      <c r="S2538" t="s">
        <v>125</v>
      </c>
      <c r="T2538" t="s">
        <v>1103</v>
      </c>
      <c r="U2538" t="s">
        <v>8671</v>
      </c>
      <c r="W2538">
        <v>7</v>
      </c>
      <c r="X2538">
        <v>7</v>
      </c>
      <c r="AM2538" t="s">
        <v>129</v>
      </c>
      <c r="AN2538" t="s">
        <v>130</v>
      </c>
      <c r="AP2538" t="s">
        <v>41</v>
      </c>
      <c r="AW2538" t="s">
        <v>48</v>
      </c>
      <c r="AZ2538" t="s">
        <v>51</v>
      </c>
      <c r="BA2538" t="s">
        <v>52</v>
      </c>
      <c r="BM2538" t="s">
        <v>64</v>
      </c>
    </row>
    <row r="2539" spans="1:65" x14ac:dyDescent="0.2">
      <c r="A2539" t="s">
        <v>8757</v>
      </c>
      <c r="B2539" t="s">
        <v>972</v>
      </c>
      <c r="C2539" t="s">
        <v>8929</v>
      </c>
      <c r="D2539" t="s">
        <v>8930</v>
      </c>
      <c r="E2539" t="s">
        <v>8931</v>
      </c>
      <c r="F2539" t="s">
        <v>118</v>
      </c>
      <c r="G2539" t="str">
        <f>HYPERLINK("https://www.youtube.com/watch?v=1WMXqgFxtbQ&amp;lc=UgwMoFyS7vNaUYQMSrR4AaABAg")</f>
        <v>https://www.youtube.com/watch?v=1WMXqgFxtbQ&amp;lc=UgwMoFyS7vNaUYQMSrR4AaABAg</v>
      </c>
      <c r="H2539" t="s">
        <v>119</v>
      </c>
      <c r="I2539" t="s">
        <v>8932</v>
      </c>
      <c r="J2539" t="str">
        <f>HYPERLINK("https://www.youtube.com/channel/UCtQtAcQEpdz6xKuy8czzSTA")</f>
        <v>https://www.youtube.com/channel/UCtQtAcQEpdz6xKuy8czzSTA</v>
      </c>
      <c r="K2539">
        <v>57</v>
      </c>
      <c r="L2539" t="s">
        <v>121</v>
      </c>
      <c r="N2539" t="s">
        <v>248</v>
      </c>
      <c r="O2539" t="s">
        <v>8933</v>
      </c>
      <c r="P2539" t="str">
        <f>HYPERLINK("https://www.youtube.com/channel/UC2DG6Bgc25dVVPE3Uu1R3YA")</f>
        <v>https://www.youtube.com/channel/UC2DG6Bgc25dVVPE3Uu1R3YA</v>
      </c>
      <c r="Q2539">
        <v>5</v>
      </c>
      <c r="R2539" t="s">
        <v>124</v>
      </c>
      <c r="W2539">
        <v>0</v>
      </c>
      <c r="X2539">
        <v>0</v>
      </c>
      <c r="AE2539">
        <v>0</v>
      </c>
      <c r="AM2539" t="s">
        <v>129</v>
      </c>
      <c r="AN2539" t="s">
        <v>130</v>
      </c>
      <c r="AP2539" t="s">
        <v>41</v>
      </c>
      <c r="AT2539" t="s">
        <v>45</v>
      </c>
      <c r="AZ2539" t="s">
        <v>51</v>
      </c>
      <c r="BA2539" t="s">
        <v>52</v>
      </c>
      <c r="BL2539" t="s">
        <v>63</v>
      </c>
    </row>
    <row r="2540" spans="1:65" x14ac:dyDescent="0.2">
      <c r="A2540" t="s">
        <v>8757</v>
      </c>
      <c r="B2540" t="s">
        <v>2562</v>
      </c>
      <c r="C2540" t="s">
        <v>8808</v>
      </c>
      <c r="D2540" t="s">
        <v>129</v>
      </c>
      <c r="E2540" t="s">
        <v>8655</v>
      </c>
      <c r="F2540" t="s">
        <v>180</v>
      </c>
      <c r="G2540" t="str">
        <f>HYPERLINK("https://vk.com/wall-61101621_254594")</f>
        <v>https://vk.com/wall-61101621_254594</v>
      </c>
      <c r="H2540" t="s">
        <v>119</v>
      </c>
      <c r="I2540" t="s">
        <v>8934</v>
      </c>
      <c r="J2540" t="str">
        <f>HYPERLINK("http://vk.com/id216805123")</f>
        <v>http://vk.com/id216805123</v>
      </c>
      <c r="K2540">
        <v>107</v>
      </c>
      <c r="L2540" t="s">
        <v>121</v>
      </c>
      <c r="N2540" t="s">
        <v>122</v>
      </c>
      <c r="O2540" t="s">
        <v>160</v>
      </c>
      <c r="P2540" t="str">
        <f>HYPERLINK("http://vk.com/club61101621")</f>
        <v>http://vk.com/club61101621</v>
      </c>
      <c r="Q2540">
        <v>21119</v>
      </c>
      <c r="R2540" t="s">
        <v>124</v>
      </c>
      <c r="S2540" t="s">
        <v>125</v>
      </c>
      <c r="T2540" t="s">
        <v>2166</v>
      </c>
      <c r="U2540" t="s">
        <v>2167</v>
      </c>
      <c r="W2540">
        <v>9</v>
      </c>
      <c r="X2540">
        <v>9</v>
      </c>
      <c r="AE2540">
        <v>13</v>
      </c>
      <c r="AF2540">
        <v>0</v>
      </c>
      <c r="AG2540">
        <v>1993</v>
      </c>
      <c r="AM2540" t="s">
        <v>129</v>
      </c>
      <c r="AN2540" t="s">
        <v>130</v>
      </c>
      <c r="AP2540" t="s">
        <v>41</v>
      </c>
      <c r="AW2540" t="s">
        <v>48</v>
      </c>
      <c r="BA2540" t="s">
        <v>52</v>
      </c>
      <c r="BE2540" t="s">
        <v>56</v>
      </c>
      <c r="BM2540" t="s">
        <v>64</v>
      </c>
    </row>
    <row r="2541" spans="1:65" x14ac:dyDescent="0.2">
      <c r="A2541" t="s">
        <v>8757</v>
      </c>
      <c r="B2541" t="s">
        <v>8533</v>
      </c>
      <c r="C2541" t="s">
        <v>8935</v>
      </c>
      <c r="D2541" t="s">
        <v>8936</v>
      </c>
      <c r="E2541" t="s">
        <v>8937</v>
      </c>
      <c r="F2541" t="s">
        <v>180</v>
      </c>
      <c r="G2541" t="str">
        <f>HYPERLINK("https://www.wildberries.ru/catalog/15365490/detail.aspx?targetUrl=ES#Comments")</f>
        <v>https://www.wildberries.ru/catalog/15365490/detail.aspx?targetUrl=ES#Comments</v>
      </c>
      <c r="H2541" t="s">
        <v>181</v>
      </c>
      <c r="I2541" t="s">
        <v>4389</v>
      </c>
      <c r="J2541" t="str">
        <f>HYPERLINK("https://www.wildberries.ru/profile/w7TDssOkw7PCu8K3wrjCtMK4wrfCuMK1")</f>
        <v>https://www.wildberries.ru/profile/w7TDssOkw7PCu8K3wrjCtMK4wrfCuMK1</v>
      </c>
      <c r="L2541" t="s">
        <v>151</v>
      </c>
      <c r="N2541" t="s">
        <v>534</v>
      </c>
      <c r="O2541" t="s">
        <v>8936</v>
      </c>
      <c r="P2541" t="str">
        <f>HYPERLINK("https://www.wildberries.ru/catalog/11478739/detail.aspx")</f>
        <v>https://www.wildberries.ru/catalog/11478739/detail.aspx</v>
      </c>
      <c r="R2541" t="s">
        <v>184</v>
      </c>
      <c r="S2541" t="s">
        <v>125</v>
      </c>
      <c r="W2541">
        <v>0</v>
      </c>
      <c r="X2541">
        <v>0</v>
      </c>
      <c r="AH2541">
        <v>5</v>
      </c>
      <c r="AM2541" t="s">
        <v>129</v>
      </c>
      <c r="AN2541" t="s">
        <v>130</v>
      </c>
      <c r="AP2541" t="s">
        <v>41</v>
      </c>
      <c r="AT2541" t="s">
        <v>45</v>
      </c>
      <c r="AZ2541" t="s">
        <v>51</v>
      </c>
      <c r="BA2541" t="s">
        <v>52</v>
      </c>
      <c r="BL2541" t="s">
        <v>63</v>
      </c>
    </row>
    <row r="2542" spans="1:65" x14ac:dyDescent="0.2">
      <c r="A2542" t="s">
        <v>8757</v>
      </c>
      <c r="B2542" t="s">
        <v>1552</v>
      </c>
      <c r="C2542" t="s">
        <v>8938</v>
      </c>
      <c r="D2542" t="s">
        <v>8939</v>
      </c>
      <c r="E2542" t="s">
        <v>8940</v>
      </c>
      <c r="F2542" t="s">
        <v>118</v>
      </c>
      <c r="G2542" t="str">
        <f>HYPERLINK("https://vk.com/wall-65170749_559847?reply=560032&amp;thread=559943")</f>
        <v>https://vk.com/wall-65170749_559847?reply=560032&amp;thread=559943</v>
      </c>
      <c r="H2542" t="s">
        <v>119</v>
      </c>
      <c r="I2542" t="s">
        <v>8941</v>
      </c>
      <c r="J2542" t="str">
        <f>HYPERLINK("http://vk.com/id406584")</f>
        <v>http://vk.com/id406584</v>
      </c>
      <c r="K2542">
        <v>317</v>
      </c>
      <c r="L2542" t="s">
        <v>151</v>
      </c>
      <c r="N2542" t="s">
        <v>122</v>
      </c>
      <c r="O2542" t="s">
        <v>8942</v>
      </c>
      <c r="P2542" t="str">
        <f>HYPERLINK("http://vk.com/club65170749")</f>
        <v>http://vk.com/club65170749</v>
      </c>
      <c r="Q2542">
        <v>24291</v>
      </c>
      <c r="R2542" t="s">
        <v>124</v>
      </c>
      <c r="S2542" t="s">
        <v>125</v>
      </c>
      <c r="T2542" t="s">
        <v>137</v>
      </c>
      <c r="U2542" t="s">
        <v>137</v>
      </c>
      <c r="AM2542" t="s">
        <v>129</v>
      </c>
      <c r="AN2542" t="s">
        <v>130</v>
      </c>
      <c r="AP2542" t="s">
        <v>41</v>
      </c>
      <c r="AU2542" t="s">
        <v>46</v>
      </c>
      <c r="AW2542" t="s">
        <v>48</v>
      </c>
      <c r="AZ2542" t="s">
        <v>51</v>
      </c>
      <c r="BA2542" t="s">
        <v>52</v>
      </c>
      <c r="BM2542" t="s">
        <v>64</v>
      </c>
    </row>
    <row r="2543" spans="1:65" x14ac:dyDescent="0.2">
      <c r="A2543" t="s">
        <v>8757</v>
      </c>
      <c r="B2543" t="s">
        <v>1581</v>
      </c>
      <c r="C2543" t="s">
        <v>8943</v>
      </c>
      <c r="D2543" t="s">
        <v>8944</v>
      </c>
      <c r="E2543" t="s">
        <v>8945</v>
      </c>
      <c r="F2543" t="s">
        <v>180</v>
      </c>
      <c r="G2543" t="str">
        <f>HYPERLINK("http://autosway.ru/novosti/22263-konor-makgregor-protiv-dastina-pore-video-boya-na-rent-tv-11-07-21.html")</f>
        <v>http://autosway.ru/novosti/22263-konor-makgregor-protiv-dastina-pore-video-boya-na-rent-tv-11-07-21.html</v>
      </c>
      <c r="H2543" t="s">
        <v>119</v>
      </c>
      <c r="N2543" t="s">
        <v>8946</v>
      </c>
      <c r="R2543" t="s">
        <v>785</v>
      </c>
      <c r="S2543" t="s">
        <v>125</v>
      </c>
      <c r="T2543" t="s">
        <v>264</v>
      </c>
      <c r="U2543" t="s">
        <v>8947</v>
      </c>
      <c r="AM2543" t="s">
        <v>129</v>
      </c>
      <c r="AN2543" t="s">
        <v>130</v>
      </c>
      <c r="AV2543" t="s">
        <v>47</v>
      </c>
    </row>
    <row r="2544" spans="1:65" x14ac:dyDescent="0.2">
      <c r="A2544" t="s">
        <v>8757</v>
      </c>
      <c r="B2544" t="s">
        <v>5232</v>
      </c>
      <c r="C2544" t="s">
        <v>8948</v>
      </c>
      <c r="D2544" t="s">
        <v>3166</v>
      </c>
      <c r="E2544" t="s">
        <v>8949</v>
      </c>
      <c r="F2544" t="s">
        <v>118</v>
      </c>
      <c r="G2544" t="str">
        <f>HYPERLINK("https://vk.com/wall-27863223_291605?reply=291634")</f>
        <v>https://vk.com/wall-27863223_291605?reply=291634</v>
      </c>
      <c r="H2544" t="s">
        <v>119</v>
      </c>
      <c r="I2544" t="s">
        <v>1831</v>
      </c>
      <c r="J2544" t="str">
        <f>HYPERLINK("http://vk.com/id71254667")</f>
        <v>http://vk.com/id71254667</v>
      </c>
      <c r="K2544">
        <v>263</v>
      </c>
      <c r="L2544" t="s">
        <v>121</v>
      </c>
      <c r="N2544" t="s">
        <v>122</v>
      </c>
      <c r="O2544" t="s">
        <v>175</v>
      </c>
      <c r="P2544" t="str">
        <f>HYPERLINK("http://vk.com/club27863223")</f>
        <v>http://vk.com/club27863223</v>
      </c>
      <c r="Q2544">
        <v>134698</v>
      </c>
      <c r="R2544" t="s">
        <v>124</v>
      </c>
      <c r="S2544" t="s">
        <v>125</v>
      </c>
      <c r="T2544" t="s">
        <v>1832</v>
      </c>
      <c r="U2544" t="s">
        <v>1833</v>
      </c>
      <c r="W2544">
        <v>0</v>
      </c>
      <c r="X2544">
        <v>0</v>
      </c>
      <c r="AM2544" t="s">
        <v>129</v>
      </c>
      <c r="AN2544" t="s">
        <v>130</v>
      </c>
      <c r="AP2544" t="s">
        <v>41</v>
      </c>
      <c r="AU2544" t="s">
        <v>46</v>
      </c>
      <c r="AZ2544" t="s">
        <v>51</v>
      </c>
      <c r="BA2544" t="s">
        <v>52</v>
      </c>
    </row>
    <row r="2545" spans="1:69" x14ac:dyDescent="0.2">
      <c r="A2545" t="s">
        <v>8757</v>
      </c>
      <c r="B2545" t="s">
        <v>1017</v>
      </c>
      <c r="C2545" t="s">
        <v>8950</v>
      </c>
      <c r="D2545" t="s">
        <v>8951</v>
      </c>
      <c r="E2545" t="s">
        <v>8952</v>
      </c>
      <c r="F2545" t="s">
        <v>118</v>
      </c>
      <c r="G2545" t="str">
        <f>HYPERLINK("https://vk.com/wall-13366_73190?reply=75039&amp;thread=73191")</f>
        <v>https://vk.com/wall-13366_73190?reply=75039&amp;thread=73191</v>
      </c>
      <c r="H2545" t="s">
        <v>119</v>
      </c>
      <c r="I2545" t="s">
        <v>8953</v>
      </c>
      <c r="J2545" t="str">
        <f>HYPERLINK("http://vk.com/id3960004")</f>
        <v>http://vk.com/id3960004</v>
      </c>
      <c r="K2545">
        <v>115</v>
      </c>
      <c r="L2545" t="s">
        <v>121</v>
      </c>
      <c r="M2545">
        <v>46</v>
      </c>
      <c r="N2545" t="s">
        <v>122</v>
      </c>
      <c r="O2545" t="s">
        <v>8954</v>
      </c>
      <c r="P2545" t="str">
        <f>HYPERLINK("http://vk.com/club13366")</f>
        <v>http://vk.com/club13366</v>
      </c>
      <c r="Q2545">
        <v>5532</v>
      </c>
      <c r="R2545" t="s">
        <v>124</v>
      </c>
      <c r="S2545" t="s">
        <v>125</v>
      </c>
      <c r="T2545" t="s">
        <v>137</v>
      </c>
      <c r="U2545" t="s">
        <v>137</v>
      </c>
      <c r="AM2545" t="s">
        <v>129</v>
      </c>
      <c r="AN2545" t="s">
        <v>130</v>
      </c>
      <c r="AP2545" t="s">
        <v>41</v>
      </c>
      <c r="AW2545" t="s">
        <v>48</v>
      </c>
      <c r="AZ2545" t="s">
        <v>51</v>
      </c>
      <c r="BA2545" t="s">
        <v>52</v>
      </c>
    </row>
    <row r="2546" spans="1:69" x14ac:dyDescent="0.2">
      <c r="A2546" t="s">
        <v>8757</v>
      </c>
      <c r="B2546" t="s">
        <v>4335</v>
      </c>
      <c r="C2546" t="s">
        <v>8948</v>
      </c>
      <c r="D2546" t="s">
        <v>3166</v>
      </c>
      <c r="E2546" t="s">
        <v>8955</v>
      </c>
      <c r="F2546" t="s">
        <v>118</v>
      </c>
      <c r="G2546" t="str">
        <f>HYPERLINK("https://vk.com/wall-27863223_291605?w=wall-27863223_291605_r291631")</f>
        <v>https://vk.com/wall-27863223_291605?w=wall-27863223_291605_r291631</v>
      </c>
      <c r="H2546" t="s">
        <v>119</v>
      </c>
      <c r="I2546" t="s">
        <v>8891</v>
      </c>
      <c r="J2546" t="str">
        <f>HYPERLINK("http://vk.com/id178518958")</f>
        <v>http://vk.com/id178518958</v>
      </c>
      <c r="K2546">
        <v>126</v>
      </c>
      <c r="L2546" t="s">
        <v>121</v>
      </c>
      <c r="M2546">
        <v>49</v>
      </c>
      <c r="N2546" t="s">
        <v>122</v>
      </c>
      <c r="O2546" t="s">
        <v>175</v>
      </c>
      <c r="P2546" t="str">
        <f>HYPERLINK("http://vk.com/club27863223")</f>
        <v>http://vk.com/club27863223</v>
      </c>
      <c r="Q2546">
        <v>134698</v>
      </c>
      <c r="R2546" t="s">
        <v>124</v>
      </c>
      <c r="S2546" t="s">
        <v>125</v>
      </c>
      <c r="T2546" t="s">
        <v>2166</v>
      </c>
      <c r="U2546" t="s">
        <v>8892</v>
      </c>
      <c r="W2546">
        <v>0</v>
      </c>
      <c r="X2546">
        <v>0</v>
      </c>
      <c r="AM2546" t="s">
        <v>129</v>
      </c>
      <c r="AN2546" t="s">
        <v>130</v>
      </c>
      <c r="AP2546" t="s">
        <v>41</v>
      </c>
      <c r="AU2546" t="s">
        <v>46</v>
      </c>
      <c r="AY2546" t="s">
        <v>50</v>
      </c>
      <c r="AZ2546" t="s">
        <v>51</v>
      </c>
      <c r="BA2546" t="s">
        <v>52</v>
      </c>
    </row>
    <row r="2547" spans="1:69" x14ac:dyDescent="0.2">
      <c r="A2547" t="s">
        <v>8757</v>
      </c>
      <c r="B2547" t="s">
        <v>3141</v>
      </c>
      <c r="C2547" t="s">
        <v>8956</v>
      </c>
      <c r="D2547" t="s">
        <v>3166</v>
      </c>
      <c r="E2547" t="s">
        <v>8957</v>
      </c>
      <c r="F2547" t="s">
        <v>118</v>
      </c>
      <c r="G2547" t="str">
        <f>HYPERLINK("https://vk.com/wall-27863223_291605?reply=291630&amp;thread=291606")</f>
        <v>https://vk.com/wall-27863223_291605?reply=291630&amp;thread=291606</v>
      </c>
      <c r="H2547" t="s">
        <v>119</v>
      </c>
      <c r="I2547" t="s">
        <v>8958</v>
      </c>
      <c r="J2547" t="str">
        <f>HYPERLINK("http://vk.com/id518871379")</f>
        <v>http://vk.com/id518871379</v>
      </c>
      <c r="K2547">
        <v>56</v>
      </c>
      <c r="L2547" t="s">
        <v>121</v>
      </c>
      <c r="M2547">
        <v>25</v>
      </c>
      <c r="N2547" t="s">
        <v>122</v>
      </c>
      <c r="O2547" t="s">
        <v>175</v>
      </c>
      <c r="P2547" t="str">
        <f>HYPERLINK("http://vk.com/club27863223")</f>
        <v>http://vk.com/club27863223</v>
      </c>
      <c r="Q2547">
        <v>134698</v>
      </c>
      <c r="R2547" t="s">
        <v>124</v>
      </c>
      <c r="S2547" t="s">
        <v>125</v>
      </c>
      <c r="T2547" t="s">
        <v>153</v>
      </c>
      <c r="U2547" t="s">
        <v>5023</v>
      </c>
      <c r="AM2547" t="s">
        <v>129</v>
      </c>
      <c r="AN2547" t="s">
        <v>130</v>
      </c>
      <c r="AP2547" t="s">
        <v>41</v>
      </c>
      <c r="AU2547" t="s">
        <v>46</v>
      </c>
      <c r="AY2547" t="s">
        <v>50</v>
      </c>
      <c r="BB2547" t="s">
        <v>53</v>
      </c>
      <c r="BE2547" t="s">
        <v>56</v>
      </c>
    </row>
    <row r="2548" spans="1:69" x14ac:dyDescent="0.2">
      <c r="A2548" t="s">
        <v>8757</v>
      </c>
      <c r="B2548" t="s">
        <v>2629</v>
      </c>
      <c r="C2548" t="s">
        <v>8959</v>
      </c>
      <c r="D2548" t="s">
        <v>8960</v>
      </c>
      <c r="E2548" t="s">
        <v>8961</v>
      </c>
      <c r="F2548" t="s">
        <v>118</v>
      </c>
      <c r="G2548" t="str">
        <f>HYPERLINK("https://vk.com/wall-63015925_162379?reply=162397")</f>
        <v>https://vk.com/wall-63015925_162379?reply=162397</v>
      </c>
      <c r="H2548" t="s">
        <v>119</v>
      </c>
      <c r="I2548" t="s">
        <v>8962</v>
      </c>
      <c r="J2548" t="str">
        <f>HYPERLINK("http://vk.com/id48278301")</f>
        <v>http://vk.com/id48278301</v>
      </c>
      <c r="K2548">
        <v>1704</v>
      </c>
      <c r="L2548" t="s">
        <v>121</v>
      </c>
      <c r="N2548" t="s">
        <v>122</v>
      </c>
      <c r="O2548" t="s">
        <v>8963</v>
      </c>
      <c r="P2548" t="str">
        <f>HYPERLINK("http://vk.com/club63015925")</f>
        <v>http://vk.com/club63015925</v>
      </c>
      <c r="Q2548">
        <v>8225</v>
      </c>
      <c r="R2548" t="s">
        <v>124</v>
      </c>
      <c r="S2548" t="s">
        <v>125</v>
      </c>
      <c r="T2548" t="s">
        <v>2225</v>
      </c>
      <c r="U2548" t="s">
        <v>8964</v>
      </c>
      <c r="AM2548" t="s">
        <v>129</v>
      </c>
      <c r="AN2548" t="s">
        <v>130</v>
      </c>
      <c r="AP2548" t="s">
        <v>41</v>
      </c>
      <c r="AT2548" t="s">
        <v>45</v>
      </c>
      <c r="AZ2548" t="s">
        <v>51</v>
      </c>
      <c r="BA2548" t="s">
        <v>52</v>
      </c>
      <c r="BM2548" t="s">
        <v>64</v>
      </c>
      <c r="BO2548" t="s">
        <v>66</v>
      </c>
    </row>
    <row r="2549" spans="1:69" x14ac:dyDescent="0.2">
      <c r="A2549" t="s">
        <v>8757</v>
      </c>
      <c r="B2549" t="s">
        <v>3853</v>
      </c>
      <c r="C2549" t="s">
        <v>8965</v>
      </c>
      <c r="D2549" t="s">
        <v>204</v>
      </c>
      <c r="E2549" t="s">
        <v>8966</v>
      </c>
      <c r="F2549" t="s">
        <v>180</v>
      </c>
      <c r="G2549" t="str">
        <f>HYPERLINK("https://play.google.com/store/apps/details?id=ru.iflex.android.a3colortv&amp;reviewId=gp:AOqpTOFuD6d_mo0xcsroS4WGvvuVf1vnfEBeivX77H1fdfSX1pYOiTLwLXgjhgaDUNmcPo9aClt0mtHzbv7H4g")</f>
        <v>https://play.google.com/store/apps/details?id=ru.iflex.android.a3colortv&amp;reviewId=gp:AOqpTOFuD6d_mo0xcsroS4WGvvuVf1vnfEBeivX77H1fdfSX1pYOiTLwLXgjhgaDUNmcPo9aClt0mtHzbv7H4g</v>
      </c>
      <c r="H2549" t="s">
        <v>181</v>
      </c>
      <c r="I2549" t="s">
        <v>8967</v>
      </c>
      <c r="J2549" t="str">
        <f>HYPERLINK("https://plus.google.com/106525312822702141649")</f>
        <v>https://plus.google.com/106525312822702141649</v>
      </c>
      <c r="L2549" t="s">
        <v>121</v>
      </c>
      <c r="N2549" t="s">
        <v>207</v>
      </c>
      <c r="O2549" t="s">
        <v>204</v>
      </c>
      <c r="P2549" t="str">
        <f>HYPERLINK("https://play.google.com/store/apps/details?id=ru.iflex.android.a3colortv&amp;hl=ru")</f>
        <v>https://play.google.com/store/apps/details?id=ru.iflex.android.a3colortv&amp;hl=ru</v>
      </c>
      <c r="R2549" t="s">
        <v>184</v>
      </c>
      <c r="S2549" t="s">
        <v>125</v>
      </c>
      <c r="W2549">
        <v>0</v>
      </c>
      <c r="X2549">
        <v>0</v>
      </c>
      <c r="AH2549">
        <v>5</v>
      </c>
      <c r="AM2549" t="s">
        <v>129</v>
      </c>
      <c r="AN2549" t="s">
        <v>130</v>
      </c>
      <c r="AP2549" t="s">
        <v>41</v>
      </c>
      <c r="AZ2549" t="s">
        <v>51</v>
      </c>
      <c r="BA2549" t="s">
        <v>52</v>
      </c>
      <c r="BP2549" t="s">
        <v>67</v>
      </c>
      <c r="BQ2549" t="s">
        <v>68</v>
      </c>
    </row>
    <row r="2550" spans="1:69" x14ac:dyDescent="0.2">
      <c r="A2550" t="s">
        <v>8757</v>
      </c>
      <c r="B2550" t="s">
        <v>6457</v>
      </c>
      <c r="C2550" t="s">
        <v>8968</v>
      </c>
      <c r="D2550" t="s">
        <v>8969</v>
      </c>
      <c r="E2550" t="s">
        <v>8970</v>
      </c>
      <c r="F2550" t="s">
        <v>118</v>
      </c>
      <c r="G2550" t="str">
        <f>HYPERLINK("https://vk.com/wall-1140700_450932?reply=451100&amp;thread=451030")</f>
        <v>https://vk.com/wall-1140700_450932?reply=451100&amp;thread=451030</v>
      </c>
      <c r="H2550" t="s">
        <v>119</v>
      </c>
      <c r="I2550" t="s">
        <v>8971</v>
      </c>
      <c r="J2550" t="str">
        <f>HYPERLINK("http://vk.com/id366295738")</f>
        <v>http://vk.com/id366295738</v>
      </c>
      <c r="K2550">
        <v>22</v>
      </c>
      <c r="L2550" t="s">
        <v>121</v>
      </c>
      <c r="N2550" t="s">
        <v>122</v>
      </c>
      <c r="O2550" t="s">
        <v>8972</v>
      </c>
      <c r="P2550" t="str">
        <f>HYPERLINK("http://vk.com/club1140700")</f>
        <v>http://vk.com/club1140700</v>
      </c>
      <c r="Q2550">
        <v>7488</v>
      </c>
      <c r="R2550" t="s">
        <v>124</v>
      </c>
      <c r="S2550" t="s">
        <v>125</v>
      </c>
      <c r="T2550" t="s">
        <v>1819</v>
      </c>
      <c r="U2550" t="s">
        <v>8973</v>
      </c>
      <c r="AM2550" t="s">
        <v>129</v>
      </c>
      <c r="AN2550" t="s">
        <v>130</v>
      </c>
      <c r="AP2550" t="s">
        <v>41</v>
      </c>
      <c r="AW2550" t="s">
        <v>48</v>
      </c>
      <c r="AZ2550" t="s">
        <v>51</v>
      </c>
      <c r="BA2550" t="s">
        <v>52</v>
      </c>
    </row>
    <row r="2551" spans="1:69" x14ac:dyDescent="0.2">
      <c r="A2551" t="s">
        <v>8757</v>
      </c>
      <c r="B2551" t="s">
        <v>2099</v>
      </c>
      <c r="C2551" t="s">
        <v>8974</v>
      </c>
      <c r="D2551" t="s">
        <v>3166</v>
      </c>
      <c r="E2551" t="s">
        <v>8975</v>
      </c>
      <c r="F2551" t="s">
        <v>118</v>
      </c>
      <c r="G2551" t="str">
        <f>HYPERLINK("https://vk.com/wall-27863223_291605?w=wall-27863223_291605_r291625")</f>
        <v>https://vk.com/wall-27863223_291605?w=wall-27863223_291605_r291625</v>
      </c>
      <c r="H2551" t="s">
        <v>119</v>
      </c>
      <c r="I2551" t="s">
        <v>8976</v>
      </c>
      <c r="J2551" t="str">
        <f>HYPERLINK("http://vk.com/id389157843")</f>
        <v>http://vk.com/id389157843</v>
      </c>
      <c r="K2551">
        <v>16</v>
      </c>
      <c r="L2551" t="s">
        <v>121</v>
      </c>
      <c r="N2551" t="s">
        <v>122</v>
      </c>
      <c r="O2551" t="s">
        <v>175</v>
      </c>
      <c r="P2551" t="str">
        <f>HYPERLINK("http://vk.com/club27863223")</f>
        <v>http://vk.com/club27863223</v>
      </c>
      <c r="Q2551">
        <v>134698</v>
      </c>
      <c r="R2551" t="s">
        <v>124</v>
      </c>
      <c r="S2551" t="s">
        <v>125</v>
      </c>
      <c r="W2551">
        <v>0</v>
      </c>
      <c r="X2551">
        <v>0</v>
      </c>
      <c r="AM2551" t="s">
        <v>129</v>
      </c>
      <c r="AN2551" t="s">
        <v>130</v>
      </c>
      <c r="AP2551" t="s">
        <v>41</v>
      </c>
      <c r="AU2551" t="s">
        <v>46</v>
      </c>
      <c r="AY2551" t="s">
        <v>50</v>
      </c>
      <c r="AZ2551" t="s">
        <v>51</v>
      </c>
      <c r="BA2551" t="s">
        <v>52</v>
      </c>
    </row>
    <row r="2552" spans="1:69" x14ac:dyDescent="0.2">
      <c r="A2552" t="s">
        <v>8757</v>
      </c>
      <c r="B2552" t="s">
        <v>6463</v>
      </c>
      <c r="C2552" t="s">
        <v>8977</v>
      </c>
      <c r="D2552" t="s">
        <v>8978</v>
      </c>
      <c r="E2552" t="s">
        <v>8979</v>
      </c>
      <c r="F2552" t="s">
        <v>180</v>
      </c>
      <c r="G2552" t="str">
        <f>HYPERLINK("https://www.wildberries.ru/catalog/13413832/detail.aspx?targetUrl=ES#Comments")</f>
        <v>https://www.wildberries.ru/catalog/13413832/detail.aspx?targetUrl=ES#Comments</v>
      </c>
      <c r="H2552" t="s">
        <v>181</v>
      </c>
      <c r="I2552" t="s">
        <v>3326</v>
      </c>
      <c r="J2552" t="str">
        <f>HYPERLINK("https://www.wildberries.ru/profile/w7TDssOkw7PCu8KzwrDCtcK3wrnCtsK4wrY=")</f>
        <v>https://www.wildberries.ru/profile/w7TDssOkw7PCu8KzwrDCtcK3wrnCtsK4wrY=</v>
      </c>
      <c r="L2552" t="s">
        <v>151</v>
      </c>
      <c r="N2552" t="s">
        <v>534</v>
      </c>
      <c r="O2552" t="s">
        <v>8980</v>
      </c>
      <c r="P2552" t="str">
        <f>HYPERLINK("https://www.wildberries.ru/catalog/10046068/detail.aspx")</f>
        <v>https://www.wildberries.ru/catalog/10046068/detail.aspx</v>
      </c>
      <c r="R2552" t="s">
        <v>184</v>
      </c>
      <c r="S2552" t="s">
        <v>125</v>
      </c>
      <c r="W2552">
        <v>0</v>
      </c>
      <c r="X2552">
        <v>0</v>
      </c>
      <c r="AH2552">
        <v>5</v>
      </c>
      <c r="AJ2552" t="s">
        <v>129</v>
      </c>
      <c r="AK2552" t="s">
        <v>129</v>
      </c>
      <c r="AL2552" t="str">
        <f>HYPERLINK("http://feedbackphotos.wbstatic.net/feedbacks/1004/10046068/ff57b4d4-0ce2-41b9-a457-52eac9dace2f_fs.jpg")</f>
        <v>http://feedbackphotos.wbstatic.net/feedbacks/1004/10046068/ff57b4d4-0ce2-41b9-a457-52eac9dace2f_fs.jpg</v>
      </c>
      <c r="AM2552" t="s">
        <v>129</v>
      </c>
      <c r="AN2552" t="s">
        <v>130</v>
      </c>
      <c r="AP2552" t="s">
        <v>41</v>
      </c>
      <c r="AZ2552" t="s">
        <v>51</v>
      </c>
      <c r="BA2552" t="s">
        <v>52</v>
      </c>
      <c r="BK2552" t="s">
        <v>62</v>
      </c>
      <c r="BL2552" t="s">
        <v>63</v>
      </c>
    </row>
    <row r="2553" spans="1:69" x14ac:dyDescent="0.2">
      <c r="A2553" t="s">
        <v>8757</v>
      </c>
      <c r="B2553" t="s">
        <v>535</v>
      </c>
      <c r="C2553" t="s">
        <v>8981</v>
      </c>
      <c r="D2553" t="s">
        <v>8714</v>
      </c>
      <c r="E2553" t="s">
        <v>8982</v>
      </c>
      <c r="F2553" t="s">
        <v>118</v>
      </c>
      <c r="G2553" t="str">
        <f>HYPERLINK("https://vk.com/wall-22935147_368292?reply=368307")</f>
        <v>https://vk.com/wall-22935147_368292?reply=368307</v>
      </c>
      <c r="H2553" t="s">
        <v>119</v>
      </c>
      <c r="I2553" t="s">
        <v>6267</v>
      </c>
      <c r="J2553" t="str">
        <f>HYPERLINK("http://vk.com/id124014423")</f>
        <v>http://vk.com/id124014423</v>
      </c>
      <c r="K2553">
        <v>731</v>
      </c>
      <c r="L2553" t="s">
        <v>121</v>
      </c>
      <c r="M2553">
        <v>29</v>
      </c>
      <c r="N2553" t="s">
        <v>122</v>
      </c>
      <c r="O2553" t="s">
        <v>1093</v>
      </c>
      <c r="P2553" t="str">
        <f>HYPERLINK("http://vk.com/club22935147")</f>
        <v>http://vk.com/club22935147</v>
      </c>
      <c r="Q2553">
        <v>8943</v>
      </c>
      <c r="R2553" t="s">
        <v>124</v>
      </c>
      <c r="S2553" t="s">
        <v>125</v>
      </c>
      <c r="T2553" t="s">
        <v>6268</v>
      </c>
      <c r="U2553" t="s">
        <v>6269</v>
      </c>
      <c r="W2553">
        <v>0</v>
      </c>
      <c r="X2553">
        <v>0</v>
      </c>
      <c r="AM2553" t="s">
        <v>129</v>
      </c>
      <c r="AN2553" t="s">
        <v>130</v>
      </c>
      <c r="AP2553" t="s">
        <v>41</v>
      </c>
      <c r="AZ2553" t="s">
        <v>51</v>
      </c>
      <c r="BA2553" t="s">
        <v>52</v>
      </c>
      <c r="BL2553" t="s">
        <v>63</v>
      </c>
    </row>
    <row r="2554" spans="1:69" x14ac:dyDescent="0.2">
      <c r="A2554" t="s">
        <v>8757</v>
      </c>
      <c r="B2554" t="s">
        <v>1641</v>
      </c>
      <c r="C2554" t="s">
        <v>8981</v>
      </c>
      <c r="D2554" t="s">
        <v>8392</v>
      </c>
      <c r="E2554" t="s">
        <v>8983</v>
      </c>
      <c r="F2554" t="s">
        <v>118</v>
      </c>
      <c r="G2554" t="str">
        <f>HYPERLINK("https://vk.com/wall-27863223_291580?w=wall-27863223_291580_r291621")</f>
        <v>https://vk.com/wall-27863223_291580?w=wall-27863223_291580_r291621</v>
      </c>
      <c r="H2554" t="s">
        <v>119</v>
      </c>
      <c r="I2554" t="s">
        <v>2527</v>
      </c>
      <c r="J2554" t="str">
        <f>HYPERLINK("http://vk.com/id382015409")</f>
        <v>http://vk.com/id382015409</v>
      </c>
      <c r="K2554">
        <v>862</v>
      </c>
      <c r="N2554" t="s">
        <v>122</v>
      </c>
      <c r="O2554" t="s">
        <v>175</v>
      </c>
      <c r="P2554" t="str">
        <f>HYPERLINK("http://vk.com/club27863223")</f>
        <v>http://vk.com/club27863223</v>
      </c>
      <c r="Q2554">
        <v>134698</v>
      </c>
      <c r="R2554" t="s">
        <v>124</v>
      </c>
      <c r="S2554" t="s">
        <v>125</v>
      </c>
      <c r="W2554">
        <v>0</v>
      </c>
      <c r="X2554">
        <v>0</v>
      </c>
      <c r="AM2554" t="s">
        <v>129</v>
      </c>
      <c r="AN2554" t="s">
        <v>130</v>
      </c>
      <c r="AP2554" t="s">
        <v>41</v>
      </c>
      <c r="AU2554" t="s">
        <v>46</v>
      </c>
      <c r="AZ2554" t="s">
        <v>51</v>
      </c>
      <c r="BA2554" t="s">
        <v>52</v>
      </c>
    </row>
    <row r="2555" spans="1:69" x14ac:dyDescent="0.2">
      <c r="A2555" t="s">
        <v>8757</v>
      </c>
      <c r="B2555" t="s">
        <v>1641</v>
      </c>
      <c r="C2555" t="s">
        <v>8981</v>
      </c>
      <c r="D2555" t="s">
        <v>8714</v>
      </c>
      <c r="E2555" t="s">
        <v>8984</v>
      </c>
      <c r="F2555" t="s">
        <v>118</v>
      </c>
      <c r="G2555" t="str">
        <f>HYPERLINK("https://vk.com/wall-22935147_368292?reply=368306")</f>
        <v>https://vk.com/wall-22935147_368292?reply=368306</v>
      </c>
      <c r="H2555" t="s">
        <v>119</v>
      </c>
      <c r="I2555" t="s">
        <v>4011</v>
      </c>
      <c r="J2555" t="str">
        <f>HYPERLINK("http://vk.com/id481293267")</f>
        <v>http://vk.com/id481293267</v>
      </c>
      <c r="K2555">
        <v>23</v>
      </c>
      <c r="L2555" t="s">
        <v>121</v>
      </c>
      <c r="M2555">
        <v>45</v>
      </c>
      <c r="N2555" t="s">
        <v>122</v>
      </c>
      <c r="O2555" t="s">
        <v>1093</v>
      </c>
      <c r="P2555" t="str">
        <f>HYPERLINK("http://vk.com/club22935147")</f>
        <v>http://vk.com/club22935147</v>
      </c>
      <c r="Q2555">
        <v>8943</v>
      </c>
      <c r="R2555" t="s">
        <v>124</v>
      </c>
      <c r="S2555" t="s">
        <v>1856</v>
      </c>
      <c r="T2555" t="s">
        <v>4012</v>
      </c>
      <c r="U2555" t="s">
        <v>4013</v>
      </c>
      <c r="W2555">
        <v>0</v>
      </c>
      <c r="X2555">
        <v>0</v>
      </c>
      <c r="AM2555" t="s">
        <v>129</v>
      </c>
      <c r="AN2555" t="s">
        <v>130</v>
      </c>
      <c r="AP2555" t="s">
        <v>41</v>
      </c>
      <c r="AZ2555" t="s">
        <v>51</v>
      </c>
      <c r="BA2555" t="s">
        <v>52</v>
      </c>
      <c r="BL2555" t="s">
        <v>63</v>
      </c>
    </row>
    <row r="2556" spans="1:69" x14ac:dyDescent="0.2">
      <c r="A2556" t="s">
        <v>8757</v>
      </c>
      <c r="B2556" t="s">
        <v>1646</v>
      </c>
      <c r="C2556" t="s">
        <v>8981</v>
      </c>
      <c r="D2556" t="s">
        <v>8714</v>
      </c>
      <c r="E2556" t="s">
        <v>8985</v>
      </c>
      <c r="F2556" t="s">
        <v>118</v>
      </c>
      <c r="G2556" t="str">
        <f>HYPERLINK("https://vk.com/wall-22935147_368292?reply=368305")</f>
        <v>https://vk.com/wall-22935147_368292?reply=368305</v>
      </c>
      <c r="H2556" t="s">
        <v>181</v>
      </c>
      <c r="I2556" t="s">
        <v>4011</v>
      </c>
      <c r="J2556" t="str">
        <f>HYPERLINK("http://vk.com/id481293267")</f>
        <v>http://vk.com/id481293267</v>
      </c>
      <c r="K2556">
        <v>23</v>
      </c>
      <c r="L2556" t="s">
        <v>121</v>
      </c>
      <c r="M2556">
        <v>45</v>
      </c>
      <c r="N2556" t="s">
        <v>122</v>
      </c>
      <c r="O2556" t="s">
        <v>1093</v>
      </c>
      <c r="P2556" t="str">
        <f>HYPERLINK("http://vk.com/club22935147")</f>
        <v>http://vk.com/club22935147</v>
      </c>
      <c r="Q2556">
        <v>8943</v>
      </c>
      <c r="R2556" t="s">
        <v>124</v>
      </c>
      <c r="S2556" t="s">
        <v>1856</v>
      </c>
      <c r="T2556" t="s">
        <v>4012</v>
      </c>
      <c r="U2556" t="s">
        <v>4013</v>
      </c>
      <c r="W2556">
        <v>0</v>
      </c>
      <c r="X2556">
        <v>0</v>
      </c>
      <c r="AM2556" t="s">
        <v>129</v>
      </c>
      <c r="AN2556" t="s">
        <v>130</v>
      </c>
      <c r="AP2556" t="s">
        <v>41</v>
      </c>
      <c r="AZ2556" t="s">
        <v>51</v>
      </c>
      <c r="BA2556" t="s">
        <v>52</v>
      </c>
      <c r="BL2556" t="s">
        <v>63</v>
      </c>
    </row>
    <row r="2557" spans="1:69" x14ac:dyDescent="0.2">
      <c r="A2557" t="s">
        <v>8757</v>
      </c>
      <c r="B2557" t="s">
        <v>3879</v>
      </c>
      <c r="C2557" t="s">
        <v>8981</v>
      </c>
      <c r="D2557" t="s">
        <v>8714</v>
      </c>
      <c r="E2557" t="s">
        <v>8986</v>
      </c>
      <c r="F2557" t="s">
        <v>118</v>
      </c>
      <c r="G2557" t="str">
        <f>HYPERLINK("https://vk.com/wall-22935147_368292?reply=368304")</f>
        <v>https://vk.com/wall-22935147_368292?reply=368304</v>
      </c>
      <c r="H2557" t="s">
        <v>181</v>
      </c>
      <c r="I2557" t="s">
        <v>4011</v>
      </c>
      <c r="J2557" t="str">
        <f>HYPERLINK("http://vk.com/id481293267")</f>
        <v>http://vk.com/id481293267</v>
      </c>
      <c r="K2557">
        <v>23</v>
      </c>
      <c r="L2557" t="s">
        <v>121</v>
      </c>
      <c r="M2557">
        <v>45</v>
      </c>
      <c r="N2557" t="s">
        <v>122</v>
      </c>
      <c r="O2557" t="s">
        <v>1093</v>
      </c>
      <c r="P2557" t="str">
        <f>HYPERLINK("http://vk.com/club22935147")</f>
        <v>http://vk.com/club22935147</v>
      </c>
      <c r="Q2557">
        <v>8943</v>
      </c>
      <c r="R2557" t="s">
        <v>124</v>
      </c>
      <c r="S2557" t="s">
        <v>1856</v>
      </c>
      <c r="T2557" t="s">
        <v>4012</v>
      </c>
      <c r="U2557" t="s">
        <v>4013</v>
      </c>
      <c r="W2557">
        <v>0</v>
      </c>
      <c r="X2557">
        <v>0</v>
      </c>
      <c r="AM2557" t="s">
        <v>129</v>
      </c>
      <c r="AN2557" t="s">
        <v>130</v>
      </c>
      <c r="AP2557" t="s">
        <v>41</v>
      </c>
      <c r="AZ2557" t="s">
        <v>51</v>
      </c>
      <c r="BA2557" t="s">
        <v>52</v>
      </c>
      <c r="BL2557" t="s">
        <v>63</v>
      </c>
    </row>
    <row r="2558" spans="1:69" x14ac:dyDescent="0.2">
      <c r="A2558" t="s">
        <v>8757</v>
      </c>
      <c r="B2558" t="s">
        <v>1651</v>
      </c>
      <c r="C2558" t="s">
        <v>8981</v>
      </c>
      <c r="D2558" t="s">
        <v>3166</v>
      </c>
      <c r="E2558" t="s">
        <v>8987</v>
      </c>
      <c r="F2558" t="s">
        <v>118</v>
      </c>
      <c r="G2558" t="str">
        <f>HYPERLINK("https://vk.com/wall-27863223_291605?reply=291620")</f>
        <v>https://vk.com/wall-27863223_291605?reply=291620</v>
      </c>
      <c r="H2558" t="s">
        <v>119</v>
      </c>
      <c r="I2558" t="s">
        <v>8988</v>
      </c>
      <c r="J2558" t="str">
        <f>HYPERLINK("http://vk.com/id535088108")</f>
        <v>http://vk.com/id535088108</v>
      </c>
      <c r="K2558">
        <v>115</v>
      </c>
      <c r="L2558" t="s">
        <v>121</v>
      </c>
      <c r="M2558">
        <v>39</v>
      </c>
      <c r="N2558" t="s">
        <v>122</v>
      </c>
      <c r="O2558" t="s">
        <v>175</v>
      </c>
      <c r="P2558" t="str">
        <f>HYPERLINK("http://vk.com/club27863223")</f>
        <v>http://vk.com/club27863223</v>
      </c>
      <c r="Q2558">
        <v>134698</v>
      </c>
      <c r="R2558" t="s">
        <v>124</v>
      </c>
      <c r="W2558">
        <v>0</v>
      </c>
      <c r="X2558">
        <v>0</v>
      </c>
      <c r="AM2558" t="s">
        <v>129</v>
      </c>
      <c r="AN2558" t="s">
        <v>130</v>
      </c>
      <c r="AP2558" t="s">
        <v>41</v>
      </c>
      <c r="AZ2558" t="s">
        <v>51</v>
      </c>
      <c r="BA2558" t="s">
        <v>52</v>
      </c>
      <c r="BL2558" t="s">
        <v>63</v>
      </c>
    </row>
    <row r="2559" spans="1:69" x14ac:dyDescent="0.2">
      <c r="A2559" t="s">
        <v>8757</v>
      </c>
      <c r="B2559" t="s">
        <v>2113</v>
      </c>
      <c r="C2559" t="s">
        <v>6984</v>
      </c>
      <c r="D2559" t="s">
        <v>3455</v>
      </c>
      <c r="E2559" t="s">
        <v>8989</v>
      </c>
      <c r="F2559" t="s">
        <v>180</v>
      </c>
      <c r="G2559" t="str">
        <f>HYPERLINK("https://www.ozon.ru/context/detail/id/256678501/#58648385")</f>
        <v>https://www.ozon.ru/context/detail/id/256678501/#58648385</v>
      </c>
      <c r="H2559" t="s">
        <v>181</v>
      </c>
      <c r="I2559" t="s">
        <v>8990</v>
      </c>
      <c r="J2559" t="str">
        <f>HYPERLINK("https://www.ozon.ru/context/client_opinion/ClientGuid/ede964bb-fb25-492b-8950-c22f8b253c15/")</f>
        <v>https://www.ozon.ru/context/client_opinion/ClientGuid/ede964bb-fb25-492b-8950-c22f8b253c15/</v>
      </c>
      <c r="L2559" t="s">
        <v>121</v>
      </c>
      <c r="N2559" t="s">
        <v>183</v>
      </c>
      <c r="O2559" t="s">
        <v>3455</v>
      </c>
      <c r="P2559" t="str">
        <f>HYPERLINK("https://www.ozon.ru/context/detail/id/256678501/")</f>
        <v>https://www.ozon.ru/context/detail/id/256678501/</v>
      </c>
      <c r="R2559" t="s">
        <v>184</v>
      </c>
      <c r="S2559" t="s">
        <v>125</v>
      </c>
      <c r="W2559">
        <v>0</v>
      </c>
      <c r="X2559">
        <v>0</v>
      </c>
      <c r="AH2559">
        <v>5</v>
      </c>
      <c r="AM2559" t="s">
        <v>129</v>
      </c>
      <c r="AN2559" t="s">
        <v>130</v>
      </c>
      <c r="AP2559" t="s">
        <v>41</v>
      </c>
      <c r="AT2559" t="s">
        <v>45</v>
      </c>
      <c r="AZ2559" t="s">
        <v>51</v>
      </c>
      <c r="BA2559" t="s">
        <v>52</v>
      </c>
    </row>
    <row r="2560" spans="1:69" x14ac:dyDescent="0.2">
      <c r="A2560" t="s">
        <v>8757</v>
      </c>
      <c r="B2560" t="s">
        <v>1668</v>
      </c>
      <c r="C2560" t="s">
        <v>8991</v>
      </c>
      <c r="D2560" t="s">
        <v>8992</v>
      </c>
      <c r="E2560" t="s">
        <v>8993</v>
      </c>
      <c r="F2560" t="s">
        <v>118</v>
      </c>
      <c r="G2560" t="str">
        <f>HYPERLINK("https://vk.com/wall-198181079_109590?reply=109609")</f>
        <v>https://vk.com/wall-198181079_109590?reply=109609</v>
      </c>
      <c r="H2560" t="s">
        <v>119</v>
      </c>
      <c r="I2560" t="s">
        <v>8994</v>
      </c>
      <c r="J2560" t="str">
        <f>HYPERLINK("http://vk.com/id93024229")</f>
        <v>http://vk.com/id93024229</v>
      </c>
      <c r="K2560">
        <v>108</v>
      </c>
      <c r="L2560" t="s">
        <v>121</v>
      </c>
      <c r="N2560" t="s">
        <v>122</v>
      </c>
      <c r="O2560" t="s">
        <v>8995</v>
      </c>
      <c r="P2560" t="str">
        <f>HYPERLINK("http://vk.com/club198181079")</f>
        <v>http://vk.com/club198181079</v>
      </c>
      <c r="Q2560">
        <v>7527</v>
      </c>
      <c r="R2560" t="s">
        <v>124</v>
      </c>
      <c r="S2560" t="s">
        <v>125</v>
      </c>
      <c r="T2560" t="s">
        <v>759</v>
      </c>
      <c r="U2560" t="s">
        <v>2080</v>
      </c>
      <c r="AM2560" t="s">
        <v>129</v>
      </c>
      <c r="AN2560" t="s">
        <v>130</v>
      </c>
      <c r="AP2560" t="s">
        <v>41</v>
      </c>
      <c r="AU2560" t="s">
        <v>46</v>
      </c>
      <c r="AZ2560" t="s">
        <v>51</v>
      </c>
      <c r="BA2560" t="s">
        <v>52</v>
      </c>
    </row>
    <row r="2561" spans="1:67" x14ac:dyDescent="0.2">
      <c r="A2561" t="s">
        <v>8757</v>
      </c>
      <c r="B2561" t="s">
        <v>6478</v>
      </c>
      <c r="C2561" t="s">
        <v>8996</v>
      </c>
      <c r="D2561" t="s">
        <v>1590</v>
      </c>
      <c r="E2561" t="s">
        <v>8997</v>
      </c>
      <c r="F2561" t="s">
        <v>118</v>
      </c>
      <c r="G2561" t="str">
        <f>HYPERLINK("https://vk.com/wall-27863223_291304?w=wall-27863223_291304_r291618")</f>
        <v>https://vk.com/wall-27863223_291304?w=wall-27863223_291304_r291618</v>
      </c>
      <c r="H2561" t="s">
        <v>119</v>
      </c>
      <c r="I2561" t="s">
        <v>8998</v>
      </c>
      <c r="J2561" t="str">
        <f>HYPERLINK("http://vk.com/id432625963")</f>
        <v>http://vk.com/id432625963</v>
      </c>
      <c r="K2561">
        <v>97</v>
      </c>
      <c r="L2561" t="s">
        <v>151</v>
      </c>
      <c r="N2561" t="s">
        <v>122</v>
      </c>
      <c r="O2561" t="s">
        <v>175</v>
      </c>
      <c r="P2561" t="str">
        <f>HYPERLINK("http://vk.com/club27863223")</f>
        <v>http://vk.com/club27863223</v>
      </c>
      <c r="Q2561">
        <v>134698</v>
      </c>
      <c r="R2561" t="s">
        <v>124</v>
      </c>
      <c r="W2561">
        <v>0</v>
      </c>
      <c r="X2561">
        <v>0</v>
      </c>
      <c r="AM2561" t="s">
        <v>129</v>
      </c>
      <c r="AN2561" t="s">
        <v>130</v>
      </c>
      <c r="AP2561" t="s">
        <v>41</v>
      </c>
      <c r="AU2561" t="s">
        <v>46</v>
      </c>
      <c r="AZ2561" t="s">
        <v>51</v>
      </c>
      <c r="BA2561" t="s">
        <v>52</v>
      </c>
    </row>
    <row r="2562" spans="1:67" x14ac:dyDescent="0.2">
      <c r="A2562" t="s">
        <v>8757</v>
      </c>
      <c r="B2562" t="s">
        <v>2673</v>
      </c>
      <c r="C2562" t="s">
        <v>8999</v>
      </c>
      <c r="D2562" t="s">
        <v>9000</v>
      </c>
      <c r="E2562" t="s">
        <v>9001</v>
      </c>
      <c r="F2562" t="s">
        <v>118</v>
      </c>
      <c r="G2562" t="str">
        <f>HYPERLINK("https://vk.com/wall-101829805_19763?reply=19771&amp;thread=19768")</f>
        <v>https://vk.com/wall-101829805_19763?reply=19771&amp;thread=19768</v>
      </c>
      <c r="H2562" t="s">
        <v>119</v>
      </c>
      <c r="I2562" t="s">
        <v>9002</v>
      </c>
      <c r="J2562" t="str">
        <f>HYPERLINK("http://vk.com/id274498065")</f>
        <v>http://vk.com/id274498065</v>
      </c>
      <c r="K2562">
        <v>6</v>
      </c>
      <c r="L2562" t="s">
        <v>121</v>
      </c>
      <c r="N2562" t="s">
        <v>122</v>
      </c>
      <c r="O2562" t="s">
        <v>9003</v>
      </c>
      <c r="P2562" t="str">
        <f>HYPERLINK("http://vk.com/club101829805")</f>
        <v>http://vk.com/club101829805</v>
      </c>
      <c r="Q2562">
        <v>12621</v>
      </c>
      <c r="R2562" t="s">
        <v>124</v>
      </c>
      <c r="S2562" t="s">
        <v>125</v>
      </c>
      <c r="T2562" t="s">
        <v>1027</v>
      </c>
      <c r="U2562" t="s">
        <v>1028</v>
      </c>
      <c r="AM2562" t="s">
        <v>129</v>
      </c>
      <c r="AN2562" t="s">
        <v>130</v>
      </c>
      <c r="AP2562" t="s">
        <v>41</v>
      </c>
      <c r="AU2562" t="s">
        <v>46</v>
      </c>
      <c r="AY2562" t="s">
        <v>50</v>
      </c>
      <c r="AZ2562" t="s">
        <v>51</v>
      </c>
      <c r="BA2562" t="s">
        <v>52</v>
      </c>
    </row>
    <row r="2563" spans="1:67" x14ac:dyDescent="0.2">
      <c r="A2563" t="s">
        <v>8757</v>
      </c>
      <c r="B2563" t="s">
        <v>1678</v>
      </c>
      <c r="C2563" t="s">
        <v>9004</v>
      </c>
      <c r="D2563" t="s">
        <v>9000</v>
      </c>
      <c r="E2563" t="s">
        <v>9005</v>
      </c>
      <c r="F2563" t="s">
        <v>118</v>
      </c>
      <c r="G2563" t="str">
        <f>HYPERLINK("https://vk.com/wall-101829805_19763?reply=19769&amp;thread=19768")</f>
        <v>https://vk.com/wall-101829805_19763?reply=19769&amp;thread=19768</v>
      </c>
      <c r="H2563" t="s">
        <v>119</v>
      </c>
      <c r="I2563" t="s">
        <v>9002</v>
      </c>
      <c r="J2563" t="str">
        <f>HYPERLINK("http://vk.com/id274498065")</f>
        <v>http://vk.com/id274498065</v>
      </c>
      <c r="K2563">
        <v>6</v>
      </c>
      <c r="L2563" t="s">
        <v>121</v>
      </c>
      <c r="N2563" t="s">
        <v>122</v>
      </c>
      <c r="O2563" t="s">
        <v>9003</v>
      </c>
      <c r="P2563" t="str">
        <f>HYPERLINK("http://vk.com/club101829805")</f>
        <v>http://vk.com/club101829805</v>
      </c>
      <c r="Q2563">
        <v>12621</v>
      </c>
      <c r="R2563" t="s">
        <v>124</v>
      </c>
      <c r="S2563" t="s">
        <v>125</v>
      </c>
      <c r="T2563" t="s">
        <v>1027</v>
      </c>
      <c r="U2563" t="s">
        <v>1028</v>
      </c>
      <c r="AM2563" t="s">
        <v>129</v>
      </c>
      <c r="AN2563" t="s">
        <v>130</v>
      </c>
      <c r="AP2563" t="s">
        <v>41</v>
      </c>
      <c r="AZ2563" t="s">
        <v>51</v>
      </c>
      <c r="BA2563" t="s">
        <v>52</v>
      </c>
      <c r="BO2563" t="s">
        <v>66</v>
      </c>
    </row>
    <row r="2564" spans="1:67" x14ac:dyDescent="0.2">
      <c r="A2564" t="s">
        <v>8757</v>
      </c>
      <c r="B2564" t="s">
        <v>572</v>
      </c>
      <c r="C2564" t="s">
        <v>9006</v>
      </c>
      <c r="D2564" t="s">
        <v>3166</v>
      </c>
      <c r="E2564" t="s">
        <v>9007</v>
      </c>
      <c r="F2564" t="s">
        <v>118</v>
      </c>
      <c r="G2564" t="str">
        <f>HYPERLINK("https://vk.com/wall-27863223_291605?reply=291616&amp;thread=291606")</f>
        <v>https://vk.com/wall-27863223_291605?reply=291616&amp;thread=291606</v>
      </c>
      <c r="H2564" t="s">
        <v>228</v>
      </c>
      <c r="I2564" t="s">
        <v>9008</v>
      </c>
      <c r="J2564" t="str">
        <f>HYPERLINK("http://vk.com/id8318853")</f>
        <v>http://vk.com/id8318853</v>
      </c>
      <c r="K2564">
        <v>1580</v>
      </c>
      <c r="L2564" t="s">
        <v>121</v>
      </c>
      <c r="N2564" t="s">
        <v>122</v>
      </c>
      <c r="O2564" t="s">
        <v>175</v>
      </c>
      <c r="P2564" t="str">
        <f>HYPERLINK("http://vk.com/club27863223")</f>
        <v>http://vk.com/club27863223</v>
      </c>
      <c r="Q2564">
        <v>134698</v>
      </c>
      <c r="R2564" t="s">
        <v>124</v>
      </c>
      <c r="S2564" t="s">
        <v>125</v>
      </c>
      <c r="T2564" t="s">
        <v>759</v>
      </c>
      <c r="U2564" t="s">
        <v>1489</v>
      </c>
      <c r="AM2564" t="s">
        <v>129</v>
      </c>
      <c r="AN2564" t="s">
        <v>130</v>
      </c>
      <c r="AP2564" t="s">
        <v>41</v>
      </c>
      <c r="AU2564" t="s">
        <v>46</v>
      </c>
      <c r="AY2564" t="s">
        <v>50</v>
      </c>
      <c r="AZ2564" t="s">
        <v>51</v>
      </c>
      <c r="BA2564" t="s">
        <v>52</v>
      </c>
    </row>
    <row r="2565" spans="1:67" x14ac:dyDescent="0.2">
      <c r="A2565" t="s">
        <v>8757</v>
      </c>
      <c r="B2565" t="s">
        <v>572</v>
      </c>
      <c r="C2565" t="s">
        <v>9009</v>
      </c>
      <c r="D2565" t="s">
        <v>8913</v>
      </c>
      <c r="E2565" t="s">
        <v>9010</v>
      </c>
      <c r="F2565" t="s">
        <v>118</v>
      </c>
      <c r="G2565" t="str">
        <f>HYPERLINK("https://vk.com/wall-22935147_368282?reply=368303")</f>
        <v>https://vk.com/wall-22935147_368282?reply=368303</v>
      </c>
      <c r="H2565" t="s">
        <v>119</v>
      </c>
      <c r="I2565" t="s">
        <v>4934</v>
      </c>
      <c r="J2565" t="str">
        <f>HYPERLINK("http://vk.com/id662268001")</f>
        <v>http://vk.com/id662268001</v>
      </c>
      <c r="K2565">
        <v>0</v>
      </c>
      <c r="L2565" t="s">
        <v>121</v>
      </c>
      <c r="M2565">
        <v>38</v>
      </c>
      <c r="N2565" t="s">
        <v>122</v>
      </c>
      <c r="O2565" t="s">
        <v>1093</v>
      </c>
      <c r="P2565" t="str">
        <f>HYPERLINK("http://vk.com/club22935147")</f>
        <v>http://vk.com/club22935147</v>
      </c>
      <c r="Q2565">
        <v>8943</v>
      </c>
      <c r="R2565" t="s">
        <v>124</v>
      </c>
      <c r="S2565" t="s">
        <v>125</v>
      </c>
      <c r="T2565" t="s">
        <v>169</v>
      </c>
      <c r="U2565" t="s">
        <v>169</v>
      </c>
      <c r="W2565">
        <v>0</v>
      </c>
      <c r="X2565">
        <v>0</v>
      </c>
      <c r="AM2565" t="s">
        <v>129</v>
      </c>
      <c r="AN2565" t="s">
        <v>130</v>
      </c>
      <c r="AP2565" t="s">
        <v>41</v>
      </c>
      <c r="AZ2565" t="s">
        <v>51</v>
      </c>
      <c r="BA2565" t="s">
        <v>52</v>
      </c>
      <c r="BL2565" t="s">
        <v>63</v>
      </c>
      <c r="BO2565" t="s">
        <v>66</v>
      </c>
    </row>
    <row r="2566" spans="1:67" x14ac:dyDescent="0.2">
      <c r="A2566" t="s">
        <v>8757</v>
      </c>
      <c r="B2566" t="s">
        <v>577</v>
      </c>
      <c r="C2566" t="s">
        <v>9009</v>
      </c>
      <c r="D2566" t="s">
        <v>3166</v>
      </c>
      <c r="E2566" t="s">
        <v>9011</v>
      </c>
      <c r="F2566" t="s">
        <v>118</v>
      </c>
      <c r="G2566" t="str">
        <f>HYPERLINK("https://vk.com/wall-27863223_291605?reply=291613")</f>
        <v>https://vk.com/wall-27863223_291605?reply=291613</v>
      </c>
      <c r="H2566" t="s">
        <v>119</v>
      </c>
      <c r="I2566" t="s">
        <v>8826</v>
      </c>
      <c r="J2566" t="str">
        <f>HYPERLINK("http://vk.com/id17973557")</f>
        <v>http://vk.com/id17973557</v>
      </c>
      <c r="K2566">
        <v>118</v>
      </c>
      <c r="L2566" t="s">
        <v>121</v>
      </c>
      <c r="M2566">
        <v>48</v>
      </c>
      <c r="N2566" t="s">
        <v>122</v>
      </c>
      <c r="O2566" t="s">
        <v>175</v>
      </c>
      <c r="P2566" t="str">
        <f>HYPERLINK("http://vk.com/club27863223")</f>
        <v>http://vk.com/club27863223</v>
      </c>
      <c r="Q2566">
        <v>134698</v>
      </c>
      <c r="R2566" t="s">
        <v>124</v>
      </c>
      <c r="S2566" t="s">
        <v>125</v>
      </c>
      <c r="T2566" t="s">
        <v>137</v>
      </c>
      <c r="U2566" t="s">
        <v>137</v>
      </c>
      <c r="W2566">
        <v>0</v>
      </c>
      <c r="X2566">
        <v>0</v>
      </c>
      <c r="AM2566" t="s">
        <v>129</v>
      </c>
      <c r="AN2566" t="s">
        <v>130</v>
      </c>
      <c r="AP2566" t="s">
        <v>41</v>
      </c>
      <c r="AT2566" t="s">
        <v>45</v>
      </c>
      <c r="AZ2566" t="s">
        <v>51</v>
      </c>
      <c r="BA2566" t="s">
        <v>52</v>
      </c>
      <c r="BL2566" t="s">
        <v>63</v>
      </c>
    </row>
    <row r="2567" spans="1:67" x14ac:dyDescent="0.2">
      <c r="A2567" t="s">
        <v>8757</v>
      </c>
      <c r="B2567" t="s">
        <v>597</v>
      </c>
      <c r="C2567" t="s">
        <v>9012</v>
      </c>
      <c r="D2567" t="s">
        <v>3166</v>
      </c>
      <c r="E2567" t="s">
        <v>9013</v>
      </c>
      <c r="F2567" t="s">
        <v>118</v>
      </c>
      <c r="G2567" t="str">
        <f>HYPERLINK("https://vk.com/wall-27863223_291605?w=wall-27863223_291605_r291609")</f>
        <v>https://vk.com/wall-27863223_291605?w=wall-27863223_291605_r291609</v>
      </c>
      <c r="H2567" t="s">
        <v>119</v>
      </c>
      <c r="I2567" t="s">
        <v>9008</v>
      </c>
      <c r="J2567" t="str">
        <f>HYPERLINK("http://vk.com/id8318853")</f>
        <v>http://vk.com/id8318853</v>
      </c>
      <c r="K2567">
        <v>1580</v>
      </c>
      <c r="L2567" t="s">
        <v>121</v>
      </c>
      <c r="N2567" t="s">
        <v>122</v>
      </c>
      <c r="O2567" t="s">
        <v>175</v>
      </c>
      <c r="P2567" t="str">
        <f>HYPERLINK("http://vk.com/club27863223")</f>
        <v>http://vk.com/club27863223</v>
      </c>
      <c r="Q2567">
        <v>134698</v>
      </c>
      <c r="R2567" t="s">
        <v>124</v>
      </c>
      <c r="S2567" t="s">
        <v>125</v>
      </c>
      <c r="T2567" t="s">
        <v>759</v>
      </c>
      <c r="U2567" t="s">
        <v>1489</v>
      </c>
      <c r="W2567">
        <v>0</v>
      </c>
      <c r="X2567">
        <v>0</v>
      </c>
      <c r="AM2567" t="s">
        <v>129</v>
      </c>
      <c r="AN2567" t="s">
        <v>130</v>
      </c>
      <c r="AP2567" t="s">
        <v>41</v>
      </c>
      <c r="AY2567" t="s">
        <v>50</v>
      </c>
      <c r="AZ2567" t="s">
        <v>51</v>
      </c>
      <c r="BA2567" t="s">
        <v>52</v>
      </c>
    </row>
    <row r="2568" spans="1:67" x14ac:dyDescent="0.2">
      <c r="A2568" t="s">
        <v>8757</v>
      </c>
      <c r="B2568" t="s">
        <v>2717</v>
      </c>
      <c r="C2568" t="s">
        <v>9014</v>
      </c>
      <c r="D2568" t="s">
        <v>8512</v>
      </c>
      <c r="E2568" t="s">
        <v>9015</v>
      </c>
      <c r="F2568" t="s">
        <v>118</v>
      </c>
      <c r="G2568" t="str">
        <f>HYPERLINK("https://vk.com/wall-27863223_291592?reply=291607&amp;thread=291603")</f>
        <v>https://vk.com/wall-27863223_291592?reply=291607&amp;thread=291603</v>
      </c>
      <c r="H2568" t="s">
        <v>228</v>
      </c>
      <c r="I2568" t="s">
        <v>2353</v>
      </c>
      <c r="J2568" t="str">
        <f>HYPERLINK("http://vk.com/id26675501")</f>
        <v>http://vk.com/id26675501</v>
      </c>
      <c r="K2568">
        <v>163</v>
      </c>
      <c r="L2568" t="s">
        <v>121</v>
      </c>
      <c r="M2568">
        <v>31</v>
      </c>
      <c r="N2568" t="s">
        <v>122</v>
      </c>
      <c r="O2568" t="s">
        <v>175</v>
      </c>
      <c r="P2568" t="str">
        <f>HYPERLINK("http://vk.com/club27863223")</f>
        <v>http://vk.com/club27863223</v>
      </c>
      <c r="Q2568">
        <v>134698</v>
      </c>
      <c r="R2568" t="s">
        <v>124</v>
      </c>
      <c r="S2568" t="s">
        <v>125</v>
      </c>
      <c r="T2568" t="s">
        <v>137</v>
      </c>
      <c r="U2568" t="s">
        <v>137</v>
      </c>
      <c r="AM2568" t="s">
        <v>129</v>
      </c>
      <c r="AN2568" t="s">
        <v>130</v>
      </c>
      <c r="AP2568" t="s">
        <v>41</v>
      </c>
      <c r="AU2568" t="s">
        <v>46</v>
      </c>
      <c r="AY2568" t="s">
        <v>50</v>
      </c>
      <c r="AZ2568" t="s">
        <v>51</v>
      </c>
      <c r="BA2568" t="s">
        <v>52</v>
      </c>
    </row>
    <row r="2569" spans="1:67" x14ac:dyDescent="0.2">
      <c r="A2569" t="s">
        <v>8757</v>
      </c>
      <c r="B2569" t="s">
        <v>2720</v>
      </c>
      <c r="C2569" t="s">
        <v>9012</v>
      </c>
      <c r="D2569" t="s">
        <v>3166</v>
      </c>
      <c r="E2569" t="s">
        <v>9016</v>
      </c>
      <c r="F2569" t="s">
        <v>118</v>
      </c>
      <c r="G2569" t="str">
        <f>HYPERLINK("https://vk.com/wall-27863223_291605?reply=291606")</f>
        <v>https://vk.com/wall-27863223_291605?reply=291606</v>
      </c>
      <c r="H2569" t="s">
        <v>119</v>
      </c>
      <c r="I2569" t="s">
        <v>9008</v>
      </c>
      <c r="J2569" t="str">
        <f>HYPERLINK("http://vk.com/id8318853")</f>
        <v>http://vk.com/id8318853</v>
      </c>
      <c r="K2569">
        <v>1580</v>
      </c>
      <c r="L2569" t="s">
        <v>121</v>
      </c>
      <c r="N2569" t="s">
        <v>122</v>
      </c>
      <c r="O2569" t="s">
        <v>175</v>
      </c>
      <c r="P2569" t="str">
        <f>HYPERLINK("http://vk.com/club27863223")</f>
        <v>http://vk.com/club27863223</v>
      </c>
      <c r="Q2569">
        <v>134698</v>
      </c>
      <c r="R2569" t="s">
        <v>124</v>
      </c>
      <c r="S2569" t="s">
        <v>125</v>
      </c>
      <c r="T2569" t="s">
        <v>759</v>
      </c>
      <c r="U2569" t="s">
        <v>1489</v>
      </c>
      <c r="W2569">
        <v>0</v>
      </c>
      <c r="X2569">
        <v>0</v>
      </c>
      <c r="AM2569" t="s">
        <v>129</v>
      </c>
      <c r="AN2569" t="s">
        <v>130</v>
      </c>
      <c r="AP2569" t="s">
        <v>41</v>
      </c>
      <c r="AY2569" t="s">
        <v>50</v>
      </c>
      <c r="AZ2569" t="s">
        <v>51</v>
      </c>
      <c r="BA2569" t="s">
        <v>52</v>
      </c>
    </row>
    <row r="2570" spans="1:67" x14ac:dyDescent="0.2">
      <c r="A2570" t="s">
        <v>8757</v>
      </c>
      <c r="B2570" t="s">
        <v>3196</v>
      </c>
      <c r="C2570" t="s">
        <v>9017</v>
      </c>
      <c r="D2570" t="s">
        <v>129</v>
      </c>
      <c r="E2570" t="s">
        <v>8478</v>
      </c>
      <c r="F2570" t="s">
        <v>180</v>
      </c>
      <c r="G2570" t="str">
        <f>HYPERLINK("https://www.facebook.com/206198386101106/posts/4075318242522415/")</f>
        <v>https://www.facebook.com/206198386101106/posts/4075318242522415/</v>
      </c>
      <c r="H2570" t="s">
        <v>119</v>
      </c>
      <c r="I2570" t="s">
        <v>175</v>
      </c>
      <c r="J2570" t="str">
        <f>HYPERLINK("https://www.facebook.com/206198386101106")</f>
        <v>https://www.facebook.com/206198386101106</v>
      </c>
      <c r="K2570">
        <v>16432</v>
      </c>
      <c r="L2570" t="s">
        <v>340</v>
      </c>
      <c r="N2570" t="s">
        <v>305</v>
      </c>
      <c r="O2570" t="s">
        <v>175</v>
      </c>
      <c r="P2570" t="str">
        <f>HYPERLINK("https://www.facebook.com/206198386101106")</f>
        <v>https://www.facebook.com/206198386101106</v>
      </c>
      <c r="Q2570">
        <v>16432</v>
      </c>
      <c r="R2570" t="s">
        <v>124</v>
      </c>
      <c r="W2570">
        <v>4</v>
      </c>
      <c r="X2570">
        <v>4</v>
      </c>
      <c r="Y2570">
        <v>0</v>
      </c>
      <c r="Z2570">
        <v>0</v>
      </c>
      <c r="AA2570">
        <v>0</v>
      </c>
      <c r="AB2570">
        <v>0</v>
      </c>
      <c r="AC2570">
        <v>0</v>
      </c>
      <c r="AE2570">
        <v>0</v>
      </c>
      <c r="AF2570">
        <v>0</v>
      </c>
      <c r="AJ2570" t="s">
        <v>588</v>
      </c>
      <c r="AK2570" t="s">
        <v>129</v>
      </c>
      <c r="AL2570" t="s">
        <v>9018</v>
      </c>
      <c r="AM2570" t="s">
        <v>129</v>
      </c>
      <c r="AN2570" t="s">
        <v>130</v>
      </c>
      <c r="BI2570" t="s">
        <v>60</v>
      </c>
    </row>
    <row r="2571" spans="1:67" x14ac:dyDescent="0.2">
      <c r="A2571" t="s">
        <v>8757</v>
      </c>
      <c r="B2571" t="s">
        <v>7199</v>
      </c>
      <c r="C2571" t="s">
        <v>9019</v>
      </c>
      <c r="D2571" t="s">
        <v>9020</v>
      </c>
      <c r="E2571" t="s">
        <v>175</v>
      </c>
      <c r="F2571" t="s">
        <v>118</v>
      </c>
      <c r="G2571" t="str">
        <f>HYPERLINK("https://vk.com/wall-12342506_188758?reply=188787")</f>
        <v>https://vk.com/wall-12342506_188758?reply=188787</v>
      </c>
      <c r="H2571" t="s">
        <v>181</v>
      </c>
      <c r="I2571" t="s">
        <v>9021</v>
      </c>
      <c r="J2571" t="str">
        <f>HYPERLINK("http://vk.com/id346292363")</f>
        <v>http://vk.com/id346292363</v>
      </c>
      <c r="K2571">
        <v>229</v>
      </c>
      <c r="L2571" t="s">
        <v>151</v>
      </c>
      <c r="N2571" t="s">
        <v>122</v>
      </c>
      <c r="O2571" t="s">
        <v>9022</v>
      </c>
      <c r="P2571" t="str">
        <f>HYPERLINK("http://vk.com/club12342506")</f>
        <v>http://vk.com/club12342506</v>
      </c>
      <c r="Q2571">
        <v>10448</v>
      </c>
      <c r="R2571" t="s">
        <v>124</v>
      </c>
      <c r="S2571" t="s">
        <v>125</v>
      </c>
      <c r="T2571" t="s">
        <v>137</v>
      </c>
      <c r="U2571" t="s">
        <v>137</v>
      </c>
      <c r="AM2571" t="s">
        <v>129</v>
      </c>
      <c r="AN2571" t="s">
        <v>130</v>
      </c>
      <c r="AP2571" t="s">
        <v>41</v>
      </c>
      <c r="AZ2571" t="s">
        <v>51</v>
      </c>
      <c r="BA2571" t="s">
        <v>52</v>
      </c>
      <c r="BM2571" t="s">
        <v>64</v>
      </c>
    </row>
    <row r="2572" spans="1:67" x14ac:dyDescent="0.2">
      <c r="A2572" t="s">
        <v>8757</v>
      </c>
      <c r="B2572" t="s">
        <v>1710</v>
      </c>
      <c r="C2572" t="s">
        <v>9023</v>
      </c>
      <c r="D2572" t="s">
        <v>9024</v>
      </c>
      <c r="E2572" t="s">
        <v>9025</v>
      </c>
      <c r="F2572" t="s">
        <v>118</v>
      </c>
      <c r="G2572" t="str">
        <f>HYPERLINK("https://telegram.me/modem_ca_chat/37484")</f>
        <v>https://telegram.me/modem_ca_chat/37484</v>
      </c>
      <c r="H2572" t="s">
        <v>119</v>
      </c>
      <c r="I2572" t="s">
        <v>4812</v>
      </c>
      <c r="J2572" t="str">
        <f>HYPERLINK("https://telegram.me/neveri4")</f>
        <v>https://telegram.me/neveri4</v>
      </c>
      <c r="L2572" t="s">
        <v>121</v>
      </c>
      <c r="N2572" t="s">
        <v>143</v>
      </c>
      <c r="O2572" t="s">
        <v>4813</v>
      </c>
      <c r="P2572" t="str">
        <f>HYPERLINK("https://telegram.me/modem_ca_chat")</f>
        <v>https://telegram.me/modem_ca_chat</v>
      </c>
      <c r="Q2572">
        <v>220</v>
      </c>
      <c r="R2572" t="s">
        <v>145</v>
      </c>
      <c r="AM2572" t="s">
        <v>129</v>
      </c>
      <c r="AN2572" t="s">
        <v>130</v>
      </c>
      <c r="AP2572" t="s">
        <v>41</v>
      </c>
      <c r="AT2572" t="s">
        <v>45</v>
      </c>
      <c r="AZ2572" t="s">
        <v>51</v>
      </c>
      <c r="BA2572" t="s">
        <v>52</v>
      </c>
    </row>
    <row r="2573" spans="1:67" x14ac:dyDescent="0.2">
      <c r="A2573" t="s">
        <v>8757</v>
      </c>
      <c r="B2573" t="s">
        <v>603</v>
      </c>
      <c r="C2573" t="s">
        <v>6688</v>
      </c>
      <c r="D2573" t="s">
        <v>2169</v>
      </c>
      <c r="E2573" t="s">
        <v>9026</v>
      </c>
      <c r="F2573" t="s">
        <v>180</v>
      </c>
      <c r="G2573" t="str">
        <f>HYPERLINK("https://www.ozon.ru/context/detail/id/172324122/#58633064")</f>
        <v>https://www.ozon.ru/context/detail/id/172324122/#58633064</v>
      </c>
      <c r="H2573" t="s">
        <v>119</v>
      </c>
      <c r="I2573" t="s">
        <v>1395</v>
      </c>
      <c r="J2573" t="str">
        <f>HYPERLINK("https://www.ozon.ru/context/client_opinion/ClientGuid/36f6664c-0ca2-487c-89c2-196f00e5769e/")</f>
        <v>https://www.ozon.ru/context/client_opinion/ClientGuid/36f6664c-0ca2-487c-89c2-196f00e5769e/</v>
      </c>
      <c r="L2573" t="s">
        <v>121</v>
      </c>
      <c r="N2573" t="s">
        <v>183</v>
      </c>
      <c r="O2573" t="s">
        <v>2169</v>
      </c>
      <c r="P2573" t="str">
        <f>HYPERLINK("https://www.ozon.ru/context/detail/id/172324122/")</f>
        <v>https://www.ozon.ru/context/detail/id/172324122/</v>
      </c>
      <c r="R2573" t="s">
        <v>184</v>
      </c>
      <c r="S2573" t="s">
        <v>125</v>
      </c>
      <c r="W2573">
        <v>0</v>
      </c>
      <c r="X2573">
        <v>0</v>
      </c>
      <c r="AH2573">
        <v>3</v>
      </c>
      <c r="AM2573" t="s">
        <v>129</v>
      </c>
      <c r="AN2573" t="s">
        <v>130</v>
      </c>
      <c r="AP2573" t="s">
        <v>41</v>
      </c>
      <c r="AT2573" t="s">
        <v>45</v>
      </c>
      <c r="AZ2573" t="s">
        <v>51</v>
      </c>
      <c r="BA2573" t="s">
        <v>52</v>
      </c>
      <c r="BL2573" t="s">
        <v>63</v>
      </c>
    </row>
    <row r="2574" spans="1:67" x14ac:dyDescent="0.2">
      <c r="A2574" t="s">
        <v>8757</v>
      </c>
      <c r="B2574" t="s">
        <v>2162</v>
      </c>
      <c r="C2574" t="s">
        <v>9027</v>
      </c>
      <c r="D2574" t="s">
        <v>8512</v>
      </c>
      <c r="E2574" t="s">
        <v>9028</v>
      </c>
      <c r="F2574" t="s">
        <v>118</v>
      </c>
      <c r="G2574" t="str">
        <f>HYPERLINK("https://vk.com/wall-27863223_291592?reply=291603")</f>
        <v>https://vk.com/wall-27863223_291592?reply=291603</v>
      </c>
      <c r="H2574" t="s">
        <v>119</v>
      </c>
      <c r="I2574" t="s">
        <v>2353</v>
      </c>
      <c r="J2574" t="str">
        <f>HYPERLINK("http://vk.com/id26675501")</f>
        <v>http://vk.com/id26675501</v>
      </c>
      <c r="K2574">
        <v>163</v>
      </c>
      <c r="L2574" t="s">
        <v>121</v>
      </c>
      <c r="M2574">
        <v>31</v>
      </c>
      <c r="N2574" t="s">
        <v>122</v>
      </c>
      <c r="O2574" t="s">
        <v>175</v>
      </c>
      <c r="P2574" t="str">
        <f>HYPERLINK("http://vk.com/club27863223")</f>
        <v>http://vk.com/club27863223</v>
      </c>
      <c r="Q2574">
        <v>134698</v>
      </c>
      <c r="R2574" t="s">
        <v>124</v>
      </c>
      <c r="S2574" t="s">
        <v>125</v>
      </c>
      <c r="T2574" t="s">
        <v>137</v>
      </c>
      <c r="U2574" t="s">
        <v>137</v>
      </c>
      <c r="W2574">
        <v>0</v>
      </c>
      <c r="X2574">
        <v>0</v>
      </c>
      <c r="AJ2574" t="s">
        <v>452</v>
      </c>
      <c r="AK2574" t="s">
        <v>129</v>
      </c>
      <c r="AL2574" t="str">
        <f>HYPERLINK("https://sun9-70.userapi.com/impg/O5K79-fyolJPLgjhCCSKTzhY-Qp_IN_5Ys-dXA/7bpCPYRFn5Y.jpg?size=2560x1440&amp;quality=96&amp;sign=ea29a3b875948d701c10c84799e4da6e&amp;c_uniq_tag=MtLnukgV1rZMJDHdjrCwxbwEeu9v3cfvKVdG0y3jSLo&amp;type=album")</f>
        <v>https://sun9-70.userapi.com/impg/O5K79-fyolJPLgjhCCSKTzhY-Qp_IN_5Ys-dXA/7bpCPYRFn5Y.jpg?size=2560x1440&amp;quality=96&amp;sign=ea29a3b875948d701c10c84799e4da6e&amp;c_uniq_tag=MtLnukgV1rZMJDHdjrCwxbwEeu9v3cfvKVdG0y3jSLo&amp;type=album</v>
      </c>
      <c r="AM2574" t="s">
        <v>129</v>
      </c>
      <c r="AN2574" t="s">
        <v>130</v>
      </c>
      <c r="AP2574" t="s">
        <v>41</v>
      </c>
      <c r="AU2574" t="s">
        <v>46</v>
      </c>
      <c r="BA2574" t="s">
        <v>52</v>
      </c>
      <c r="BE2574" t="s">
        <v>56</v>
      </c>
    </row>
    <row r="2575" spans="1:67" x14ac:dyDescent="0.2">
      <c r="A2575" t="s">
        <v>8757</v>
      </c>
      <c r="B2575" t="s">
        <v>1122</v>
      </c>
      <c r="C2575" t="s">
        <v>9029</v>
      </c>
      <c r="D2575" t="s">
        <v>9030</v>
      </c>
      <c r="E2575" t="s">
        <v>9031</v>
      </c>
      <c r="F2575" t="s">
        <v>180</v>
      </c>
      <c r="G2575" t="str">
        <f>HYPERLINK("https://4pda.to/forum/index.php?showtopic=1001258&amp;st=12160#entry107920949")</f>
        <v>https://4pda.to/forum/index.php?showtopic=1001258&amp;st=12160#entry107920949</v>
      </c>
      <c r="H2575" t="s">
        <v>119</v>
      </c>
      <c r="I2575" t="s">
        <v>9032</v>
      </c>
      <c r="J2575" t="str">
        <f>HYPERLINK("https://4pda.to/forum/index.php?showuser=1538837")</f>
        <v>https://4pda.to/forum/index.php?showuser=1538837</v>
      </c>
      <c r="N2575" t="s">
        <v>293</v>
      </c>
      <c r="O2575" t="s">
        <v>901</v>
      </c>
      <c r="P2575" t="str">
        <f>HYPERLINK("https://4pda.to/forum/index.php?showforum=876")</f>
        <v>https://4pda.to/forum/index.php?showforum=876</v>
      </c>
      <c r="R2575" t="s">
        <v>295</v>
      </c>
      <c r="S2575" t="s">
        <v>125</v>
      </c>
      <c r="AM2575" t="s">
        <v>129</v>
      </c>
      <c r="AN2575" t="s">
        <v>130</v>
      </c>
      <c r="AP2575" t="s">
        <v>41</v>
      </c>
      <c r="AT2575" t="s">
        <v>45</v>
      </c>
      <c r="AZ2575" t="s">
        <v>51</v>
      </c>
      <c r="BA2575" t="s">
        <v>52</v>
      </c>
      <c r="BO2575" t="s">
        <v>66</v>
      </c>
    </row>
    <row r="2576" spans="1:67" x14ac:dyDescent="0.2">
      <c r="A2576" t="s">
        <v>8757</v>
      </c>
      <c r="B2576" t="s">
        <v>2737</v>
      </c>
      <c r="C2576" t="s">
        <v>9027</v>
      </c>
      <c r="D2576" t="s">
        <v>8714</v>
      </c>
      <c r="E2576" t="s">
        <v>9033</v>
      </c>
      <c r="F2576" t="s">
        <v>118</v>
      </c>
      <c r="G2576" t="str">
        <f>HYPERLINK("https://vk.com/wall-22935147_368292?reply=368301")</f>
        <v>https://vk.com/wall-22935147_368292?reply=368301</v>
      </c>
      <c r="H2576" t="s">
        <v>181</v>
      </c>
      <c r="I2576" t="s">
        <v>4574</v>
      </c>
      <c r="J2576" t="str">
        <f>HYPERLINK("http://vk.com/id271974442")</f>
        <v>http://vk.com/id271974442</v>
      </c>
      <c r="K2576">
        <v>209</v>
      </c>
      <c r="L2576" t="s">
        <v>151</v>
      </c>
      <c r="M2576">
        <v>40</v>
      </c>
      <c r="N2576" t="s">
        <v>122</v>
      </c>
      <c r="O2576" t="s">
        <v>1093</v>
      </c>
      <c r="P2576" t="str">
        <f>HYPERLINK("http://vk.com/club22935147")</f>
        <v>http://vk.com/club22935147</v>
      </c>
      <c r="Q2576">
        <v>8943</v>
      </c>
      <c r="R2576" t="s">
        <v>124</v>
      </c>
      <c r="S2576" t="s">
        <v>125</v>
      </c>
      <c r="T2576" t="s">
        <v>3158</v>
      </c>
      <c r="U2576" t="s">
        <v>4575</v>
      </c>
      <c r="W2576">
        <v>0</v>
      </c>
      <c r="X2576">
        <v>0</v>
      </c>
      <c r="AM2576" t="s">
        <v>129</v>
      </c>
      <c r="AN2576" t="s">
        <v>130</v>
      </c>
      <c r="AP2576" t="s">
        <v>41</v>
      </c>
      <c r="AZ2576" t="s">
        <v>51</v>
      </c>
      <c r="BA2576" t="s">
        <v>52</v>
      </c>
      <c r="BL2576" t="s">
        <v>63</v>
      </c>
    </row>
    <row r="2577" spans="1:69" x14ac:dyDescent="0.2">
      <c r="A2577" t="s">
        <v>8757</v>
      </c>
      <c r="B2577" t="s">
        <v>1730</v>
      </c>
      <c r="C2577" t="s">
        <v>9027</v>
      </c>
      <c r="D2577" t="s">
        <v>8714</v>
      </c>
      <c r="E2577" t="s">
        <v>9034</v>
      </c>
      <c r="F2577" t="s">
        <v>118</v>
      </c>
      <c r="G2577" t="str">
        <f>HYPERLINK("https://vk.com/wall-22935147_368292?reply=368300")</f>
        <v>https://vk.com/wall-22935147_368292?reply=368300</v>
      </c>
      <c r="H2577" t="s">
        <v>181</v>
      </c>
      <c r="I2577" t="s">
        <v>8555</v>
      </c>
      <c r="J2577" t="str">
        <f>HYPERLINK("http://vk.com/id155154685")</f>
        <v>http://vk.com/id155154685</v>
      </c>
      <c r="K2577">
        <v>493</v>
      </c>
      <c r="L2577" t="s">
        <v>121</v>
      </c>
      <c r="M2577">
        <v>27</v>
      </c>
      <c r="N2577" t="s">
        <v>122</v>
      </c>
      <c r="O2577" t="s">
        <v>1093</v>
      </c>
      <c r="P2577" t="str">
        <f>HYPERLINK("http://vk.com/club22935147")</f>
        <v>http://vk.com/club22935147</v>
      </c>
      <c r="Q2577">
        <v>8943</v>
      </c>
      <c r="R2577" t="s">
        <v>124</v>
      </c>
      <c r="S2577" t="s">
        <v>125</v>
      </c>
      <c r="T2577" t="s">
        <v>6649</v>
      </c>
      <c r="U2577" t="s">
        <v>8556</v>
      </c>
      <c r="W2577">
        <v>1</v>
      </c>
      <c r="X2577">
        <v>1</v>
      </c>
      <c r="AM2577" t="s">
        <v>129</v>
      </c>
      <c r="AN2577" t="s">
        <v>130</v>
      </c>
      <c r="AP2577" t="s">
        <v>41</v>
      </c>
      <c r="AZ2577" t="s">
        <v>51</v>
      </c>
      <c r="BA2577" t="s">
        <v>52</v>
      </c>
      <c r="BL2577" t="s">
        <v>63</v>
      </c>
    </row>
    <row r="2578" spans="1:69" x14ac:dyDescent="0.2">
      <c r="A2578" t="s">
        <v>8757</v>
      </c>
      <c r="B2578" t="s">
        <v>9035</v>
      </c>
      <c r="C2578" t="s">
        <v>9036</v>
      </c>
      <c r="D2578" t="s">
        <v>8969</v>
      </c>
      <c r="E2578" t="s">
        <v>9037</v>
      </c>
      <c r="F2578" t="s">
        <v>118</v>
      </c>
      <c r="G2578" t="str">
        <f>HYPERLINK("https://vk.com/wall-1140700_450932?reply=451049&amp;thread=451030")</f>
        <v>https://vk.com/wall-1140700_450932?reply=451049&amp;thread=451030</v>
      </c>
      <c r="H2578" t="s">
        <v>119</v>
      </c>
      <c r="I2578" t="s">
        <v>8971</v>
      </c>
      <c r="J2578" t="str">
        <f>HYPERLINK("http://vk.com/id366295738")</f>
        <v>http://vk.com/id366295738</v>
      </c>
      <c r="K2578">
        <v>22</v>
      </c>
      <c r="L2578" t="s">
        <v>121</v>
      </c>
      <c r="N2578" t="s">
        <v>122</v>
      </c>
      <c r="O2578" t="s">
        <v>8972</v>
      </c>
      <c r="P2578" t="str">
        <f>HYPERLINK("http://vk.com/club1140700")</f>
        <v>http://vk.com/club1140700</v>
      </c>
      <c r="Q2578">
        <v>7488</v>
      </c>
      <c r="R2578" t="s">
        <v>124</v>
      </c>
      <c r="S2578" t="s">
        <v>125</v>
      </c>
      <c r="T2578" t="s">
        <v>1819</v>
      </c>
      <c r="U2578" t="s">
        <v>8973</v>
      </c>
      <c r="AM2578" t="s">
        <v>129</v>
      </c>
      <c r="AN2578" t="s">
        <v>130</v>
      </c>
      <c r="AP2578" t="s">
        <v>41</v>
      </c>
      <c r="AW2578" t="s">
        <v>48</v>
      </c>
      <c r="AZ2578" t="s">
        <v>51</v>
      </c>
      <c r="BA2578" t="s">
        <v>52</v>
      </c>
    </row>
    <row r="2579" spans="1:69" x14ac:dyDescent="0.2">
      <c r="A2579" t="s">
        <v>8757</v>
      </c>
      <c r="B2579" t="s">
        <v>5333</v>
      </c>
      <c r="C2579" t="s">
        <v>8574</v>
      </c>
      <c r="D2579" t="s">
        <v>3021</v>
      </c>
      <c r="E2579" t="s">
        <v>9038</v>
      </c>
      <c r="F2579" t="s">
        <v>180</v>
      </c>
      <c r="G2579" t="str">
        <f>HYPERLINK("https://www.wildberries.ru/catalog/10284738/detail.aspx?targetUrl=ES#Comments")</f>
        <v>https://www.wildberries.ru/catalog/10284738/detail.aspx?targetUrl=ES#Comments</v>
      </c>
      <c r="H2579" t="s">
        <v>119</v>
      </c>
      <c r="I2579" t="s">
        <v>3082</v>
      </c>
      <c r="J2579" t="str">
        <f>HYPERLINK("https://www.wildberries.ru/profile/w7TDssOkw7PCu8KwwrHCsMKzwrDCscK3wrM=")</f>
        <v>https://www.wildberries.ru/profile/w7TDssOkw7PCu8KwwrHCsMKzwrDCscK3wrM=</v>
      </c>
      <c r="L2579" t="s">
        <v>151</v>
      </c>
      <c r="N2579" t="s">
        <v>534</v>
      </c>
      <c r="O2579" t="s">
        <v>3021</v>
      </c>
      <c r="P2579" t="str">
        <f>HYPERLINK("https://www.wildberries.ru/catalog/7813912/detail.aspx")</f>
        <v>https://www.wildberries.ru/catalog/7813912/detail.aspx</v>
      </c>
      <c r="R2579" t="s">
        <v>184</v>
      </c>
      <c r="S2579" t="s">
        <v>125</v>
      </c>
      <c r="W2579">
        <v>0</v>
      </c>
      <c r="X2579">
        <v>0</v>
      </c>
      <c r="AH2579">
        <v>1</v>
      </c>
      <c r="AM2579" t="s">
        <v>129</v>
      </c>
      <c r="AN2579" t="s">
        <v>130</v>
      </c>
      <c r="AP2579" t="s">
        <v>41</v>
      </c>
      <c r="AU2579" t="s">
        <v>46</v>
      </c>
      <c r="AW2579" t="s">
        <v>48</v>
      </c>
      <c r="AZ2579" t="s">
        <v>51</v>
      </c>
      <c r="BA2579" t="s">
        <v>52</v>
      </c>
      <c r="BL2579" t="s">
        <v>63</v>
      </c>
    </row>
    <row r="2580" spans="1:69" x14ac:dyDescent="0.2">
      <c r="A2580" t="s">
        <v>8757</v>
      </c>
      <c r="B2580" t="s">
        <v>5333</v>
      </c>
      <c r="C2580" t="s">
        <v>8574</v>
      </c>
      <c r="D2580" t="s">
        <v>3021</v>
      </c>
      <c r="E2580" t="s">
        <v>9039</v>
      </c>
      <c r="F2580" t="s">
        <v>118</v>
      </c>
      <c r="G2580" t="str">
        <f>HYPERLINK("https://www.wildberries.ru/catalog/10284738/detail.aspx?targetUrl=ES#Comments")</f>
        <v>https://www.wildberries.ru/catalog/10284738/detail.aspx?targetUrl=ES#Comments</v>
      </c>
      <c r="H2580" t="s">
        <v>119</v>
      </c>
      <c r="I2580" t="s">
        <v>3023</v>
      </c>
      <c r="J2580" t="str">
        <f>HYPERLINK("https://www.wildberries.ru/brands/trikolor")</f>
        <v>https://www.wildberries.ru/brands/trikolor</v>
      </c>
      <c r="L2580" t="s">
        <v>340</v>
      </c>
      <c r="N2580" t="s">
        <v>534</v>
      </c>
      <c r="O2580" t="s">
        <v>3021</v>
      </c>
      <c r="P2580" t="str">
        <f>HYPERLINK("https://www.wildberries.ru/catalog/7813912/detail.aspx")</f>
        <v>https://www.wildberries.ru/catalog/7813912/detail.aspx</v>
      </c>
      <c r="R2580" t="s">
        <v>184</v>
      </c>
      <c r="S2580" t="s">
        <v>125</v>
      </c>
      <c r="AM2580" t="s">
        <v>129</v>
      </c>
      <c r="AN2580" t="s">
        <v>130</v>
      </c>
      <c r="BI2580" t="s">
        <v>60</v>
      </c>
    </row>
    <row r="2581" spans="1:69" x14ac:dyDescent="0.2">
      <c r="A2581" t="s">
        <v>8757</v>
      </c>
      <c r="B2581" t="s">
        <v>6177</v>
      </c>
      <c r="C2581" t="s">
        <v>5594</v>
      </c>
      <c r="D2581" t="s">
        <v>1328</v>
      </c>
      <c r="E2581" t="s">
        <v>9040</v>
      </c>
      <c r="F2581" t="s">
        <v>180</v>
      </c>
      <c r="G2581" t="str">
        <f>HYPERLINK("https://www.ozon.ru/context/detail/id/223365373/#58621867")</f>
        <v>https://www.ozon.ru/context/detail/id/223365373/#58621867</v>
      </c>
      <c r="H2581" t="s">
        <v>181</v>
      </c>
      <c r="I2581" t="s">
        <v>9041</v>
      </c>
      <c r="J2581" t="str">
        <f>HYPERLINK("https://www.ozon.ru/context/client_opinion/ClientGuid/618ae308-7142-4594-9d6f-83cad2ccc354/")</f>
        <v>https://www.ozon.ru/context/client_opinion/ClientGuid/618ae308-7142-4594-9d6f-83cad2ccc354/</v>
      </c>
      <c r="L2581" t="s">
        <v>151</v>
      </c>
      <c r="N2581" t="s">
        <v>183</v>
      </c>
      <c r="O2581" t="s">
        <v>1328</v>
      </c>
      <c r="P2581" t="str">
        <f>HYPERLINK("https://www.ozon.ru/context/detail/id/223365373/")</f>
        <v>https://www.ozon.ru/context/detail/id/223365373/</v>
      </c>
      <c r="R2581" t="s">
        <v>184</v>
      </c>
      <c r="S2581" t="s">
        <v>125</v>
      </c>
      <c r="W2581">
        <v>0</v>
      </c>
      <c r="X2581">
        <v>0</v>
      </c>
      <c r="AH2581">
        <v>5</v>
      </c>
      <c r="AM2581" t="s">
        <v>129</v>
      </c>
      <c r="AN2581" t="s">
        <v>130</v>
      </c>
      <c r="AP2581" t="s">
        <v>41</v>
      </c>
      <c r="AT2581" t="s">
        <v>45</v>
      </c>
      <c r="AZ2581" t="s">
        <v>51</v>
      </c>
      <c r="BA2581" t="s">
        <v>52</v>
      </c>
    </row>
    <row r="2582" spans="1:69" x14ac:dyDescent="0.2">
      <c r="A2582" t="s">
        <v>8757</v>
      </c>
      <c r="B2582" t="s">
        <v>6177</v>
      </c>
      <c r="C2582" t="s">
        <v>9042</v>
      </c>
      <c r="D2582" t="s">
        <v>8240</v>
      </c>
      <c r="E2582" t="s">
        <v>9043</v>
      </c>
      <c r="F2582" t="s">
        <v>118</v>
      </c>
      <c r="G2582" t="str">
        <f>HYPERLINK("https://vk.com/wall-71902985_1071638?reply=1071686")</f>
        <v>https://vk.com/wall-71902985_1071638?reply=1071686</v>
      </c>
      <c r="H2582" t="s">
        <v>228</v>
      </c>
      <c r="I2582" t="s">
        <v>8242</v>
      </c>
      <c r="J2582" t="str">
        <f>HYPERLINK("http://vk.com/id2371837")</f>
        <v>http://vk.com/id2371837</v>
      </c>
      <c r="K2582">
        <v>1602</v>
      </c>
      <c r="L2582" t="s">
        <v>121</v>
      </c>
      <c r="N2582" t="s">
        <v>122</v>
      </c>
      <c r="O2582" t="s">
        <v>8243</v>
      </c>
      <c r="P2582" t="str">
        <f>HYPERLINK("http://vk.com/club71902985")</f>
        <v>http://vk.com/club71902985</v>
      </c>
      <c r="Q2582">
        <v>62819</v>
      </c>
      <c r="R2582" t="s">
        <v>124</v>
      </c>
      <c r="S2582" t="s">
        <v>125</v>
      </c>
      <c r="T2582" t="s">
        <v>5115</v>
      </c>
      <c r="U2582" t="s">
        <v>5116</v>
      </c>
      <c r="AM2582" t="s">
        <v>129</v>
      </c>
      <c r="AN2582" t="s">
        <v>130</v>
      </c>
      <c r="AP2582" t="s">
        <v>41</v>
      </c>
      <c r="AW2582" t="s">
        <v>48</v>
      </c>
      <c r="AY2582" t="s">
        <v>50</v>
      </c>
      <c r="AZ2582" t="s">
        <v>51</v>
      </c>
      <c r="BB2582" t="s">
        <v>53</v>
      </c>
    </row>
    <row r="2583" spans="1:69" x14ac:dyDescent="0.2">
      <c r="A2583" t="s">
        <v>8757</v>
      </c>
      <c r="B2583" t="s">
        <v>1767</v>
      </c>
      <c r="C2583" t="s">
        <v>9044</v>
      </c>
      <c r="D2583" t="s">
        <v>9045</v>
      </c>
      <c r="E2583" t="s">
        <v>9046</v>
      </c>
      <c r="F2583" t="s">
        <v>118</v>
      </c>
      <c r="G2583" t="str">
        <f>HYPERLINK("https://vk.com/wall-167245481_16406?reply=16507")</f>
        <v>https://vk.com/wall-167245481_16406?reply=16507</v>
      </c>
      <c r="H2583" t="s">
        <v>119</v>
      </c>
      <c r="I2583" t="s">
        <v>9047</v>
      </c>
      <c r="J2583" t="str">
        <f>HYPERLINK("http://vk.com/id241045674")</f>
        <v>http://vk.com/id241045674</v>
      </c>
      <c r="K2583">
        <v>100</v>
      </c>
      <c r="L2583" t="s">
        <v>121</v>
      </c>
      <c r="N2583" t="s">
        <v>122</v>
      </c>
      <c r="O2583" t="s">
        <v>9048</v>
      </c>
      <c r="P2583" t="str">
        <f>HYPERLINK("http://vk.com/club167245481")</f>
        <v>http://vk.com/club167245481</v>
      </c>
      <c r="Q2583">
        <v>917</v>
      </c>
      <c r="R2583" t="s">
        <v>124</v>
      </c>
      <c r="S2583" t="s">
        <v>125</v>
      </c>
      <c r="T2583" t="s">
        <v>137</v>
      </c>
      <c r="U2583" t="s">
        <v>137</v>
      </c>
      <c r="AM2583" t="s">
        <v>129</v>
      </c>
      <c r="AN2583" t="s">
        <v>130</v>
      </c>
      <c r="AP2583" t="s">
        <v>41</v>
      </c>
      <c r="AU2583" t="s">
        <v>46</v>
      </c>
      <c r="AZ2583" t="s">
        <v>51</v>
      </c>
      <c r="BA2583" t="s">
        <v>52</v>
      </c>
    </row>
    <row r="2584" spans="1:69" x14ac:dyDescent="0.2">
      <c r="A2584" t="s">
        <v>8757</v>
      </c>
      <c r="B2584" t="s">
        <v>6505</v>
      </c>
      <c r="C2584" t="s">
        <v>9049</v>
      </c>
      <c r="D2584" t="s">
        <v>204</v>
      </c>
      <c r="E2584" t="s">
        <v>9050</v>
      </c>
      <c r="F2584" t="s">
        <v>180</v>
      </c>
      <c r="G2584" t="str">
        <f>HYPERLINK("https://play.google.com/store/apps/details?id=ru.iflex.android.a3colortv&amp;reviewId=gp:AOqpTOFkbr05xHLSPwflNPG3YAd4NYAW5tYH_M7a2QkbwqqNCB8J7g7V_1rk_eTduU-g1vpRQTFdezB-TgvYEw")</f>
        <v>https://play.google.com/store/apps/details?id=ru.iflex.android.a3colortv&amp;reviewId=gp:AOqpTOFkbr05xHLSPwflNPG3YAd4NYAW5tYH_M7a2QkbwqqNCB8J7g7V_1rk_eTduU-g1vpRQTFdezB-TgvYEw</v>
      </c>
      <c r="H2584" t="s">
        <v>181</v>
      </c>
      <c r="I2584" t="s">
        <v>9051</v>
      </c>
      <c r="J2584" t="str">
        <f>HYPERLINK("https://plus.google.com/110691800657917481792")</f>
        <v>https://plus.google.com/110691800657917481792</v>
      </c>
      <c r="L2584" t="s">
        <v>121</v>
      </c>
      <c r="N2584" t="s">
        <v>207</v>
      </c>
      <c r="O2584" t="s">
        <v>204</v>
      </c>
      <c r="P2584" t="str">
        <f>HYPERLINK("https://play.google.com/store/apps/details?id=ru.iflex.android.a3colortv&amp;hl=ru")</f>
        <v>https://play.google.com/store/apps/details?id=ru.iflex.android.a3colortv&amp;hl=ru</v>
      </c>
      <c r="R2584" t="s">
        <v>184</v>
      </c>
      <c r="S2584" t="s">
        <v>125</v>
      </c>
      <c r="W2584">
        <v>0</v>
      </c>
      <c r="X2584">
        <v>0</v>
      </c>
      <c r="AH2584">
        <v>5</v>
      </c>
      <c r="AM2584" t="s">
        <v>129</v>
      </c>
      <c r="AN2584" t="s">
        <v>130</v>
      </c>
      <c r="AP2584" t="s">
        <v>41</v>
      </c>
      <c r="AZ2584" t="s">
        <v>51</v>
      </c>
      <c r="BA2584" t="s">
        <v>52</v>
      </c>
      <c r="BQ2584" t="s">
        <v>68</v>
      </c>
    </row>
    <row r="2585" spans="1:69" x14ac:dyDescent="0.2">
      <c r="A2585" t="s">
        <v>8757</v>
      </c>
      <c r="B2585" t="s">
        <v>1779</v>
      </c>
      <c r="C2585" t="s">
        <v>5594</v>
      </c>
      <c r="D2585" t="s">
        <v>3516</v>
      </c>
      <c r="E2585" t="s">
        <v>9052</v>
      </c>
      <c r="F2585" t="s">
        <v>180</v>
      </c>
      <c r="G2585" t="str">
        <f>HYPERLINK("https://www.ozon.ru/context/detail/id/220478025/#58613346")</f>
        <v>https://www.ozon.ru/context/detail/id/220478025/#58613346</v>
      </c>
      <c r="H2585" t="s">
        <v>181</v>
      </c>
      <c r="I2585" t="s">
        <v>9053</v>
      </c>
      <c r="J2585" t="str">
        <f>HYPERLINK("https://www.ozon.ru/context/client_opinion/ClientGuid/ac0430fb-6804-478c-ad9d-a380c883bb23/")</f>
        <v>https://www.ozon.ru/context/client_opinion/ClientGuid/ac0430fb-6804-478c-ad9d-a380c883bb23/</v>
      </c>
      <c r="L2585" t="s">
        <v>121</v>
      </c>
      <c r="N2585" t="s">
        <v>183</v>
      </c>
      <c r="O2585" t="s">
        <v>3516</v>
      </c>
      <c r="P2585" t="str">
        <f>HYPERLINK("https://www.ozon.ru/context/detail/id/220478025/")</f>
        <v>https://www.ozon.ru/context/detail/id/220478025/</v>
      </c>
      <c r="R2585" t="s">
        <v>184</v>
      </c>
      <c r="S2585" t="s">
        <v>125</v>
      </c>
      <c r="W2585">
        <v>1</v>
      </c>
      <c r="X2585">
        <v>1</v>
      </c>
      <c r="AH2585">
        <v>5</v>
      </c>
      <c r="AM2585" t="s">
        <v>129</v>
      </c>
      <c r="AN2585" t="s">
        <v>130</v>
      </c>
      <c r="AP2585" t="s">
        <v>41</v>
      </c>
      <c r="AT2585" t="s">
        <v>45</v>
      </c>
      <c r="AZ2585" t="s">
        <v>51</v>
      </c>
      <c r="BA2585" t="s">
        <v>52</v>
      </c>
    </row>
    <row r="2586" spans="1:69" x14ac:dyDescent="0.2">
      <c r="A2586" t="s">
        <v>8757</v>
      </c>
      <c r="B2586" t="s">
        <v>2793</v>
      </c>
      <c r="C2586" t="s">
        <v>9054</v>
      </c>
      <c r="D2586" t="s">
        <v>8714</v>
      </c>
      <c r="E2586" t="s">
        <v>9055</v>
      </c>
      <c r="F2586" t="s">
        <v>118</v>
      </c>
      <c r="G2586" t="str">
        <f>HYPERLINK("https://vk.com/wall-22935147_368292?w=wall-22935147_368292_r368299")</f>
        <v>https://vk.com/wall-22935147_368292?w=wall-22935147_368292_r368299</v>
      </c>
      <c r="H2586" t="s">
        <v>119</v>
      </c>
      <c r="I2586" t="s">
        <v>9056</v>
      </c>
      <c r="J2586" t="str">
        <f>HYPERLINK("http://vk.com/id296263333")</f>
        <v>http://vk.com/id296263333</v>
      </c>
      <c r="K2586">
        <v>10</v>
      </c>
      <c r="L2586" t="s">
        <v>121</v>
      </c>
      <c r="M2586">
        <v>14</v>
      </c>
      <c r="N2586" t="s">
        <v>122</v>
      </c>
      <c r="O2586" t="s">
        <v>1093</v>
      </c>
      <c r="P2586" t="str">
        <f>HYPERLINK("http://vk.com/club22935147")</f>
        <v>http://vk.com/club22935147</v>
      </c>
      <c r="Q2586">
        <v>8943</v>
      </c>
      <c r="R2586" t="s">
        <v>124</v>
      </c>
      <c r="S2586" t="s">
        <v>125</v>
      </c>
      <c r="T2586" t="s">
        <v>169</v>
      </c>
      <c r="U2586" t="s">
        <v>169</v>
      </c>
      <c r="W2586">
        <v>0</v>
      </c>
      <c r="X2586">
        <v>0</v>
      </c>
      <c r="AM2586" t="s">
        <v>129</v>
      </c>
      <c r="AN2586" t="s">
        <v>130</v>
      </c>
      <c r="AP2586" t="s">
        <v>41</v>
      </c>
      <c r="AZ2586" t="s">
        <v>51</v>
      </c>
      <c r="BA2586" t="s">
        <v>52</v>
      </c>
      <c r="BL2586" t="s">
        <v>63</v>
      </c>
    </row>
    <row r="2587" spans="1:69" x14ac:dyDescent="0.2">
      <c r="A2587" t="s">
        <v>8757</v>
      </c>
      <c r="B2587" t="s">
        <v>6197</v>
      </c>
      <c r="C2587" t="s">
        <v>9057</v>
      </c>
      <c r="D2587" t="s">
        <v>9058</v>
      </c>
      <c r="E2587" t="s">
        <v>9059</v>
      </c>
      <c r="F2587" t="s">
        <v>118</v>
      </c>
      <c r="G2587" t="str">
        <f>HYPERLINK("https://vk.com/wall-27863223_291571?reply=291601&amp;thread=291572")</f>
        <v>https://vk.com/wall-27863223_291571?reply=291601&amp;thread=291572</v>
      </c>
      <c r="H2587" t="s">
        <v>228</v>
      </c>
      <c r="I2587" t="s">
        <v>1111</v>
      </c>
      <c r="J2587" t="str">
        <f>HYPERLINK("http://vk.com/id575539922")</f>
        <v>http://vk.com/id575539922</v>
      </c>
      <c r="K2587">
        <v>12</v>
      </c>
      <c r="L2587" t="s">
        <v>121</v>
      </c>
      <c r="M2587">
        <v>54</v>
      </c>
      <c r="N2587" t="s">
        <v>122</v>
      </c>
      <c r="O2587" t="s">
        <v>175</v>
      </c>
      <c r="P2587" t="str">
        <f>HYPERLINK("http://vk.com/club27863223")</f>
        <v>http://vk.com/club27863223</v>
      </c>
      <c r="Q2587">
        <v>134698</v>
      </c>
      <c r="R2587" t="s">
        <v>124</v>
      </c>
      <c r="S2587" t="s">
        <v>125</v>
      </c>
      <c r="T2587" t="s">
        <v>627</v>
      </c>
      <c r="U2587" t="s">
        <v>1112</v>
      </c>
      <c r="AM2587" t="s">
        <v>129</v>
      </c>
      <c r="AN2587" t="s">
        <v>130</v>
      </c>
      <c r="AP2587" t="s">
        <v>41</v>
      </c>
      <c r="AU2587" t="s">
        <v>46</v>
      </c>
      <c r="AZ2587" t="s">
        <v>51</v>
      </c>
      <c r="BB2587" t="s">
        <v>53</v>
      </c>
    </row>
    <row r="2588" spans="1:69" x14ac:dyDescent="0.2">
      <c r="A2588" t="s">
        <v>8757</v>
      </c>
      <c r="B2588" t="s">
        <v>4897</v>
      </c>
      <c r="C2588" t="s">
        <v>9060</v>
      </c>
      <c r="D2588" t="s">
        <v>9058</v>
      </c>
      <c r="E2588" t="s">
        <v>9061</v>
      </c>
      <c r="F2588" t="s">
        <v>118</v>
      </c>
      <c r="G2588" t="str">
        <f>HYPERLINK("https://vk.com/wall-27863223_291571?reply=291599&amp;thread=291572")</f>
        <v>https://vk.com/wall-27863223_291571?reply=291599&amp;thread=291572</v>
      </c>
      <c r="H2588" t="s">
        <v>119</v>
      </c>
      <c r="I2588" t="s">
        <v>1111</v>
      </c>
      <c r="J2588" t="str">
        <f>HYPERLINK("http://vk.com/id575539922")</f>
        <v>http://vk.com/id575539922</v>
      </c>
      <c r="K2588">
        <v>12</v>
      </c>
      <c r="L2588" t="s">
        <v>121</v>
      </c>
      <c r="M2588">
        <v>54</v>
      </c>
      <c r="N2588" t="s">
        <v>122</v>
      </c>
      <c r="O2588" t="s">
        <v>175</v>
      </c>
      <c r="P2588" t="str">
        <f>HYPERLINK("http://vk.com/club27863223")</f>
        <v>http://vk.com/club27863223</v>
      </c>
      <c r="Q2588">
        <v>134698</v>
      </c>
      <c r="R2588" t="s">
        <v>124</v>
      </c>
      <c r="S2588" t="s">
        <v>125</v>
      </c>
      <c r="T2588" t="s">
        <v>627</v>
      </c>
      <c r="U2588" t="s">
        <v>1112</v>
      </c>
      <c r="AM2588" t="s">
        <v>129</v>
      </c>
      <c r="AN2588" t="s">
        <v>130</v>
      </c>
      <c r="AP2588" t="s">
        <v>41</v>
      </c>
      <c r="AU2588" t="s">
        <v>46</v>
      </c>
      <c r="AZ2588" t="s">
        <v>51</v>
      </c>
      <c r="BA2588" t="s">
        <v>52</v>
      </c>
      <c r="BE2588" t="s">
        <v>56</v>
      </c>
    </row>
    <row r="2589" spans="1:69" x14ac:dyDescent="0.2">
      <c r="A2589" t="s">
        <v>8757</v>
      </c>
      <c r="B2589" t="s">
        <v>2221</v>
      </c>
      <c r="C2589" t="s">
        <v>9054</v>
      </c>
      <c r="D2589" t="s">
        <v>9058</v>
      </c>
      <c r="E2589" t="s">
        <v>9062</v>
      </c>
      <c r="F2589" t="s">
        <v>118</v>
      </c>
      <c r="G2589" t="str">
        <f>HYPERLINK("https://vk.com/wall-27863223_291571?w=wall-27863223_291571_r291597")</f>
        <v>https://vk.com/wall-27863223_291571?w=wall-27863223_291571_r291597</v>
      </c>
      <c r="H2589" t="s">
        <v>228</v>
      </c>
      <c r="I2589" t="s">
        <v>1111</v>
      </c>
      <c r="J2589" t="str">
        <f>HYPERLINK("http://vk.com/id575539922")</f>
        <v>http://vk.com/id575539922</v>
      </c>
      <c r="K2589">
        <v>12</v>
      </c>
      <c r="L2589" t="s">
        <v>121</v>
      </c>
      <c r="M2589">
        <v>54</v>
      </c>
      <c r="N2589" t="s">
        <v>122</v>
      </c>
      <c r="O2589" t="s">
        <v>175</v>
      </c>
      <c r="P2589" t="str">
        <f>HYPERLINK("http://vk.com/club27863223")</f>
        <v>http://vk.com/club27863223</v>
      </c>
      <c r="Q2589">
        <v>134698</v>
      </c>
      <c r="R2589" t="s">
        <v>124</v>
      </c>
      <c r="S2589" t="s">
        <v>125</v>
      </c>
      <c r="T2589" t="s">
        <v>627</v>
      </c>
      <c r="U2589" t="s">
        <v>1112</v>
      </c>
      <c r="W2589">
        <v>0</v>
      </c>
      <c r="X2589">
        <v>0</v>
      </c>
      <c r="AM2589" t="s">
        <v>129</v>
      </c>
      <c r="AN2589" t="s">
        <v>130</v>
      </c>
      <c r="AP2589" t="s">
        <v>41</v>
      </c>
      <c r="AU2589" t="s">
        <v>46</v>
      </c>
      <c r="AZ2589" t="s">
        <v>51</v>
      </c>
      <c r="BA2589" t="s">
        <v>52</v>
      </c>
    </row>
    <row r="2590" spans="1:69" x14ac:dyDescent="0.2">
      <c r="A2590" t="s">
        <v>8757</v>
      </c>
      <c r="B2590" t="s">
        <v>5362</v>
      </c>
      <c r="C2590" t="s">
        <v>9063</v>
      </c>
      <c r="D2590" t="s">
        <v>6224</v>
      </c>
      <c r="E2590" t="s">
        <v>9064</v>
      </c>
      <c r="F2590" t="s">
        <v>118</v>
      </c>
      <c r="G2590" t="str">
        <f>HYPERLINK("https://www.youtube.com/watch?v=cuBcZGF3Yzc&amp;lc=UgytYxWKGb0r-zZuAWx4AaABAg")</f>
        <v>https://www.youtube.com/watch?v=cuBcZGF3Yzc&amp;lc=UgytYxWKGb0r-zZuAWx4AaABAg</v>
      </c>
      <c r="H2590" t="s">
        <v>228</v>
      </c>
      <c r="I2590" t="s">
        <v>9065</v>
      </c>
      <c r="J2590" t="str">
        <f>HYPERLINK("https://www.youtube.com/channel/UCI4xrLmOiMKKd0AeVT48Q-A")</f>
        <v>https://www.youtube.com/channel/UCI4xrLmOiMKKd0AeVT48Q-A</v>
      </c>
      <c r="K2590">
        <v>12</v>
      </c>
      <c r="N2590" t="s">
        <v>248</v>
      </c>
      <c r="O2590" t="s">
        <v>6227</v>
      </c>
      <c r="P2590" t="str">
        <f>HYPERLINK("https://www.youtube.com/channel/UCRP4EhX1Op-jL7D87PB3qhQ")</f>
        <v>https://www.youtube.com/channel/UCRP4EhX1Op-jL7D87PB3qhQ</v>
      </c>
      <c r="Q2590">
        <v>2820000</v>
      </c>
      <c r="R2590" t="s">
        <v>124</v>
      </c>
      <c r="S2590" t="s">
        <v>125</v>
      </c>
      <c r="W2590">
        <v>0</v>
      </c>
      <c r="X2590">
        <v>0</v>
      </c>
      <c r="AE2590">
        <v>0</v>
      </c>
      <c r="AM2590" t="s">
        <v>129</v>
      </c>
      <c r="AN2590" t="s">
        <v>130</v>
      </c>
      <c r="AP2590" t="s">
        <v>41</v>
      </c>
      <c r="AY2590" t="s">
        <v>50</v>
      </c>
      <c r="AZ2590" t="s">
        <v>51</v>
      </c>
      <c r="BB2590" t="s">
        <v>53</v>
      </c>
    </row>
    <row r="2591" spans="1:69" x14ac:dyDescent="0.2">
      <c r="A2591" t="s">
        <v>8757</v>
      </c>
      <c r="B2591" t="s">
        <v>9066</v>
      </c>
      <c r="C2591" t="s">
        <v>9067</v>
      </c>
      <c r="D2591" t="s">
        <v>9068</v>
      </c>
      <c r="E2591" t="s">
        <v>9069</v>
      </c>
      <c r="F2591" t="s">
        <v>118</v>
      </c>
      <c r="G2591" t="str">
        <f>HYPERLINK("https://vk.com/wall-101965347_383124?reply=383220&amp;thread=383148")</f>
        <v>https://vk.com/wall-101965347_383124?reply=383220&amp;thread=383148</v>
      </c>
      <c r="H2591" t="s">
        <v>228</v>
      </c>
      <c r="I2591" t="s">
        <v>9070</v>
      </c>
      <c r="J2591" t="str">
        <f>HYPERLINK("http://vk.com/id1624060")</f>
        <v>http://vk.com/id1624060</v>
      </c>
      <c r="K2591">
        <v>78</v>
      </c>
      <c r="L2591" t="s">
        <v>121</v>
      </c>
      <c r="N2591" t="s">
        <v>122</v>
      </c>
      <c r="O2591" t="s">
        <v>9071</v>
      </c>
      <c r="P2591" t="str">
        <f>HYPERLINK("http://vk.com/club101965347")</f>
        <v>http://vk.com/club101965347</v>
      </c>
      <c r="Q2591">
        <v>390919</v>
      </c>
      <c r="R2591" t="s">
        <v>124</v>
      </c>
      <c r="AM2591" t="s">
        <v>129</v>
      </c>
      <c r="AN2591" t="s">
        <v>130</v>
      </c>
      <c r="AP2591" t="s">
        <v>41</v>
      </c>
      <c r="AZ2591" t="s">
        <v>51</v>
      </c>
      <c r="BB2591" t="s">
        <v>53</v>
      </c>
    </row>
    <row r="2592" spans="1:69" x14ac:dyDescent="0.2">
      <c r="A2592" t="s">
        <v>8757</v>
      </c>
      <c r="B2592" t="s">
        <v>5377</v>
      </c>
      <c r="C2592" t="s">
        <v>9072</v>
      </c>
      <c r="D2592" t="s">
        <v>9073</v>
      </c>
      <c r="E2592" t="s">
        <v>9074</v>
      </c>
      <c r="F2592" t="s">
        <v>118</v>
      </c>
      <c r="G2592" t="str">
        <f>HYPERLINK("https://vk.com/wall-106879986_4209784?reply=4209785")</f>
        <v>https://vk.com/wall-106879986_4209784?reply=4209785</v>
      </c>
      <c r="H2592" t="s">
        <v>119</v>
      </c>
      <c r="I2592" t="s">
        <v>9075</v>
      </c>
      <c r="J2592" t="str">
        <f>HYPERLINK("http://vk.com/id655214639")</f>
        <v>http://vk.com/id655214639</v>
      </c>
      <c r="K2592">
        <v>0</v>
      </c>
      <c r="L2592" t="s">
        <v>151</v>
      </c>
      <c r="M2592">
        <v>60</v>
      </c>
      <c r="N2592" t="s">
        <v>122</v>
      </c>
      <c r="O2592" t="s">
        <v>9076</v>
      </c>
      <c r="P2592" t="str">
        <f>HYPERLINK("http://vk.com/club106879986")</f>
        <v>http://vk.com/club106879986</v>
      </c>
      <c r="Q2592">
        <v>152607</v>
      </c>
      <c r="R2592" t="s">
        <v>124</v>
      </c>
      <c r="AM2592" t="s">
        <v>129</v>
      </c>
      <c r="AN2592" t="s">
        <v>130</v>
      </c>
      <c r="AP2592" t="s">
        <v>41</v>
      </c>
      <c r="AU2592" t="s">
        <v>46</v>
      </c>
      <c r="AZ2592" t="s">
        <v>51</v>
      </c>
      <c r="BA2592" t="s">
        <v>52</v>
      </c>
    </row>
    <row r="2593" spans="1:69" x14ac:dyDescent="0.2">
      <c r="A2593" t="s">
        <v>8757</v>
      </c>
      <c r="B2593" t="s">
        <v>1810</v>
      </c>
      <c r="C2593" t="s">
        <v>9077</v>
      </c>
      <c r="D2593" t="s">
        <v>9078</v>
      </c>
      <c r="E2593" t="s">
        <v>9079</v>
      </c>
      <c r="F2593" t="s">
        <v>180</v>
      </c>
      <c r="G2593" t="str">
        <f>HYPERLINK("https://www.wildberries.ru/catalog/17938028/detail.aspx?targetUrl=ES#Comments")</f>
        <v>https://www.wildberries.ru/catalog/17938028/detail.aspx?targetUrl=ES#Comments</v>
      </c>
      <c r="H2593" t="s">
        <v>181</v>
      </c>
      <c r="I2593" t="s">
        <v>4621</v>
      </c>
      <c r="J2593" t="str">
        <f>HYPERLINK("https://www.wildberries.ru/profile/w7TDssOkw7PCu8K0wrHCs8K2wrHCtMK4wrk=")</f>
        <v>https://www.wildberries.ru/profile/w7TDssOkw7PCu8K0wrHCs8K2wrHCtMK4wrk=</v>
      </c>
      <c r="L2593" t="s">
        <v>121</v>
      </c>
      <c r="N2593" t="s">
        <v>534</v>
      </c>
      <c r="O2593" t="s">
        <v>9078</v>
      </c>
      <c r="P2593" t="str">
        <f>HYPERLINK("https://www.wildberries.ru/catalog/13344496/detail.aspx")</f>
        <v>https://www.wildberries.ru/catalog/13344496/detail.aspx</v>
      </c>
      <c r="R2593" t="s">
        <v>184</v>
      </c>
      <c r="S2593" t="s">
        <v>125</v>
      </c>
      <c r="W2593">
        <v>0</v>
      </c>
      <c r="X2593">
        <v>0</v>
      </c>
      <c r="AH2593">
        <v>5</v>
      </c>
      <c r="AJ2593" t="s">
        <v>129</v>
      </c>
      <c r="AK2593" t="s">
        <v>129</v>
      </c>
      <c r="AL2593" t="str">
        <f>HYPERLINK("http://feedbackphotos.wbstatic.net/feedbacks/1334/13344496/809c1b71-9250-4cca-820f-10362852f41f_fs.jpg")</f>
        <v>http://feedbackphotos.wbstatic.net/feedbacks/1334/13344496/809c1b71-9250-4cca-820f-10362852f41f_fs.jpg</v>
      </c>
      <c r="AM2593" t="s">
        <v>129</v>
      </c>
      <c r="AN2593" t="s">
        <v>130</v>
      </c>
      <c r="AP2593" t="s">
        <v>41</v>
      </c>
      <c r="AT2593" t="s">
        <v>45</v>
      </c>
      <c r="AY2593" t="s">
        <v>50</v>
      </c>
      <c r="AZ2593" t="s">
        <v>51</v>
      </c>
      <c r="BA2593" t="s">
        <v>52</v>
      </c>
      <c r="BL2593" t="s">
        <v>63</v>
      </c>
    </row>
    <row r="2594" spans="1:69" x14ac:dyDescent="0.2">
      <c r="A2594" t="s">
        <v>8757</v>
      </c>
      <c r="B2594" t="s">
        <v>685</v>
      </c>
      <c r="C2594" t="s">
        <v>9080</v>
      </c>
      <c r="D2594" t="s">
        <v>332</v>
      </c>
      <c r="E2594" t="s">
        <v>9081</v>
      </c>
      <c r="F2594" t="s">
        <v>180</v>
      </c>
      <c r="G2594" t="str">
        <f>HYPERLINK("https://telesputnik.ru/forum/viewtopic.php?f=36&amp;t=42382&amp;start=37780#p2480091")</f>
        <v>https://telesputnik.ru/forum/viewtopic.php?f=36&amp;t=42382&amp;start=37780#p2480091</v>
      </c>
      <c r="H2594" t="s">
        <v>119</v>
      </c>
      <c r="I2594" t="s">
        <v>9082</v>
      </c>
      <c r="J2594" t="str">
        <f>HYPERLINK("https://telesputnik.ru/forum/memberlist.php?mode=viewprofile&amp;u=48829")</f>
        <v>https://telesputnik.ru/forum/memberlist.php?mode=viewprofile&amp;u=48829</v>
      </c>
      <c r="N2594" t="s">
        <v>335</v>
      </c>
      <c r="O2594" t="s">
        <v>336</v>
      </c>
      <c r="P2594" t="str">
        <f>HYPERLINK("https://telesputnik.ru/forum/viewforum.php?f=11")</f>
        <v>https://telesputnik.ru/forum/viewforum.php?f=11</v>
      </c>
      <c r="R2594" t="s">
        <v>295</v>
      </c>
      <c r="S2594" t="s">
        <v>125</v>
      </c>
      <c r="AM2594" t="s">
        <v>129</v>
      </c>
      <c r="AN2594" t="s">
        <v>130</v>
      </c>
      <c r="AP2594" t="s">
        <v>41</v>
      </c>
      <c r="AU2594" t="s">
        <v>46</v>
      </c>
      <c r="AY2594" t="s">
        <v>50</v>
      </c>
      <c r="AZ2594" t="s">
        <v>51</v>
      </c>
      <c r="BA2594" t="s">
        <v>52</v>
      </c>
    </row>
    <row r="2595" spans="1:69" x14ac:dyDescent="0.2">
      <c r="A2595" t="s">
        <v>8757</v>
      </c>
      <c r="B2595" t="s">
        <v>8699</v>
      </c>
      <c r="C2595" t="s">
        <v>9083</v>
      </c>
      <c r="D2595" t="s">
        <v>9058</v>
      </c>
      <c r="E2595" t="s">
        <v>9084</v>
      </c>
      <c r="F2595" t="s">
        <v>118</v>
      </c>
      <c r="G2595" t="str">
        <f>HYPERLINK("https://vk.com/wall-27863223_291571?w=wall-27863223_291571_r291594")</f>
        <v>https://vk.com/wall-27863223_291571?w=wall-27863223_291571_r291594</v>
      </c>
      <c r="H2595" t="s">
        <v>119</v>
      </c>
      <c r="I2595" t="s">
        <v>1111</v>
      </c>
      <c r="J2595" t="str">
        <f>HYPERLINK("http://vk.com/id575539922")</f>
        <v>http://vk.com/id575539922</v>
      </c>
      <c r="K2595">
        <v>12</v>
      </c>
      <c r="L2595" t="s">
        <v>121</v>
      </c>
      <c r="M2595">
        <v>54</v>
      </c>
      <c r="N2595" t="s">
        <v>122</v>
      </c>
      <c r="O2595" t="s">
        <v>175</v>
      </c>
      <c r="P2595" t="str">
        <f>HYPERLINK("http://vk.com/club27863223")</f>
        <v>http://vk.com/club27863223</v>
      </c>
      <c r="Q2595">
        <v>134698</v>
      </c>
      <c r="R2595" t="s">
        <v>124</v>
      </c>
      <c r="S2595" t="s">
        <v>125</v>
      </c>
      <c r="T2595" t="s">
        <v>627</v>
      </c>
      <c r="U2595" t="s">
        <v>1112</v>
      </c>
      <c r="W2595">
        <v>0</v>
      </c>
      <c r="X2595">
        <v>0</v>
      </c>
      <c r="AM2595" t="s">
        <v>129</v>
      </c>
      <c r="AN2595" t="s">
        <v>130</v>
      </c>
      <c r="AP2595" t="s">
        <v>41</v>
      </c>
      <c r="AU2595" t="s">
        <v>46</v>
      </c>
      <c r="AZ2595" t="s">
        <v>51</v>
      </c>
      <c r="BA2595" t="s">
        <v>52</v>
      </c>
    </row>
    <row r="2596" spans="1:69" x14ac:dyDescent="0.2">
      <c r="A2596" t="s">
        <v>8757</v>
      </c>
      <c r="B2596" t="s">
        <v>9085</v>
      </c>
      <c r="C2596" t="s">
        <v>9086</v>
      </c>
      <c r="D2596" t="s">
        <v>8714</v>
      </c>
      <c r="E2596" t="s">
        <v>9087</v>
      </c>
      <c r="F2596" t="s">
        <v>118</v>
      </c>
      <c r="G2596" t="str">
        <f>HYPERLINK("https://vk.com/wall-22935147_368292?reply=368298")</f>
        <v>https://vk.com/wall-22935147_368292?reply=368298</v>
      </c>
      <c r="H2596" t="s">
        <v>119</v>
      </c>
      <c r="I2596" t="s">
        <v>6292</v>
      </c>
      <c r="J2596" t="str">
        <f>HYPERLINK("http://vk.com/id288573547")</f>
        <v>http://vk.com/id288573547</v>
      </c>
      <c r="K2596">
        <v>83</v>
      </c>
      <c r="L2596" t="s">
        <v>121</v>
      </c>
      <c r="N2596" t="s">
        <v>122</v>
      </c>
      <c r="O2596" t="s">
        <v>1093</v>
      </c>
      <c r="P2596" t="str">
        <f>HYPERLINK("http://vk.com/club22935147")</f>
        <v>http://vk.com/club22935147</v>
      </c>
      <c r="Q2596">
        <v>8943</v>
      </c>
      <c r="R2596" t="s">
        <v>124</v>
      </c>
      <c r="S2596" t="s">
        <v>125</v>
      </c>
      <c r="T2596" t="s">
        <v>1295</v>
      </c>
      <c r="U2596" t="s">
        <v>6293</v>
      </c>
      <c r="W2596">
        <v>0</v>
      </c>
      <c r="X2596">
        <v>0</v>
      </c>
      <c r="AM2596" t="s">
        <v>129</v>
      </c>
      <c r="AN2596" t="s">
        <v>130</v>
      </c>
      <c r="AP2596" t="s">
        <v>41</v>
      </c>
      <c r="AZ2596" t="s">
        <v>51</v>
      </c>
      <c r="BA2596" t="s">
        <v>52</v>
      </c>
      <c r="BL2596" t="s">
        <v>63</v>
      </c>
    </row>
    <row r="2597" spans="1:69" x14ac:dyDescent="0.2">
      <c r="A2597" t="s">
        <v>8757</v>
      </c>
      <c r="B2597" t="s">
        <v>9088</v>
      </c>
      <c r="C2597" t="s">
        <v>9089</v>
      </c>
      <c r="D2597" t="s">
        <v>9090</v>
      </c>
      <c r="E2597" t="s">
        <v>9091</v>
      </c>
      <c r="F2597" t="s">
        <v>118</v>
      </c>
      <c r="G2597" t="str">
        <f>HYPERLINK("https://vk.com/wall-30852787_6160?reply=6195&amp;thread=6185")</f>
        <v>https://vk.com/wall-30852787_6160?reply=6195&amp;thread=6185</v>
      </c>
      <c r="H2597" t="s">
        <v>119</v>
      </c>
      <c r="I2597" t="s">
        <v>2436</v>
      </c>
      <c r="J2597" t="str">
        <f>HYPERLINK("http://vk.com/id8629942")</f>
        <v>http://vk.com/id8629942</v>
      </c>
      <c r="K2597">
        <v>627</v>
      </c>
      <c r="L2597" t="s">
        <v>121</v>
      </c>
      <c r="N2597" t="s">
        <v>122</v>
      </c>
      <c r="O2597" t="s">
        <v>4370</v>
      </c>
      <c r="P2597" t="str">
        <f>HYPERLINK("http://vk.com/club30852787")</f>
        <v>http://vk.com/club30852787</v>
      </c>
      <c r="Q2597">
        <v>2885</v>
      </c>
      <c r="R2597" t="s">
        <v>124</v>
      </c>
      <c r="S2597" t="s">
        <v>125</v>
      </c>
      <c r="T2597" t="s">
        <v>2521</v>
      </c>
      <c r="U2597" t="s">
        <v>2522</v>
      </c>
      <c r="AM2597" t="s">
        <v>129</v>
      </c>
      <c r="AN2597" t="s">
        <v>130</v>
      </c>
      <c r="AP2597" t="s">
        <v>41</v>
      </c>
      <c r="AW2597" t="s">
        <v>48</v>
      </c>
      <c r="AX2597" t="s">
        <v>49</v>
      </c>
      <c r="AY2597" t="s">
        <v>50</v>
      </c>
      <c r="AZ2597" t="s">
        <v>51</v>
      </c>
      <c r="BA2597" t="s">
        <v>52</v>
      </c>
      <c r="BM2597" t="s">
        <v>64</v>
      </c>
    </row>
    <row r="2598" spans="1:69" x14ac:dyDescent="0.2">
      <c r="A2598" t="s">
        <v>8757</v>
      </c>
      <c r="B2598" t="s">
        <v>7594</v>
      </c>
      <c r="C2598" t="s">
        <v>9092</v>
      </c>
      <c r="D2598" t="s">
        <v>9093</v>
      </c>
      <c r="E2598" t="s">
        <v>9094</v>
      </c>
      <c r="F2598" t="s">
        <v>118</v>
      </c>
      <c r="G2598" t="str">
        <f>HYPERLINK("https://www.facebook.com/story.php?story_fbid=2324596577670735&amp;id=100003612464095&amp;comment_id=2326710267459366&amp;reply_comment_id=2326866764110383")</f>
        <v>https://www.facebook.com/story.php?story_fbid=2324596577670735&amp;id=100003612464095&amp;comment_id=2326710267459366&amp;reply_comment_id=2326866764110383</v>
      </c>
      <c r="H2598" t="s">
        <v>119</v>
      </c>
      <c r="I2598" t="s">
        <v>695</v>
      </c>
      <c r="J2598" t="str">
        <f>HYPERLINK("https://www.facebook.com/100002360413124")</f>
        <v>https://www.facebook.com/100002360413124</v>
      </c>
      <c r="K2598">
        <v>5211</v>
      </c>
      <c r="L2598" t="s">
        <v>121</v>
      </c>
      <c r="N2598" t="s">
        <v>305</v>
      </c>
      <c r="O2598" t="s">
        <v>9095</v>
      </c>
      <c r="P2598" t="str">
        <f>HYPERLINK("https://www.facebook.com/100003612464095")</f>
        <v>https://www.facebook.com/100003612464095</v>
      </c>
      <c r="Q2598">
        <v>4723</v>
      </c>
      <c r="R2598" t="s">
        <v>124</v>
      </c>
      <c r="S2598" t="s">
        <v>125</v>
      </c>
      <c r="T2598" t="s">
        <v>372</v>
      </c>
      <c r="U2598" t="s">
        <v>373</v>
      </c>
      <c r="W2598">
        <v>0</v>
      </c>
      <c r="X2598">
        <v>0</v>
      </c>
      <c r="AE2598">
        <v>0</v>
      </c>
      <c r="AM2598" t="s">
        <v>129</v>
      </c>
      <c r="AN2598" t="s">
        <v>130</v>
      </c>
      <c r="AP2598" t="s">
        <v>41</v>
      </c>
      <c r="AU2598" t="s">
        <v>46</v>
      </c>
      <c r="AZ2598" t="s">
        <v>51</v>
      </c>
      <c r="BA2598" t="s">
        <v>52</v>
      </c>
    </row>
    <row r="2599" spans="1:69" x14ac:dyDescent="0.2">
      <c r="A2599" t="s">
        <v>8757</v>
      </c>
      <c r="B2599" t="s">
        <v>4000</v>
      </c>
      <c r="C2599" t="s">
        <v>8574</v>
      </c>
      <c r="D2599" t="s">
        <v>8572</v>
      </c>
      <c r="E2599" t="s">
        <v>4761</v>
      </c>
      <c r="F2599" t="s">
        <v>118</v>
      </c>
      <c r="G2599" t="str">
        <f>HYPERLINK("https://www.wildberries.ru/catalog/13662835/detail.aspx?targetUrl=ES#Comments")</f>
        <v>https://www.wildberries.ru/catalog/13662835/detail.aspx?targetUrl=ES#Comments</v>
      </c>
      <c r="H2599" t="s">
        <v>119</v>
      </c>
      <c r="I2599" t="s">
        <v>3023</v>
      </c>
      <c r="J2599" t="str">
        <f>HYPERLINK("https://www.wildberries.ru/brands/trikolor")</f>
        <v>https://www.wildberries.ru/brands/trikolor</v>
      </c>
      <c r="L2599" t="s">
        <v>340</v>
      </c>
      <c r="N2599" t="s">
        <v>534</v>
      </c>
      <c r="O2599" t="s">
        <v>8572</v>
      </c>
      <c r="P2599" t="str">
        <f>HYPERLINK("https://www.wildberries.ru/catalog/10231193/detail.aspx")</f>
        <v>https://www.wildberries.ru/catalog/10231193/detail.aspx</v>
      </c>
      <c r="R2599" t="s">
        <v>184</v>
      </c>
      <c r="S2599" t="s">
        <v>125</v>
      </c>
      <c r="AM2599" t="s">
        <v>129</v>
      </c>
      <c r="AN2599" t="s">
        <v>130</v>
      </c>
      <c r="BI2599" t="s">
        <v>60</v>
      </c>
    </row>
    <row r="2600" spans="1:69" x14ac:dyDescent="0.2">
      <c r="A2600" t="s">
        <v>8757</v>
      </c>
      <c r="B2600" t="s">
        <v>1827</v>
      </c>
      <c r="C2600" t="s">
        <v>9096</v>
      </c>
      <c r="D2600" t="s">
        <v>9058</v>
      </c>
      <c r="E2600" t="s">
        <v>9097</v>
      </c>
      <c r="F2600" t="s">
        <v>118</v>
      </c>
      <c r="G2600" t="str">
        <f>HYPERLINK("https://vk.com/wall-27863223_291571?w=wall-27863223_291571_r291593")</f>
        <v>https://vk.com/wall-27863223_291571?w=wall-27863223_291571_r291593</v>
      </c>
      <c r="H2600" t="s">
        <v>228</v>
      </c>
      <c r="I2600" t="s">
        <v>9098</v>
      </c>
      <c r="J2600" t="str">
        <f>HYPERLINK("http://vk.com/id247296779")</f>
        <v>http://vk.com/id247296779</v>
      </c>
      <c r="K2600">
        <v>205</v>
      </c>
      <c r="N2600" t="s">
        <v>122</v>
      </c>
      <c r="O2600" t="s">
        <v>175</v>
      </c>
      <c r="P2600" t="str">
        <f>HYPERLINK("http://vk.com/club27863223")</f>
        <v>http://vk.com/club27863223</v>
      </c>
      <c r="Q2600">
        <v>134698</v>
      </c>
      <c r="R2600" t="s">
        <v>124</v>
      </c>
      <c r="S2600" t="s">
        <v>125</v>
      </c>
      <c r="W2600">
        <v>0</v>
      </c>
      <c r="X2600">
        <v>0</v>
      </c>
      <c r="AM2600" t="s">
        <v>129</v>
      </c>
      <c r="AN2600" t="s">
        <v>130</v>
      </c>
      <c r="AP2600" t="s">
        <v>41</v>
      </c>
      <c r="AU2600" t="s">
        <v>46</v>
      </c>
      <c r="AZ2600" t="s">
        <v>51</v>
      </c>
      <c r="BA2600" t="s">
        <v>52</v>
      </c>
    </row>
    <row r="2601" spans="1:69" x14ac:dyDescent="0.2">
      <c r="A2601" t="s">
        <v>8757</v>
      </c>
      <c r="B2601" t="s">
        <v>9099</v>
      </c>
      <c r="C2601" t="s">
        <v>9100</v>
      </c>
      <c r="D2601" t="s">
        <v>9101</v>
      </c>
      <c r="E2601" t="s">
        <v>9102</v>
      </c>
      <c r="F2601" t="s">
        <v>118</v>
      </c>
      <c r="G2601" t="str">
        <f>HYPERLINK("https://www.youtube.com/watch?v=_XlOjxk45Ac&amp;lc=UgylIXI1fkughq0QWoF4AaABAg")</f>
        <v>https://www.youtube.com/watch?v=_XlOjxk45Ac&amp;lc=UgylIXI1fkughq0QWoF4AaABAg</v>
      </c>
      <c r="H2601" t="s">
        <v>119</v>
      </c>
      <c r="I2601" t="s">
        <v>9103</v>
      </c>
      <c r="J2601" t="str">
        <f>HYPERLINK("https://www.youtube.com/channel/UCN7UtzdvRCcKTKIEwxIXK-A")</f>
        <v>https://www.youtube.com/channel/UCN7UtzdvRCcKTKIEwxIXK-A</v>
      </c>
      <c r="K2601">
        <v>5</v>
      </c>
      <c r="L2601" t="s">
        <v>121</v>
      </c>
      <c r="N2601" t="s">
        <v>248</v>
      </c>
      <c r="O2601" t="s">
        <v>1910</v>
      </c>
      <c r="P2601" t="str">
        <f>HYPERLINK("https://www.youtube.com/channel/UCQgd9Ks9oBckRf9hadmZFdA")</f>
        <v>https://www.youtube.com/channel/UCQgd9Ks9oBckRf9hadmZFdA</v>
      </c>
      <c r="Q2601">
        <v>66700</v>
      </c>
      <c r="R2601" t="s">
        <v>124</v>
      </c>
      <c r="S2601" t="s">
        <v>125</v>
      </c>
      <c r="W2601">
        <v>0</v>
      </c>
      <c r="X2601">
        <v>0</v>
      </c>
      <c r="AE2601">
        <v>0</v>
      </c>
      <c r="AM2601" t="s">
        <v>129</v>
      </c>
      <c r="AN2601" t="s">
        <v>130</v>
      </c>
      <c r="AP2601" t="s">
        <v>41</v>
      </c>
      <c r="AT2601" t="s">
        <v>45</v>
      </c>
      <c r="AZ2601" t="s">
        <v>51</v>
      </c>
      <c r="BB2601" t="s">
        <v>53</v>
      </c>
    </row>
    <row r="2602" spans="1:69" x14ac:dyDescent="0.2">
      <c r="A2602" t="s">
        <v>8757</v>
      </c>
      <c r="B2602" t="s">
        <v>8718</v>
      </c>
      <c r="C2602" t="s">
        <v>9104</v>
      </c>
      <c r="D2602" t="s">
        <v>9105</v>
      </c>
      <c r="E2602" t="s">
        <v>9106</v>
      </c>
      <c r="F2602" t="s">
        <v>118</v>
      </c>
      <c r="G2602" t="str">
        <f>HYPERLINK("https://vk.com/wall-189295725_86?reply=88&amp;thread=87")</f>
        <v>https://vk.com/wall-189295725_86?reply=88&amp;thread=87</v>
      </c>
      <c r="H2602" t="s">
        <v>119</v>
      </c>
      <c r="I2602" t="s">
        <v>9107</v>
      </c>
      <c r="J2602" t="str">
        <f>HYPERLINK("http://vk.com/id26106517")</f>
        <v>http://vk.com/id26106517</v>
      </c>
      <c r="K2602">
        <v>618</v>
      </c>
      <c r="L2602" t="s">
        <v>121</v>
      </c>
      <c r="N2602" t="s">
        <v>122</v>
      </c>
      <c r="O2602" t="s">
        <v>9108</v>
      </c>
      <c r="P2602" t="str">
        <f>HYPERLINK("http://vk.com/club189295725")</f>
        <v>http://vk.com/club189295725</v>
      </c>
      <c r="Q2602">
        <v>64</v>
      </c>
      <c r="R2602" t="s">
        <v>124</v>
      </c>
      <c r="S2602" t="s">
        <v>125</v>
      </c>
      <c r="AM2602" t="s">
        <v>129</v>
      </c>
      <c r="AN2602" t="s">
        <v>130</v>
      </c>
      <c r="AP2602" t="s">
        <v>41</v>
      </c>
      <c r="AY2602" t="s">
        <v>50</v>
      </c>
      <c r="AZ2602" t="s">
        <v>51</v>
      </c>
      <c r="BA2602" t="s">
        <v>52</v>
      </c>
    </row>
    <row r="2603" spans="1:69" x14ac:dyDescent="0.2">
      <c r="A2603" t="s">
        <v>8757</v>
      </c>
      <c r="B2603" t="s">
        <v>9109</v>
      </c>
      <c r="C2603" t="s">
        <v>9110</v>
      </c>
      <c r="D2603" t="s">
        <v>9105</v>
      </c>
      <c r="E2603" t="s">
        <v>9111</v>
      </c>
      <c r="F2603" t="s">
        <v>118</v>
      </c>
      <c r="G2603" t="str">
        <f>HYPERLINK("https://vk.com/wall-189295725_86?reply=87")</f>
        <v>https://vk.com/wall-189295725_86?reply=87</v>
      </c>
      <c r="H2603" t="s">
        <v>119</v>
      </c>
      <c r="I2603" t="s">
        <v>9112</v>
      </c>
      <c r="J2603" t="str">
        <f>HYPERLINK("http://vk.com/id552209953")</f>
        <v>http://vk.com/id552209953</v>
      </c>
      <c r="L2603" t="s">
        <v>151</v>
      </c>
      <c r="N2603" t="s">
        <v>122</v>
      </c>
      <c r="O2603" t="s">
        <v>9108</v>
      </c>
      <c r="P2603" t="str">
        <f>HYPERLINK("http://vk.com/club189295725")</f>
        <v>http://vk.com/club189295725</v>
      </c>
      <c r="Q2603">
        <v>64</v>
      </c>
      <c r="R2603" t="s">
        <v>124</v>
      </c>
      <c r="S2603" t="s">
        <v>125</v>
      </c>
      <c r="T2603" t="s">
        <v>2566</v>
      </c>
      <c r="U2603" t="s">
        <v>9113</v>
      </c>
      <c r="AM2603" t="s">
        <v>129</v>
      </c>
      <c r="AN2603" t="s">
        <v>130</v>
      </c>
      <c r="AP2603" t="s">
        <v>41</v>
      </c>
      <c r="AU2603" t="s">
        <v>46</v>
      </c>
      <c r="BA2603" t="s">
        <v>52</v>
      </c>
      <c r="BE2603" t="s">
        <v>56</v>
      </c>
    </row>
    <row r="2604" spans="1:69" x14ac:dyDescent="0.2">
      <c r="A2604" t="s">
        <v>8757</v>
      </c>
      <c r="B2604" t="s">
        <v>4503</v>
      </c>
      <c r="C2604" t="s">
        <v>9114</v>
      </c>
      <c r="D2604" t="s">
        <v>3603</v>
      </c>
      <c r="E2604" t="s">
        <v>9115</v>
      </c>
      <c r="F2604" t="s">
        <v>180</v>
      </c>
      <c r="G2604" t="str">
        <f>HYPERLINK("https://www.ozon.ru/context/detail/id/240959108/#58592921")</f>
        <v>https://www.ozon.ru/context/detail/id/240959108/#58592921</v>
      </c>
      <c r="H2604" t="s">
        <v>181</v>
      </c>
      <c r="I2604" t="s">
        <v>9116</v>
      </c>
      <c r="J2604" t="str">
        <f>HYPERLINK("https://www.ozon.ru/context/client_opinion/ClientGuid/0f615a8b-bb0a-43b7-823d-8930668b7988/")</f>
        <v>https://www.ozon.ru/context/client_opinion/ClientGuid/0f615a8b-bb0a-43b7-823d-8930668b7988/</v>
      </c>
      <c r="L2604" t="s">
        <v>151</v>
      </c>
      <c r="N2604" t="s">
        <v>183</v>
      </c>
      <c r="O2604" t="s">
        <v>3603</v>
      </c>
      <c r="P2604" t="str">
        <f>HYPERLINK("https://www.ozon.ru/context/detail/id/240959108/")</f>
        <v>https://www.ozon.ru/context/detail/id/240959108/</v>
      </c>
      <c r="R2604" t="s">
        <v>184</v>
      </c>
      <c r="S2604" t="s">
        <v>125</v>
      </c>
      <c r="W2604">
        <v>0</v>
      </c>
      <c r="X2604">
        <v>0</v>
      </c>
      <c r="AH2604">
        <v>5</v>
      </c>
      <c r="AJ2604" t="s">
        <v>129</v>
      </c>
      <c r="AK2604" t="s">
        <v>129</v>
      </c>
      <c r="AL2604" t="str">
        <f>HYPERLINK("https://cdn1.ozone.ru/s3/rp-photo-2/469c8181-1fda-4e6f-96b6-6d3c6e400b31.jpeg")</f>
        <v>https://cdn1.ozone.ru/s3/rp-photo-2/469c8181-1fda-4e6f-96b6-6d3c6e400b31.jpeg</v>
      </c>
      <c r="AM2604" t="s">
        <v>129</v>
      </c>
      <c r="AN2604" t="s">
        <v>130</v>
      </c>
      <c r="AP2604" t="s">
        <v>41</v>
      </c>
      <c r="AZ2604" t="s">
        <v>51</v>
      </c>
      <c r="BA2604" t="s">
        <v>52</v>
      </c>
      <c r="BK2604" t="s">
        <v>62</v>
      </c>
      <c r="BL2604" t="s">
        <v>63</v>
      </c>
    </row>
    <row r="2605" spans="1:69" x14ac:dyDescent="0.2">
      <c r="A2605" t="s">
        <v>8757</v>
      </c>
      <c r="B2605" t="s">
        <v>9117</v>
      </c>
      <c r="C2605" t="s">
        <v>9118</v>
      </c>
      <c r="D2605" t="s">
        <v>204</v>
      </c>
      <c r="E2605" t="s">
        <v>9119</v>
      </c>
      <c r="F2605" t="s">
        <v>180</v>
      </c>
      <c r="G2605" t="str">
        <f>HYPERLINK("https://play.google.com/store/apps/details?id=ru.iflex.android.a3colortv&amp;reviewId=gp:AOqpTOEjOZeVZHTEf4hiOhvjgQguXlCXx6zR85wOSputK9Xw9N4jrvEDOMml_vynEDOlJzAhGPjDu0nHUqWzkw")</f>
        <v>https://play.google.com/store/apps/details?id=ru.iflex.android.a3colortv&amp;reviewId=gp:AOqpTOEjOZeVZHTEf4hiOhvjgQguXlCXx6zR85wOSputK9Xw9N4jrvEDOMml_vynEDOlJzAhGPjDu0nHUqWzkw</v>
      </c>
      <c r="H2605" t="s">
        <v>181</v>
      </c>
      <c r="I2605" t="s">
        <v>9120</v>
      </c>
      <c r="J2605" t="str">
        <f>HYPERLINK("https://plus.google.com/117597945721557526988")</f>
        <v>https://plus.google.com/117597945721557526988</v>
      </c>
      <c r="K2605">
        <v>0</v>
      </c>
      <c r="L2605" t="s">
        <v>121</v>
      </c>
      <c r="N2605" t="s">
        <v>207</v>
      </c>
      <c r="O2605" t="s">
        <v>204</v>
      </c>
      <c r="P2605" t="str">
        <f>HYPERLINK("https://play.google.com/store/apps/details?id=ru.iflex.android.a3colortv&amp;hl=ru")</f>
        <v>https://play.google.com/store/apps/details?id=ru.iflex.android.a3colortv&amp;hl=ru</v>
      </c>
      <c r="R2605" t="s">
        <v>184</v>
      </c>
      <c r="S2605" t="s">
        <v>125</v>
      </c>
      <c r="W2605">
        <v>0</v>
      </c>
      <c r="X2605">
        <v>0</v>
      </c>
      <c r="AH2605">
        <v>5</v>
      </c>
      <c r="AM2605" t="s">
        <v>129</v>
      </c>
      <c r="AN2605" t="s">
        <v>130</v>
      </c>
      <c r="AP2605" t="s">
        <v>41</v>
      </c>
      <c r="AZ2605" t="s">
        <v>51</v>
      </c>
      <c r="BA2605" t="s">
        <v>52</v>
      </c>
      <c r="BQ2605" t="s">
        <v>68</v>
      </c>
    </row>
    <row r="2606" spans="1:69" x14ac:dyDescent="0.2">
      <c r="A2606" t="s">
        <v>8757</v>
      </c>
      <c r="B2606" t="s">
        <v>8379</v>
      </c>
      <c r="C2606" t="s">
        <v>9121</v>
      </c>
      <c r="D2606" t="s">
        <v>9122</v>
      </c>
      <c r="E2606" t="s">
        <v>9123</v>
      </c>
      <c r="F2606" t="s">
        <v>118</v>
      </c>
      <c r="G2606" t="str">
        <f>HYPERLINK("https://vk.com/wall-62933593_755482?reply=755633")</f>
        <v>https://vk.com/wall-62933593_755482?reply=755633</v>
      </c>
      <c r="H2606" t="s">
        <v>181</v>
      </c>
      <c r="I2606" t="s">
        <v>9124</v>
      </c>
      <c r="J2606" t="str">
        <f>HYPERLINK("http://vk.com/id306724112")</f>
        <v>http://vk.com/id306724112</v>
      </c>
      <c r="K2606">
        <v>191</v>
      </c>
      <c r="L2606" t="s">
        <v>151</v>
      </c>
      <c r="N2606" t="s">
        <v>122</v>
      </c>
      <c r="O2606" t="s">
        <v>9125</v>
      </c>
      <c r="P2606" t="str">
        <f>HYPERLINK("http://vk.com/club62933593")</f>
        <v>http://vk.com/club62933593</v>
      </c>
      <c r="Q2606">
        <v>27866</v>
      </c>
      <c r="R2606" t="s">
        <v>124</v>
      </c>
      <c r="S2606" t="s">
        <v>125</v>
      </c>
      <c r="T2606" t="s">
        <v>2455</v>
      </c>
      <c r="U2606" t="s">
        <v>9126</v>
      </c>
      <c r="AM2606" t="s">
        <v>129</v>
      </c>
      <c r="AN2606" t="s">
        <v>130</v>
      </c>
      <c r="AP2606" t="s">
        <v>41</v>
      </c>
      <c r="AY2606" t="s">
        <v>50</v>
      </c>
      <c r="AZ2606" t="s">
        <v>51</v>
      </c>
      <c r="BA2606" t="s">
        <v>52</v>
      </c>
    </row>
    <row r="2607" spans="1:69" x14ac:dyDescent="0.2">
      <c r="A2607" t="s">
        <v>9127</v>
      </c>
      <c r="B2607" t="s">
        <v>1238</v>
      </c>
      <c r="C2607" t="s">
        <v>9128</v>
      </c>
      <c r="D2607" t="s">
        <v>8714</v>
      </c>
      <c r="E2607" t="s">
        <v>9129</v>
      </c>
      <c r="F2607" t="s">
        <v>118</v>
      </c>
      <c r="G2607" t="str">
        <f>HYPERLINK("https://vk.com/wall-22935147_368292?w=wall-22935147_368292_r368294")</f>
        <v>https://vk.com/wall-22935147_368292?w=wall-22935147_368292_r368294</v>
      </c>
      <c r="H2607" t="s">
        <v>181</v>
      </c>
      <c r="I2607" t="s">
        <v>6887</v>
      </c>
      <c r="J2607" t="str">
        <f>HYPERLINK("http://vk.com/id358374226")</f>
        <v>http://vk.com/id358374226</v>
      </c>
      <c r="K2607">
        <v>3</v>
      </c>
      <c r="L2607" t="s">
        <v>121</v>
      </c>
      <c r="M2607">
        <v>119</v>
      </c>
      <c r="N2607" t="s">
        <v>122</v>
      </c>
      <c r="O2607" t="s">
        <v>1093</v>
      </c>
      <c r="P2607" t="str">
        <f>HYPERLINK("http://vk.com/club22935147")</f>
        <v>http://vk.com/club22935147</v>
      </c>
      <c r="Q2607">
        <v>8943</v>
      </c>
      <c r="R2607" t="s">
        <v>124</v>
      </c>
      <c r="S2607" t="s">
        <v>125</v>
      </c>
      <c r="T2607" t="s">
        <v>169</v>
      </c>
      <c r="U2607" t="s">
        <v>169</v>
      </c>
      <c r="W2607">
        <v>0</v>
      </c>
      <c r="X2607">
        <v>0</v>
      </c>
      <c r="AM2607" t="s">
        <v>129</v>
      </c>
      <c r="AN2607" t="s">
        <v>130</v>
      </c>
      <c r="AP2607" t="s">
        <v>41</v>
      </c>
      <c r="AZ2607" t="s">
        <v>51</v>
      </c>
      <c r="BA2607" t="s">
        <v>52</v>
      </c>
      <c r="BL2607" t="s">
        <v>63</v>
      </c>
    </row>
    <row r="2608" spans="1:69" x14ac:dyDescent="0.2">
      <c r="A2608" t="s">
        <v>9127</v>
      </c>
      <c r="B2608" t="s">
        <v>9130</v>
      </c>
      <c r="C2608" t="s">
        <v>9131</v>
      </c>
      <c r="D2608" t="s">
        <v>129</v>
      </c>
      <c r="E2608" t="s">
        <v>9132</v>
      </c>
      <c r="F2608" t="s">
        <v>180</v>
      </c>
      <c r="G2608" t="str">
        <f>HYPERLINK("https://www.facebook.com/vvvvalery/posts/4235194409878398")</f>
        <v>https://www.facebook.com/vvvvalery/posts/4235194409878398</v>
      </c>
      <c r="H2608" t="s">
        <v>119</v>
      </c>
      <c r="I2608" t="s">
        <v>9133</v>
      </c>
      <c r="J2608" t="str">
        <f>HYPERLINK("https://www.facebook.com/100001636413969")</f>
        <v>https://www.facebook.com/100001636413969</v>
      </c>
      <c r="K2608">
        <v>625</v>
      </c>
      <c r="L2608" t="s">
        <v>121</v>
      </c>
      <c r="N2608" t="s">
        <v>305</v>
      </c>
      <c r="O2608" t="s">
        <v>9133</v>
      </c>
      <c r="P2608" t="str">
        <f>HYPERLINK("https://www.facebook.com/100001636413969")</f>
        <v>https://www.facebook.com/100001636413969</v>
      </c>
      <c r="Q2608">
        <v>625</v>
      </c>
      <c r="R2608" t="s">
        <v>124</v>
      </c>
      <c r="S2608" t="s">
        <v>125</v>
      </c>
      <c r="T2608" t="s">
        <v>169</v>
      </c>
      <c r="U2608" t="s">
        <v>169</v>
      </c>
      <c r="W2608">
        <v>6</v>
      </c>
      <c r="X2608">
        <v>2</v>
      </c>
      <c r="Y2608">
        <v>0</v>
      </c>
      <c r="Z2608">
        <v>0</v>
      </c>
      <c r="AA2608">
        <v>3</v>
      </c>
      <c r="AB2608">
        <v>1</v>
      </c>
      <c r="AC2608">
        <v>0</v>
      </c>
      <c r="AE2608">
        <v>4</v>
      </c>
      <c r="AF2608">
        <v>0</v>
      </c>
      <c r="AM2608" t="s">
        <v>129</v>
      </c>
      <c r="AN2608" t="s">
        <v>130</v>
      </c>
      <c r="AP2608" t="s">
        <v>41</v>
      </c>
      <c r="AU2608" t="s">
        <v>46</v>
      </c>
      <c r="AW2608" t="s">
        <v>48</v>
      </c>
      <c r="AZ2608" t="s">
        <v>51</v>
      </c>
      <c r="BA2608" t="s">
        <v>52</v>
      </c>
      <c r="BM2608" t="s">
        <v>64</v>
      </c>
    </row>
    <row r="2609" spans="1:77" x14ac:dyDescent="0.2">
      <c r="A2609" t="s">
        <v>9127</v>
      </c>
      <c r="B2609" t="s">
        <v>749</v>
      </c>
      <c r="C2609" t="s">
        <v>9134</v>
      </c>
      <c r="D2609" t="s">
        <v>9135</v>
      </c>
      <c r="E2609" t="s">
        <v>9136</v>
      </c>
      <c r="F2609" t="s">
        <v>118</v>
      </c>
      <c r="G2609" t="str">
        <f>HYPERLINK("https://telegram.me/bezm4/31547")</f>
        <v>https://telegram.me/bezm4/31547</v>
      </c>
      <c r="H2609" t="s">
        <v>119</v>
      </c>
      <c r="I2609" t="s">
        <v>9137</v>
      </c>
      <c r="J2609" t="str">
        <f>HYPERLINK("https://telegram.me/1174392551")</f>
        <v>https://telegram.me/1174392551</v>
      </c>
      <c r="L2609" t="s">
        <v>121</v>
      </c>
      <c r="N2609" t="s">
        <v>143</v>
      </c>
      <c r="O2609" t="s">
        <v>9138</v>
      </c>
      <c r="P2609" t="str">
        <f>HYPERLINK("https://telegram.me/bezm4")</f>
        <v>https://telegram.me/bezm4</v>
      </c>
      <c r="Q2609">
        <v>351</v>
      </c>
      <c r="R2609" t="s">
        <v>145</v>
      </c>
      <c r="AM2609" t="s">
        <v>129</v>
      </c>
      <c r="AN2609" t="s">
        <v>130</v>
      </c>
      <c r="AP2609" t="s">
        <v>41</v>
      </c>
      <c r="AT2609" t="s">
        <v>45</v>
      </c>
      <c r="AZ2609" t="s">
        <v>51</v>
      </c>
      <c r="BA2609" t="s">
        <v>52</v>
      </c>
      <c r="BM2609" t="s">
        <v>64</v>
      </c>
    </row>
    <row r="2610" spans="1:77" x14ac:dyDescent="0.2">
      <c r="A2610" t="s">
        <v>9127</v>
      </c>
      <c r="B2610" t="s">
        <v>4982</v>
      </c>
      <c r="C2610" t="s">
        <v>9139</v>
      </c>
      <c r="D2610" t="s">
        <v>9068</v>
      </c>
      <c r="E2610" t="s">
        <v>9140</v>
      </c>
      <c r="F2610" t="s">
        <v>118</v>
      </c>
      <c r="G2610" t="str">
        <f>HYPERLINK("https://vk.com/wall-101965347_383124?reply=383176&amp;thread=383148")</f>
        <v>https://vk.com/wall-101965347_383124?reply=383176&amp;thread=383148</v>
      </c>
      <c r="H2610" t="s">
        <v>181</v>
      </c>
      <c r="I2610" t="s">
        <v>9141</v>
      </c>
      <c r="J2610" t="str">
        <f>HYPERLINK("http://vk.com/id42348208")</f>
        <v>http://vk.com/id42348208</v>
      </c>
      <c r="K2610">
        <v>420</v>
      </c>
      <c r="L2610" t="s">
        <v>121</v>
      </c>
      <c r="N2610" t="s">
        <v>122</v>
      </c>
      <c r="O2610" t="s">
        <v>9071</v>
      </c>
      <c r="P2610" t="str">
        <f>HYPERLINK("http://vk.com/club101965347")</f>
        <v>http://vk.com/club101965347</v>
      </c>
      <c r="Q2610">
        <v>390919</v>
      </c>
      <c r="R2610" t="s">
        <v>124</v>
      </c>
      <c r="S2610" t="s">
        <v>125</v>
      </c>
      <c r="AM2610" t="s">
        <v>129</v>
      </c>
      <c r="AN2610" t="s">
        <v>130</v>
      </c>
      <c r="AP2610" t="s">
        <v>41</v>
      </c>
      <c r="AY2610" t="s">
        <v>50</v>
      </c>
      <c r="AZ2610" t="s">
        <v>51</v>
      </c>
      <c r="BB2610" t="s">
        <v>53</v>
      </c>
    </row>
    <row r="2611" spans="1:77" x14ac:dyDescent="0.2">
      <c r="A2611" t="s">
        <v>9127</v>
      </c>
      <c r="B2611" t="s">
        <v>1852</v>
      </c>
      <c r="C2611" t="s">
        <v>9142</v>
      </c>
      <c r="D2611" t="s">
        <v>9143</v>
      </c>
      <c r="E2611" t="s">
        <v>9144</v>
      </c>
      <c r="F2611" t="s">
        <v>118</v>
      </c>
      <c r="G2611" t="str">
        <f>HYPERLINK("https://vk.com/wall-41485889_769288?reply=770268")</f>
        <v>https://vk.com/wall-41485889_769288?reply=770268</v>
      </c>
      <c r="H2611" t="s">
        <v>181</v>
      </c>
      <c r="I2611" t="s">
        <v>9145</v>
      </c>
      <c r="J2611" t="str">
        <f>HYPERLINK("http://vk.com/id97454")</f>
        <v>http://vk.com/id97454</v>
      </c>
      <c r="K2611">
        <v>1149</v>
      </c>
      <c r="L2611" t="s">
        <v>121</v>
      </c>
      <c r="N2611" t="s">
        <v>122</v>
      </c>
      <c r="O2611" t="s">
        <v>9146</v>
      </c>
      <c r="P2611" t="str">
        <f>HYPERLINK("http://vk.com/club41485889")</f>
        <v>http://vk.com/club41485889</v>
      </c>
      <c r="Q2611">
        <v>608853</v>
      </c>
      <c r="R2611" t="s">
        <v>124</v>
      </c>
      <c r="S2611" t="s">
        <v>125</v>
      </c>
      <c r="T2611" t="s">
        <v>137</v>
      </c>
      <c r="U2611" t="s">
        <v>137</v>
      </c>
      <c r="AM2611" t="s">
        <v>129</v>
      </c>
      <c r="AN2611" t="s">
        <v>130</v>
      </c>
      <c r="AP2611" t="s">
        <v>41</v>
      </c>
      <c r="AY2611" t="s">
        <v>50</v>
      </c>
      <c r="AZ2611" t="s">
        <v>51</v>
      </c>
      <c r="BB2611" t="s">
        <v>53</v>
      </c>
    </row>
    <row r="2612" spans="1:77" x14ac:dyDescent="0.2">
      <c r="A2612" t="s">
        <v>9127</v>
      </c>
      <c r="B2612" t="s">
        <v>9147</v>
      </c>
      <c r="C2612" t="s">
        <v>9148</v>
      </c>
      <c r="D2612" t="s">
        <v>9068</v>
      </c>
      <c r="E2612" t="s">
        <v>9149</v>
      </c>
      <c r="F2612" t="s">
        <v>118</v>
      </c>
      <c r="G2612" t="str">
        <f>HYPERLINK("https://vk.com/wall-101965347_383124?reply=383175&amp;thread=383148")</f>
        <v>https://vk.com/wall-101965347_383124?reply=383175&amp;thread=383148</v>
      </c>
      <c r="H2612" t="s">
        <v>119</v>
      </c>
      <c r="I2612" t="s">
        <v>9141</v>
      </c>
      <c r="J2612" t="str">
        <f>HYPERLINK("http://vk.com/id42348208")</f>
        <v>http://vk.com/id42348208</v>
      </c>
      <c r="K2612">
        <v>420</v>
      </c>
      <c r="L2612" t="s">
        <v>121</v>
      </c>
      <c r="N2612" t="s">
        <v>122</v>
      </c>
      <c r="O2612" t="s">
        <v>9071</v>
      </c>
      <c r="P2612" t="str">
        <f>HYPERLINK("http://vk.com/club101965347")</f>
        <v>http://vk.com/club101965347</v>
      </c>
      <c r="Q2612">
        <v>390919</v>
      </c>
      <c r="R2612" t="s">
        <v>124</v>
      </c>
      <c r="S2612" t="s">
        <v>125</v>
      </c>
      <c r="AM2612" t="s">
        <v>129</v>
      </c>
      <c r="AN2612" t="s">
        <v>130</v>
      </c>
      <c r="AP2612" t="s">
        <v>41</v>
      </c>
      <c r="AY2612" t="s">
        <v>50</v>
      </c>
      <c r="AZ2612" t="s">
        <v>51</v>
      </c>
      <c r="BB2612" t="s">
        <v>53</v>
      </c>
    </row>
    <row r="2613" spans="1:77" x14ac:dyDescent="0.2">
      <c r="A2613" t="s">
        <v>9127</v>
      </c>
      <c r="B2613" t="s">
        <v>3606</v>
      </c>
      <c r="C2613" t="s">
        <v>9150</v>
      </c>
      <c r="D2613" t="s">
        <v>129</v>
      </c>
      <c r="E2613" t="s">
        <v>8714</v>
      </c>
      <c r="F2613" t="s">
        <v>180</v>
      </c>
      <c r="G2613" t="str">
        <f>HYPERLINK("https://vk.com/wall-22935147_368292")</f>
        <v>https://vk.com/wall-22935147_368292</v>
      </c>
      <c r="H2613" t="s">
        <v>119</v>
      </c>
      <c r="I2613" t="s">
        <v>9056</v>
      </c>
      <c r="J2613" t="str">
        <f>HYPERLINK("http://vk.com/id296263333")</f>
        <v>http://vk.com/id296263333</v>
      </c>
      <c r="K2613">
        <v>10</v>
      </c>
      <c r="L2613" t="s">
        <v>121</v>
      </c>
      <c r="M2613">
        <v>14</v>
      </c>
      <c r="N2613" t="s">
        <v>122</v>
      </c>
      <c r="O2613" t="s">
        <v>1093</v>
      </c>
      <c r="P2613" t="str">
        <f>HYPERLINK("http://vk.com/club22935147")</f>
        <v>http://vk.com/club22935147</v>
      </c>
      <c r="Q2613">
        <v>8943</v>
      </c>
      <c r="R2613" t="s">
        <v>124</v>
      </c>
      <c r="S2613" t="s">
        <v>125</v>
      </c>
      <c r="T2613" t="s">
        <v>169</v>
      </c>
      <c r="U2613" t="s">
        <v>169</v>
      </c>
      <c r="W2613">
        <v>6</v>
      </c>
      <c r="X2613">
        <v>6</v>
      </c>
      <c r="AE2613">
        <v>15</v>
      </c>
      <c r="AF2613">
        <v>0</v>
      </c>
      <c r="AG2613">
        <v>2023</v>
      </c>
      <c r="AM2613" t="s">
        <v>129</v>
      </c>
      <c r="AN2613" t="s">
        <v>130</v>
      </c>
      <c r="AP2613" t="s">
        <v>41</v>
      </c>
      <c r="AZ2613" t="s">
        <v>51</v>
      </c>
      <c r="BA2613" t="s">
        <v>52</v>
      </c>
      <c r="BL2613" t="s">
        <v>63</v>
      </c>
    </row>
    <row r="2614" spans="1:77" x14ac:dyDescent="0.2">
      <c r="A2614" t="s">
        <v>9127</v>
      </c>
      <c r="B2614" t="s">
        <v>1861</v>
      </c>
      <c r="C2614" t="s">
        <v>9151</v>
      </c>
      <c r="D2614" t="s">
        <v>8256</v>
      </c>
      <c r="E2614" t="s">
        <v>9152</v>
      </c>
      <c r="F2614" t="s">
        <v>118</v>
      </c>
      <c r="G2614" t="str">
        <f>HYPERLINK("https://vk.com/wall-200120043_2914?reply=2939")</f>
        <v>https://vk.com/wall-200120043_2914?reply=2939</v>
      </c>
      <c r="H2614" t="s">
        <v>181</v>
      </c>
      <c r="I2614" t="s">
        <v>9153</v>
      </c>
      <c r="J2614" t="str">
        <f>HYPERLINK("http://vk.com/id158055121")</f>
        <v>http://vk.com/id158055121</v>
      </c>
      <c r="K2614">
        <v>302</v>
      </c>
      <c r="L2614" t="s">
        <v>151</v>
      </c>
      <c r="N2614" t="s">
        <v>122</v>
      </c>
      <c r="O2614" t="s">
        <v>8259</v>
      </c>
      <c r="P2614" t="str">
        <f>HYPERLINK("http://vk.com/club200120043")</f>
        <v>http://vk.com/club200120043</v>
      </c>
      <c r="Q2614">
        <v>1362</v>
      </c>
      <c r="R2614" t="s">
        <v>124</v>
      </c>
      <c r="S2614" t="s">
        <v>125</v>
      </c>
      <c r="T2614" t="s">
        <v>667</v>
      </c>
      <c r="U2614" t="s">
        <v>4785</v>
      </c>
      <c r="AM2614" t="s">
        <v>129</v>
      </c>
      <c r="AN2614" t="s">
        <v>130</v>
      </c>
      <c r="AP2614" t="s">
        <v>41</v>
      </c>
      <c r="AX2614" t="s">
        <v>49</v>
      </c>
      <c r="AY2614" t="s">
        <v>50</v>
      </c>
      <c r="AZ2614" t="s">
        <v>51</v>
      </c>
      <c r="BD2614" t="s">
        <v>55</v>
      </c>
    </row>
    <row r="2615" spans="1:77" x14ac:dyDescent="0.2">
      <c r="A2615" t="s">
        <v>9127</v>
      </c>
      <c r="B2615" t="s">
        <v>775</v>
      </c>
      <c r="C2615" t="s">
        <v>9154</v>
      </c>
      <c r="D2615" t="s">
        <v>8913</v>
      </c>
      <c r="E2615" t="s">
        <v>9155</v>
      </c>
      <c r="F2615" t="s">
        <v>118</v>
      </c>
      <c r="G2615" t="str">
        <f>HYPERLINK("https://vk.com/wall-22935147_368282?reply=368291")</f>
        <v>https://vk.com/wall-22935147_368282?reply=368291</v>
      </c>
      <c r="H2615" t="s">
        <v>119</v>
      </c>
      <c r="I2615" t="s">
        <v>1580</v>
      </c>
      <c r="J2615" t="str">
        <f>HYPERLINK("http://vk.com/id412163002")</f>
        <v>http://vk.com/id412163002</v>
      </c>
      <c r="K2615">
        <v>38</v>
      </c>
      <c r="L2615" t="s">
        <v>121</v>
      </c>
      <c r="N2615" t="s">
        <v>122</v>
      </c>
      <c r="O2615" t="s">
        <v>1093</v>
      </c>
      <c r="P2615" t="str">
        <f>HYPERLINK("http://vk.com/club22935147")</f>
        <v>http://vk.com/club22935147</v>
      </c>
      <c r="Q2615">
        <v>8943</v>
      </c>
      <c r="R2615" t="s">
        <v>124</v>
      </c>
      <c r="S2615" t="s">
        <v>125</v>
      </c>
      <c r="T2615" t="s">
        <v>1466</v>
      </c>
      <c r="U2615" t="s">
        <v>1467</v>
      </c>
      <c r="W2615">
        <v>0</v>
      </c>
      <c r="X2615">
        <v>0</v>
      </c>
      <c r="AM2615" t="s">
        <v>129</v>
      </c>
      <c r="AN2615" t="s">
        <v>130</v>
      </c>
      <c r="AP2615" t="s">
        <v>41</v>
      </c>
      <c r="AZ2615" t="s">
        <v>51</v>
      </c>
      <c r="BA2615" t="s">
        <v>52</v>
      </c>
      <c r="BL2615" t="s">
        <v>63</v>
      </c>
    </row>
    <row r="2616" spans="1:77" x14ac:dyDescent="0.2">
      <c r="A2616" t="s">
        <v>9127</v>
      </c>
      <c r="B2616" t="s">
        <v>787</v>
      </c>
      <c r="C2616" t="s">
        <v>6454</v>
      </c>
      <c r="D2616" t="s">
        <v>4458</v>
      </c>
      <c r="E2616" t="s">
        <v>9156</v>
      </c>
      <c r="F2616" t="s">
        <v>180</v>
      </c>
      <c r="G2616" t="str">
        <f>HYPERLINK("https://www.ozon.ru/context/detail/id/180483130/#58573429")</f>
        <v>https://www.ozon.ru/context/detail/id/180483130/#58573429</v>
      </c>
      <c r="H2616" t="s">
        <v>181</v>
      </c>
      <c r="I2616" t="s">
        <v>9157</v>
      </c>
      <c r="J2616" t="str">
        <f>HYPERLINK("https://www.ozon.ru/context/client_opinion/ClientGuid/800bfd55-dc71-4a4d-bc6a-1e6cd4e59bba/")</f>
        <v>https://www.ozon.ru/context/client_opinion/ClientGuid/800bfd55-dc71-4a4d-bc6a-1e6cd4e59bba/</v>
      </c>
      <c r="L2616" t="s">
        <v>151</v>
      </c>
      <c r="N2616" t="s">
        <v>183</v>
      </c>
      <c r="O2616" t="s">
        <v>4458</v>
      </c>
      <c r="P2616" t="str">
        <f>HYPERLINK("https://www.ozon.ru/context/detail/id/180483130/")</f>
        <v>https://www.ozon.ru/context/detail/id/180483130/</v>
      </c>
      <c r="R2616" t="s">
        <v>184</v>
      </c>
      <c r="S2616" t="s">
        <v>125</v>
      </c>
      <c r="W2616">
        <v>0</v>
      </c>
      <c r="X2616">
        <v>0</v>
      </c>
      <c r="AH2616">
        <v>5</v>
      </c>
      <c r="AM2616" t="s">
        <v>129</v>
      </c>
      <c r="AN2616" t="s">
        <v>130</v>
      </c>
      <c r="AP2616" t="s">
        <v>41</v>
      </c>
      <c r="AZ2616" t="s">
        <v>51</v>
      </c>
      <c r="BA2616" t="s">
        <v>52</v>
      </c>
      <c r="BK2616" t="s">
        <v>62</v>
      </c>
      <c r="BL2616" t="s">
        <v>63</v>
      </c>
    </row>
    <row r="2617" spans="1:77" x14ac:dyDescent="0.2">
      <c r="A2617" t="s">
        <v>9127</v>
      </c>
      <c r="B2617" t="s">
        <v>2309</v>
      </c>
      <c r="C2617" t="s">
        <v>9158</v>
      </c>
      <c r="D2617" t="s">
        <v>204</v>
      </c>
      <c r="E2617" t="s">
        <v>9159</v>
      </c>
      <c r="F2617" t="s">
        <v>180</v>
      </c>
      <c r="G2617" t="str">
        <f>HYPERLINK("https://play.google.com/store/apps/details?id=ru.iflex.android.a3colortv&amp;reviewId=gp:AOqpTOGjhdjBaWrg_pYuyZdu6Oc0D6OU8HmzOikQCjpv7rEUyH18IHFqhJdi4I_GAJC5lt1WxOyzzd2g-5qskQ")</f>
        <v>https://play.google.com/store/apps/details?id=ru.iflex.android.a3colortv&amp;reviewId=gp:AOqpTOGjhdjBaWrg_pYuyZdu6Oc0D6OU8HmzOikQCjpv7rEUyH18IHFqhJdi4I_GAJC5lt1WxOyzzd2g-5qskQ</v>
      </c>
      <c r="H2617" t="s">
        <v>181</v>
      </c>
      <c r="I2617" t="s">
        <v>9160</v>
      </c>
      <c r="J2617" t="str">
        <f>HYPERLINK("https://plus.google.com/110080522807350998924")</f>
        <v>https://plus.google.com/110080522807350998924</v>
      </c>
      <c r="L2617" t="s">
        <v>151</v>
      </c>
      <c r="N2617" t="s">
        <v>207</v>
      </c>
      <c r="O2617" t="s">
        <v>204</v>
      </c>
      <c r="P2617" t="str">
        <f>HYPERLINK("https://play.google.com/store/apps/details?id=ru.iflex.android.a3colortv&amp;hl=ru")</f>
        <v>https://play.google.com/store/apps/details?id=ru.iflex.android.a3colortv&amp;hl=ru</v>
      </c>
      <c r="R2617" t="s">
        <v>184</v>
      </c>
      <c r="S2617" t="s">
        <v>125</v>
      </c>
      <c r="W2617">
        <v>0</v>
      </c>
      <c r="X2617">
        <v>0</v>
      </c>
      <c r="AH2617">
        <v>5</v>
      </c>
      <c r="AM2617" t="s">
        <v>129</v>
      </c>
      <c r="AN2617" t="s">
        <v>130</v>
      </c>
      <c r="AP2617" t="s">
        <v>41</v>
      </c>
      <c r="AZ2617" t="s">
        <v>51</v>
      </c>
      <c r="BA2617" t="s">
        <v>52</v>
      </c>
      <c r="BQ2617" t="s">
        <v>68</v>
      </c>
    </row>
    <row r="2618" spans="1:77" x14ac:dyDescent="0.2">
      <c r="A2618" t="s">
        <v>9127</v>
      </c>
      <c r="B2618" t="s">
        <v>9161</v>
      </c>
      <c r="C2618" t="s">
        <v>5419</v>
      </c>
      <c r="D2618" t="s">
        <v>5038</v>
      </c>
      <c r="E2618" t="s">
        <v>9162</v>
      </c>
      <c r="F2618" t="s">
        <v>180</v>
      </c>
      <c r="G2618" t="str">
        <f>HYPERLINK("https://www.ozon.ru/context/detail/id/216961645/#58571326")</f>
        <v>https://www.ozon.ru/context/detail/id/216961645/#58571326</v>
      </c>
      <c r="H2618" t="s">
        <v>181</v>
      </c>
      <c r="I2618" t="s">
        <v>6276</v>
      </c>
      <c r="J2618" t="str">
        <f>HYPERLINK("https://www.ozon.ru/context/client_opinion/ClientGuid/26337eb7-c636-45b6-87ea-280cd5f9575b/")</f>
        <v>https://www.ozon.ru/context/client_opinion/ClientGuid/26337eb7-c636-45b6-87ea-280cd5f9575b/</v>
      </c>
      <c r="L2618" t="s">
        <v>121</v>
      </c>
      <c r="N2618" t="s">
        <v>183</v>
      </c>
      <c r="O2618" t="s">
        <v>5038</v>
      </c>
      <c r="P2618" t="str">
        <f>HYPERLINK("https://www.ozon.ru/context/detail/id/216961645/")</f>
        <v>https://www.ozon.ru/context/detail/id/216961645/</v>
      </c>
      <c r="R2618" t="s">
        <v>184</v>
      </c>
      <c r="S2618" t="s">
        <v>125</v>
      </c>
      <c r="W2618">
        <v>0</v>
      </c>
      <c r="X2618">
        <v>0</v>
      </c>
      <c r="AH2618">
        <v>5</v>
      </c>
      <c r="AM2618" t="s">
        <v>129</v>
      </c>
      <c r="AN2618" t="s">
        <v>130</v>
      </c>
      <c r="AP2618" t="s">
        <v>41</v>
      </c>
      <c r="AT2618" t="s">
        <v>45</v>
      </c>
      <c r="AY2618" t="s">
        <v>50</v>
      </c>
      <c r="AZ2618" t="s">
        <v>51</v>
      </c>
      <c r="BA2618" t="s">
        <v>52</v>
      </c>
      <c r="BO2618" t="s">
        <v>66</v>
      </c>
    </row>
    <row r="2619" spans="1:77" x14ac:dyDescent="0.2">
      <c r="A2619" t="s">
        <v>9127</v>
      </c>
      <c r="B2619" t="s">
        <v>2903</v>
      </c>
      <c r="C2619" t="s">
        <v>9163</v>
      </c>
      <c r="D2619" t="s">
        <v>129</v>
      </c>
      <c r="E2619" t="s">
        <v>9164</v>
      </c>
      <c r="F2619" t="s">
        <v>180</v>
      </c>
      <c r="G2619" t="str">
        <f>HYPERLINK("https://telegram.me/VoxCommunity/168432")</f>
        <v>https://telegram.me/VoxCommunity/168432</v>
      </c>
      <c r="H2619" t="s">
        <v>228</v>
      </c>
      <c r="I2619" t="s">
        <v>9165</v>
      </c>
      <c r="J2619" t="str">
        <f>HYPERLINK("https://telegram.me/188470020")</f>
        <v>https://telegram.me/188470020</v>
      </c>
      <c r="L2619" t="s">
        <v>121</v>
      </c>
      <c r="N2619" t="s">
        <v>143</v>
      </c>
      <c r="O2619" t="s">
        <v>3438</v>
      </c>
      <c r="P2619" t="str">
        <f>HYPERLINK("https://telegram.me/voxcommunity")</f>
        <v>https://telegram.me/voxcommunity</v>
      </c>
      <c r="Q2619">
        <v>49</v>
      </c>
      <c r="R2619" t="s">
        <v>145</v>
      </c>
      <c r="AM2619" t="s">
        <v>129</v>
      </c>
      <c r="AN2619" t="s">
        <v>130</v>
      </c>
      <c r="AP2619" t="s">
        <v>41</v>
      </c>
      <c r="AU2619" t="s">
        <v>46</v>
      </c>
      <c r="AZ2619" t="s">
        <v>51</v>
      </c>
      <c r="BA2619" t="s">
        <v>52</v>
      </c>
    </row>
    <row r="2620" spans="1:77" x14ac:dyDescent="0.2">
      <c r="A2620" t="s">
        <v>9127</v>
      </c>
      <c r="B2620" t="s">
        <v>4105</v>
      </c>
      <c r="C2620" t="s">
        <v>9166</v>
      </c>
      <c r="D2620" t="s">
        <v>129</v>
      </c>
      <c r="E2620" t="s">
        <v>9167</v>
      </c>
      <c r="F2620" t="s">
        <v>2808</v>
      </c>
      <c r="G2620" t="str">
        <f>HYPERLINK("https://vk.com/wall286061518_21614")</f>
        <v>https://vk.com/wall286061518_21614</v>
      </c>
      <c r="H2620" t="s">
        <v>119</v>
      </c>
      <c r="I2620" t="s">
        <v>254</v>
      </c>
      <c r="J2620" t="str">
        <f>HYPERLINK("http://vk.com/id286061518")</f>
        <v>http://vk.com/id286061518</v>
      </c>
      <c r="K2620">
        <v>5170</v>
      </c>
      <c r="L2620" t="s">
        <v>121</v>
      </c>
      <c r="M2620">
        <v>34</v>
      </c>
      <c r="N2620" t="s">
        <v>122</v>
      </c>
      <c r="O2620" t="s">
        <v>254</v>
      </c>
      <c r="P2620" t="str">
        <f>HYPERLINK("http://vk.com/id286061518")</f>
        <v>http://vk.com/id286061518</v>
      </c>
      <c r="Q2620">
        <v>5170</v>
      </c>
      <c r="R2620" t="s">
        <v>124</v>
      </c>
      <c r="S2620" t="s">
        <v>125</v>
      </c>
      <c r="T2620" t="s">
        <v>256</v>
      </c>
      <c r="U2620" t="s">
        <v>257</v>
      </c>
      <c r="W2620">
        <v>0</v>
      </c>
      <c r="X2620">
        <v>0</v>
      </c>
      <c r="AE2620">
        <v>0</v>
      </c>
      <c r="AF2620">
        <v>1</v>
      </c>
      <c r="AG2620">
        <v>18</v>
      </c>
      <c r="AJ2620" t="s">
        <v>1183</v>
      </c>
      <c r="AK2620" t="s">
        <v>129</v>
      </c>
      <c r="AL2620" t="str">
        <f>HYPERLINK("https://sun9-43.userapi.com/impg/7Misv3K5Eygqo1Pe-t3u1ppIv_CHW1RJz8vbyA/b0kUqWtMkmc.jpg?size=389x397&amp;quality=96&amp;sign=45d04567f2db3eab8c5f5a0532cad24d&amp;c_uniq_tag=oKg5Y25D7-SdEpn2XenxNZC6SZdgGPnQasiMSpnTiss&amp;type=album")</f>
        <v>https://sun9-43.userapi.com/impg/7Misv3K5Eygqo1Pe-t3u1ppIv_CHW1RJz8vbyA/b0kUqWtMkmc.jpg?size=389x397&amp;quality=96&amp;sign=45d04567f2db3eab8c5f5a0532cad24d&amp;c_uniq_tag=oKg5Y25D7-SdEpn2XenxNZC6SZdgGPnQasiMSpnTiss&amp;type=album</v>
      </c>
      <c r="AM2620" t="s">
        <v>129</v>
      </c>
      <c r="AN2620" t="s">
        <v>130</v>
      </c>
      <c r="AP2620" t="s">
        <v>41</v>
      </c>
      <c r="AU2620" t="s">
        <v>46</v>
      </c>
      <c r="AZ2620" t="s">
        <v>51</v>
      </c>
      <c r="BA2620" t="s">
        <v>52</v>
      </c>
    </row>
    <row r="2621" spans="1:77" x14ac:dyDescent="0.2">
      <c r="A2621" t="s">
        <v>9127</v>
      </c>
      <c r="B2621" t="s">
        <v>4120</v>
      </c>
      <c r="C2621" t="s">
        <v>9168</v>
      </c>
      <c r="D2621" t="s">
        <v>7565</v>
      </c>
      <c r="E2621" t="s">
        <v>9169</v>
      </c>
      <c r="F2621" t="s">
        <v>118</v>
      </c>
      <c r="G2621" t="str">
        <f>HYPERLINK("https://vk.com/wall-199277766_720?reply=724")</f>
        <v>https://vk.com/wall-199277766_720?reply=724</v>
      </c>
      <c r="H2621" t="s">
        <v>119</v>
      </c>
      <c r="I2621" t="s">
        <v>254</v>
      </c>
      <c r="J2621" t="str">
        <f>HYPERLINK("http://vk.com/id286061518")</f>
        <v>http://vk.com/id286061518</v>
      </c>
      <c r="K2621">
        <v>5170</v>
      </c>
      <c r="L2621" t="s">
        <v>121</v>
      </c>
      <c r="M2621">
        <v>34</v>
      </c>
      <c r="N2621" t="s">
        <v>122</v>
      </c>
      <c r="O2621" t="s">
        <v>255</v>
      </c>
      <c r="P2621" t="str">
        <f>HYPERLINK("http://vk.com/club199277766")</f>
        <v>http://vk.com/club199277766</v>
      </c>
      <c r="Q2621">
        <v>53</v>
      </c>
      <c r="R2621" t="s">
        <v>124</v>
      </c>
      <c r="S2621" t="s">
        <v>125</v>
      </c>
      <c r="T2621" t="s">
        <v>256</v>
      </c>
      <c r="U2621" t="s">
        <v>257</v>
      </c>
      <c r="AM2621" t="s">
        <v>129</v>
      </c>
      <c r="AN2621" t="s">
        <v>130</v>
      </c>
      <c r="AP2621" t="s">
        <v>41</v>
      </c>
      <c r="BD2621" t="s">
        <v>55</v>
      </c>
      <c r="BE2621" t="s">
        <v>56</v>
      </c>
      <c r="BY2621" t="s">
        <v>76</v>
      </c>
    </row>
    <row r="2622" spans="1:77" x14ac:dyDescent="0.2">
      <c r="A2622" t="s">
        <v>9127</v>
      </c>
      <c r="B2622" t="s">
        <v>6327</v>
      </c>
      <c r="C2622" t="s">
        <v>9170</v>
      </c>
      <c r="D2622" t="s">
        <v>2949</v>
      </c>
      <c r="E2622" t="s">
        <v>9171</v>
      </c>
      <c r="F2622" t="s">
        <v>180</v>
      </c>
      <c r="G2622" t="str">
        <f>HYPERLINK("https://www.ozon.ru/context/detail/id/242437615/#58557508")</f>
        <v>https://www.ozon.ru/context/detail/id/242437615/#58557508</v>
      </c>
      <c r="H2622" t="s">
        <v>119</v>
      </c>
      <c r="I2622" t="s">
        <v>9172</v>
      </c>
      <c r="J2622" t="str">
        <f>HYPERLINK("https://www.ozon.ru/context/client_opinion/ClientGuid/02a6372c-4ae6-4caf-84da-be3c9391869e/")</f>
        <v>https://www.ozon.ru/context/client_opinion/ClientGuid/02a6372c-4ae6-4caf-84da-be3c9391869e/</v>
      </c>
      <c r="L2622" t="s">
        <v>151</v>
      </c>
      <c r="N2622" t="s">
        <v>183</v>
      </c>
      <c r="O2622" t="s">
        <v>2949</v>
      </c>
      <c r="P2622" t="str">
        <f>HYPERLINK("https://www.ozon.ru/context/detail/id/242437615/")</f>
        <v>https://www.ozon.ru/context/detail/id/242437615/</v>
      </c>
      <c r="R2622" t="s">
        <v>184</v>
      </c>
      <c r="S2622" t="s">
        <v>125</v>
      </c>
      <c r="W2622">
        <v>0</v>
      </c>
      <c r="X2622">
        <v>0</v>
      </c>
      <c r="AH2622">
        <v>3</v>
      </c>
      <c r="AM2622" t="s">
        <v>129</v>
      </c>
      <c r="AN2622" t="s">
        <v>130</v>
      </c>
      <c r="AP2622" t="s">
        <v>41</v>
      </c>
      <c r="AT2622" t="s">
        <v>45</v>
      </c>
      <c r="AY2622" t="s">
        <v>50</v>
      </c>
      <c r="AZ2622" t="s">
        <v>51</v>
      </c>
      <c r="BA2622" t="s">
        <v>52</v>
      </c>
      <c r="BL2622" t="s">
        <v>63</v>
      </c>
    </row>
    <row r="2623" spans="1:77" x14ac:dyDescent="0.2">
      <c r="A2623" t="s">
        <v>9127</v>
      </c>
      <c r="B2623" t="s">
        <v>6327</v>
      </c>
      <c r="C2623" t="s">
        <v>9173</v>
      </c>
      <c r="D2623" t="s">
        <v>9174</v>
      </c>
      <c r="E2623" t="s">
        <v>9175</v>
      </c>
      <c r="F2623" t="s">
        <v>180</v>
      </c>
      <c r="G2623" t="str">
        <f>HYPERLINK("https://4pda.to/forum/index.php?showtopic=985387&amp;st=300#entry107913138")</f>
        <v>https://4pda.to/forum/index.php?showtopic=985387&amp;st=300#entry107913138</v>
      </c>
      <c r="H2623" t="s">
        <v>119</v>
      </c>
      <c r="I2623" t="s">
        <v>9176</v>
      </c>
      <c r="J2623" t="str">
        <f>HYPERLINK("https://4pda.to/forum/index.php?showuser=6315985")</f>
        <v>https://4pda.to/forum/index.php?showuser=6315985</v>
      </c>
      <c r="N2623" t="s">
        <v>293</v>
      </c>
      <c r="O2623" t="s">
        <v>7174</v>
      </c>
      <c r="P2623" t="str">
        <f>HYPERLINK("https://4pda.to/forum/index.php?showforum=1076")</f>
        <v>https://4pda.to/forum/index.php?showforum=1076</v>
      </c>
      <c r="R2623" t="s">
        <v>295</v>
      </c>
      <c r="S2623" t="s">
        <v>125</v>
      </c>
      <c r="AM2623" t="s">
        <v>129</v>
      </c>
      <c r="AN2623" t="s">
        <v>130</v>
      </c>
      <c r="AP2623" t="s">
        <v>41</v>
      </c>
      <c r="AT2623" t="s">
        <v>45</v>
      </c>
      <c r="AZ2623" t="s">
        <v>51</v>
      </c>
      <c r="BA2623" t="s">
        <v>52</v>
      </c>
      <c r="BM2623" t="s">
        <v>64</v>
      </c>
    </row>
    <row r="2624" spans="1:77" x14ac:dyDescent="0.2">
      <c r="A2624" t="s">
        <v>9127</v>
      </c>
      <c r="B2624" t="s">
        <v>3664</v>
      </c>
      <c r="C2624" t="s">
        <v>9177</v>
      </c>
      <c r="D2624" t="s">
        <v>9178</v>
      </c>
      <c r="E2624" t="s">
        <v>9179</v>
      </c>
      <c r="F2624" t="s">
        <v>118</v>
      </c>
      <c r="G2624" t="str">
        <f>HYPERLINK("https://vk.com/wall-48410951_559339?reply=559460")</f>
        <v>https://vk.com/wall-48410951_559339?reply=559460</v>
      </c>
      <c r="H2624" t="s">
        <v>119</v>
      </c>
      <c r="I2624" t="s">
        <v>9180</v>
      </c>
      <c r="J2624" t="str">
        <f>HYPERLINK("http://vk.com/id535014228")</f>
        <v>http://vk.com/id535014228</v>
      </c>
      <c r="K2624">
        <v>18</v>
      </c>
      <c r="L2624" t="s">
        <v>121</v>
      </c>
      <c r="M2624">
        <v>20</v>
      </c>
      <c r="N2624" t="s">
        <v>122</v>
      </c>
      <c r="O2624" t="s">
        <v>9181</v>
      </c>
      <c r="P2624" t="str">
        <f>HYPERLINK("http://vk.com/club48410951")</f>
        <v>http://vk.com/club48410951</v>
      </c>
      <c r="Q2624">
        <v>13964</v>
      </c>
      <c r="R2624" t="s">
        <v>124</v>
      </c>
      <c r="S2624" t="s">
        <v>125</v>
      </c>
      <c r="AM2624" t="s">
        <v>129</v>
      </c>
      <c r="AN2624" t="s">
        <v>130</v>
      </c>
      <c r="AP2624" t="s">
        <v>41</v>
      </c>
      <c r="AW2624" t="s">
        <v>48</v>
      </c>
      <c r="AZ2624" t="s">
        <v>51</v>
      </c>
      <c r="BD2624" t="s">
        <v>55</v>
      </c>
      <c r="BM2624" t="s">
        <v>64</v>
      </c>
    </row>
    <row r="2625" spans="1:69" x14ac:dyDescent="0.2">
      <c r="A2625" t="s">
        <v>9127</v>
      </c>
      <c r="B2625" t="s">
        <v>1339</v>
      </c>
      <c r="C2625" t="s">
        <v>9182</v>
      </c>
      <c r="D2625" t="s">
        <v>204</v>
      </c>
      <c r="E2625" t="s">
        <v>9183</v>
      </c>
      <c r="F2625" t="s">
        <v>180</v>
      </c>
      <c r="G2625" t="str">
        <f>HYPERLINK("https://play.google.com/store/apps/details?id=ru.iflex.android.a3colortv&amp;reviewId=gp:AOqpTOFb3-6pzH5WlAYq7O_FcYufJb2kJP6vdJRzEdprbxyrgjPZtbhm1Kao_UW25izsOl7gN-yZp95R9hp-6A")</f>
        <v>https://play.google.com/store/apps/details?id=ru.iflex.android.a3colortv&amp;reviewId=gp:AOqpTOFb3-6pzH5WlAYq7O_FcYufJb2kJP6vdJRzEdprbxyrgjPZtbhm1Kao_UW25izsOl7gN-yZp95R9hp-6A</v>
      </c>
      <c r="H2625" t="s">
        <v>181</v>
      </c>
      <c r="I2625" t="s">
        <v>9184</v>
      </c>
      <c r="J2625" t="str">
        <f>HYPERLINK("https://plus.google.com/110251837892042290302")</f>
        <v>https://plus.google.com/110251837892042290302</v>
      </c>
      <c r="L2625" t="s">
        <v>121</v>
      </c>
      <c r="N2625" t="s">
        <v>207</v>
      </c>
      <c r="O2625" t="s">
        <v>204</v>
      </c>
      <c r="P2625" t="str">
        <f>HYPERLINK("https://play.google.com/store/apps/details?id=ru.iflex.android.a3colortv&amp;hl=ru")</f>
        <v>https://play.google.com/store/apps/details?id=ru.iflex.android.a3colortv&amp;hl=ru</v>
      </c>
      <c r="R2625" t="s">
        <v>184</v>
      </c>
      <c r="S2625" t="s">
        <v>125</v>
      </c>
      <c r="W2625">
        <v>0</v>
      </c>
      <c r="X2625">
        <v>0</v>
      </c>
      <c r="AH2625">
        <v>5</v>
      </c>
      <c r="AM2625" t="s">
        <v>129</v>
      </c>
      <c r="AN2625" t="s">
        <v>130</v>
      </c>
      <c r="AP2625" t="s">
        <v>41</v>
      </c>
      <c r="AZ2625" t="s">
        <v>51</v>
      </c>
      <c r="BA2625" t="s">
        <v>52</v>
      </c>
      <c r="BQ2625" t="s">
        <v>68</v>
      </c>
    </row>
    <row r="2626" spans="1:69" x14ac:dyDescent="0.2">
      <c r="A2626" t="s">
        <v>9127</v>
      </c>
      <c r="B2626" t="s">
        <v>9185</v>
      </c>
      <c r="C2626" t="s">
        <v>9186</v>
      </c>
      <c r="D2626" t="s">
        <v>129</v>
      </c>
      <c r="E2626" t="s">
        <v>9105</v>
      </c>
      <c r="F2626" t="s">
        <v>180</v>
      </c>
      <c r="G2626" t="str">
        <f>HYPERLINK("https://vk.com/wall-189295725_86")</f>
        <v>https://vk.com/wall-189295725_86</v>
      </c>
      <c r="H2626" t="s">
        <v>119</v>
      </c>
      <c r="I2626" t="s">
        <v>9108</v>
      </c>
      <c r="J2626" t="str">
        <f>HYPERLINK("http://vk.com/club189295725")</f>
        <v>http://vk.com/club189295725</v>
      </c>
      <c r="K2626">
        <v>64</v>
      </c>
      <c r="L2626" t="s">
        <v>340</v>
      </c>
      <c r="N2626" t="s">
        <v>122</v>
      </c>
      <c r="O2626" t="s">
        <v>9108</v>
      </c>
      <c r="P2626" t="str">
        <f>HYPERLINK("http://vk.com/club189295725")</f>
        <v>http://vk.com/club189295725</v>
      </c>
      <c r="Q2626">
        <v>64</v>
      </c>
      <c r="R2626" t="s">
        <v>124</v>
      </c>
      <c r="W2626">
        <v>1</v>
      </c>
      <c r="X2626">
        <v>1</v>
      </c>
      <c r="AE2626">
        <v>2</v>
      </c>
      <c r="AF2626">
        <v>0</v>
      </c>
      <c r="AG2626">
        <v>81</v>
      </c>
      <c r="AM2626" t="s">
        <v>129</v>
      </c>
      <c r="AN2626" t="s">
        <v>130</v>
      </c>
      <c r="AP2626" t="s">
        <v>41</v>
      </c>
      <c r="AU2626" t="s">
        <v>46</v>
      </c>
      <c r="AY2626" t="s">
        <v>50</v>
      </c>
      <c r="AZ2626" t="s">
        <v>51</v>
      </c>
      <c r="BA2626" t="s">
        <v>52</v>
      </c>
    </row>
    <row r="2627" spans="1:69" x14ac:dyDescent="0.2">
      <c r="A2627" t="s">
        <v>9127</v>
      </c>
      <c r="B2627" t="s">
        <v>5554</v>
      </c>
      <c r="C2627" t="s">
        <v>9187</v>
      </c>
      <c r="D2627" t="s">
        <v>7565</v>
      </c>
      <c r="E2627" t="s">
        <v>9188</v>
      </c>
      <c r="F2627" t="s">
        <v>118</v>
      </c>
      <c r="G2627" t="str">
        <f>HYPERLINK("https://vk.com/wall-199277766_720?reply=722")</f>
        <v>https://vk.com/wall-199277766_720?reply=722</v>
      </c>
      <c r="H2627" t="s">
        <v>119</v>
      </c>
      <c r="I2627" t="s">
        <v>254</v>
      </c>
      <c r="J2627" t="str">
        <f>HYPERLINK("http://vk.com/id286061518")</f>
        <v>http://vk.com/id286061518</v>
      </c>
      <c r="K2627">
        <v>5170</v>
      </c>
      <c r="L2627" t="s">
        <v>121</v>
      </c>
      <c r="M2627">
        <v>34</v>
      </c>
      <c r="N2627" t="s">
        <v>122</v>
      </c>
      <c r="O2627" t="s">
        <v>255</v>
      </c>
      <c r="P2627" t="str">
        <f>HYPERLINK("http://vk.com/club199277766")</f>
        <v>http://vk.com/club199277766</v>
      </c>
      <c r="Q2627">
        <v>53</v>
      </c>
      <c r="R2627" t="s">
        <v>124</v>
      </c>
      <c r="S2627" t="s">
        <v>125</v>
      </c>
      <c r="T2627" t="s">
        <v>256</v>
      </c>
      <c r="U2627" t="s">
        <v>257</v>
      </c>
      <c r="AM2627" t="s">
        <v>129</v>
      </c>
      <c r="AN2627" t="s">
        <v>130</v>
      </c>
      <c r="AP2627" t="s">
        <v>41</v>
      </c>
      <c r="AU2627" t="s">
        <v>46</v>
      </c>
      <c r="AZ2627" t="s">
        <v>51</v>
      </c>
      <c r="BA2627" t="s">
        <v>52</v>
      </c>
    </row>
    <row r="2628" spans="1:69" x14ac:dyDescent="0.2">
      <c r="A2628" t="s">
        <v>9127</v>
      </c>
      <c r="B2628" t="s">
        <v>275</v>
      </c>
      <c r="C2628" t="s">
        <v>9189</v>
      </c>
      <c r="D2628" t="s">
        <v>6224</v>
      </c>
      <c r="E2628" t="s">
        <v>9190</v>
      </c>
      <c r="F2628" t="s">
        <v>118</v>
      </c>
      <c r="G2628" t="str">
        <f>HYPERLINK("https://www.youtube.com/watch?v=cuBcZGF3Yzc&amp;lc=Ugz5b7-bpIoJhFzHK_x4AaABAg")</f>
        <v>https://www.youtube.com/watch?v=cuBcZGF3Yzc&amp;lc=Ugz5b7-bpIoJhFzHK_x4AaABAg</v>
      </c>
      <c r="H2628" t="s">
        <v>228</v>
      </c>
      <c r="I2628" t="s">
        <v>9191</v>
      </c>
      <c r="J2628" t="str">
        <f>HYPERLINK("https://www.youtube.com/channel/UCY5TfAuSEPOQdXAuvmQukwQ")</f>
        <v>https://www.youtube.com/channel/UCY5TfAuSEPOQdXAuvmQukwQ</v>
      </c>
      <c r="K2628">
        <v>44</v>
      </c>
      <c r="L2628" t="s">
        <v>121</v>
      </c>
      <c r="N2628" t="s">
        <v>248</v>
      </c>
      <c r="O2628" t="s">
        <v>6227</v>
      </c>
      <c r="P2628" t="str">
        <f>HYPERLINK("https://www.youtube.com/channel/UCRP4EhX1Op-jL7D87PB3qhQ")</f>
        <v>https://www.youtube.com/channel/UCRP4EhX1Op-jL7D87PB3qhQ</v>
      </c>
      <c r="Q2628">
        <v>2820000</v>
      </c>
      <c r="R2628" t="s">
        <v>124</v>
      </c>
      <c r="S2628" t="s">
        <v>125</v>
      </c>
      <c r="W2628">
        <v>0</v>
      </c>
      <c r="X2628">
        <v>0</v>
      </c>
      <c r="AE2628">
        <v>0</v>
      </c>
      <c r="AM2628" t="s">
        <v>129</v>
      </c>
      <c r="AN2628" t="s">
        <v>130</v>
      </c>
      <c r="AP2628" t="s">
        <v>41</v>
      </c>
      <c r="AT2628" t="s">
        <v>45</v>
      </c>
      <c r="AW2628" t="s">
        <v>48</v>
      </c>
      <c r="AY2628" t="s">
        <v>50</v>
      </c>
      <c r="AZ2628" t="s">
        <v>51</v>
      </c>
      <c r="BB2628" t="s">
        <v>53</v>
      </c>
      <c r="BM2628" t="s">
        <v>64</v>
      </c>
    </row>
    <row r="2629" spans="1:69" x14ac:dyDescent="0.2">
      <c r="A2629" t="s">
        <v>9127</v>
      </c>
      <c r="B2629" t="s">
        <v>1385</v>
      </c>
      <c r="C2629" t="s">
        <v>9192</v>
      </c>
      <c r="D2629" t="s">
        <v>8913</v>
      </c>
      <c r="E2629" t="s">
        <v>9193</v>
      </c>
      <c r="F2629" t="s">
        <v>118</v>
      </c>
      <c r="G2629" t="str">
        <f>HYPERLINK("https://vk.com/wall-22935147_368282?reply=368289")</f>
        <v>https://vk.com/wall-22935147_368282?reply=368289</v>
      </c>
      <c r="H2629" t="s">
        <v>119</v>
      </c>
      <c r="I2629" t="s">
        <v>9194</v>
      </c>
      <c r="J2629" t="str">
        <f>HYPERLINK("http://vk.com/id380114309")</f>
        <v>http://vk.com/id380114309</v>
      </c>
      <c r="K2629">
        <v>389</v>
      </c>
      <c r="L2629" t="s">
        <v>121</v>
      </c>
      <c r="M2629">
        <v>45</v>
      </c>
      <c r="N2629" t="s">
        <v>122</v>
      </c>
      <c r="O2629" t="s">
        <v>1093</v>
      </c>
      <c r="P2629" t="str">
        <f>HYPERLINK("http://vk.com/club22935147")</f>
        <v>http://vk.com/club22935147</v>
      </c>
      <c r="Q2629">
        <v>8943</v>
      </c>
      <c r="R2629" t="s">
        <v>124</v>
      </c>
      <c r="S2629" t="s">
        <v>125</v>
      </c>
      <c r="T2629" t="s">
        <v>325</v>
      </c>
      <c r="U2629" t="s">
        <v>9195</v>
      </c>
      <c r="W2629">
        <v>0</v>
      </c>
      <c r="X2629">
        <v>0</v>
      </c>
      <c r="AM2629" t="s">
        <v>129</v>
      </c>
      <c r="AN2629" t="s">
        <v>130</v>
      </c>
      <c r="AP2629" t="s">
        <v>41</v>
      </c>
      <c r="AZ2629" t="s">
        <v>51</v>
      </c>
      <c r="BA2629" t="s">
        <v>52</v>
      </c>
      <c r="BL2629" t="s">
        <v>63</v>
      </c>
    </row>
    <row r="2630" spans="1:69" x14ac:dyDescent="0.2">
      <c r="A2630" t="s">
        <v>9127</v>
      </c>
      <c r="B2630" t="s">
        <v>281</v>
      </c>
      <c r="C2630" t="s">
        <v>9196</v>
      </c>
      <c r="D2630" t="s">
        <v>9197</v>
      </c>
      <c r="E2630" t="s">
        <v>9198</v>
      </c>
      <c r="F2630" t="s">
        <v>118</v>
      </c>
      <c r="G2630" t="str">
        <f>HYPERLINK("https://vk.com/wall-9578955_529819?reply=529885&amp;thread=529861")</f>
        <v>https://vk.com/wall-9578955_529819?reply=529885&amp;thread=529861</v>
      </c>
      <c r="H2630" t="s">
        <v>119</v>
      </c>
      <c r="I2630" t="s">
        <v>9199</v>
      </c>
      <c r="J2630" t="str">
        <f>HYPERLINK("http://vk.com/id503729323")</f>
        <v>http://vk.com/id503729323</v>
      </c>
      <c r="K2630">
        <v>65</v>
      </c>
      <c r="L2630" t="s">
        <v>121</v>
      </c>
      <c r="M2630">
        <v>52</v>
      </c>
      <c r="N2630" t="s">
        <v>122</v>
      </c>
      <c r="O2630" t="s">
        <v>9200</v>
      </c>
      <c r="P2630" t="str">
        <f>HYPERLINK("http://vk.com/club9578955")</f>
        <v>http://vk.com/club9578955</v>
      </c>
      <c r="Q2630">
        <v>63473</v>
      </c>
      <c r="R2630" t="s">
        <v>124</v>
      </c>
      <c r="S2630" t="s">
        <v>125</v>
      </c>
      <c r="T2630" t="s">
        <v>2566</v>
      </c>
      <c r="U2630" t="s">
        <v>3647</v>
      </c>
      <c r="AM2630" t="s">
        <v>129</v>
      </c>
      <c r="AN2630" t="s">
        <v>130</v>
      </c>
      <c r="AP2630" t="s">
        <v>41</v>
      </c>
      <c r="AZ2630" t="s">
        <v>51</v>
      </c>
      <c r="BB2630" t="s">
        <v>53</v>
      </c>
    </row>
    <row r="2631" spans="1:69" x14ac:dyDescent="0.2">
      <c r="A2631" t="s">
        <v>9127</v>
      </c>
      <c r="B2631" t="s">
        <v>6682</v>
      </c>
      <c r="C2631" t="s">
        <v>8196</v>
      </c>
      <c r="D2631" t="s">
        <v>651</v>
      </c>
      <c r="E2631" t="s">
        <v>9201</v>
      </c>
      <c r="F2631" t="s">
        <v>180</v>
      </c>
      <c r="G2631" t="str">
        <f>HYPERLINK("https://www.ozon.ru/context/detail/id/227979649/#58540114")</f>
        <v>https://www.ozon.ru/context/detail/id/227979649/#58540114</v>
      </c>
      <c r="H2631" t="s">
        <v>181</v>
      </c>
      <c r="I2631" t="s">
        <v>512</v>
      </c>
      <c r="J2631" t="str">
        <f>HYPERLINK("https://www.ozon.ru/context/client_opinion/ClientGuid//")</f>
        <v>https://www.ozon.ru/context/client_opinion/ClientGuid//</v>
      </c>
      <c r="N2631" t="s">
        <v>183</v>
      </c>
      <c r="O2631" t="s">
        <v>654</v>
      </c>
      <c r="P2631" t="str">
        <f>HYPERLINK("https://www.ozon.ru/context/detail/id/227979649/")</f>
        <v>https://www.ozon.ru/context/detail/id/227979649/</v>
      </c>
      <c r="R2631" t="s">
        <v>184</v>
      </c>
      <c r="S2631" t="s">
        <v>125</v>
      </c>
      <c r="W2631">
        <v>0</v>
      </c>
      <c r="X2631">
        <v>0</v>
      </c>
      <c r="AH2631">
        <v>5</v>
      </c>
      <c r="AM2631" t="s">
        <v>129</v>
      </c>
      <c r="AN2631" t="s">
        <v>130</v>
      </c>
      <c r="AP2631" t="s">
        <v>41</v>
      </c>
      <c r="AT2631" t="s">
        <v>45</v>
      </c>
      <c r="AZ2631" t="s">
        <v>51</v>
      </c>
      <c r="BA2631" t="s">
        <v>52</v>
      </c>
      <c r="BL2631" t="s">
        <v>63</v>
      </c>
    </row>
    <row r="2632" spans="1:69" x14ac:dyDescent="0.2">
      <c r="A2632" t="s">
        <v>9127</v>
      </c>
      <c r="B2632" t="s">
        <v>5119</v>
      </c>
      <c r="C2632" t="s">
        <v>9202</v>
      </c>
      <c r="D2632" t="s">
        <v>9203</v>
      </c>
      <c r="E2632" t="s">
        <v>9204</v>
      </c>
      <c r="F2632" t="s">
        <v>118</v>
      </c>
      <c r="G2632" t="str">
        <f>HYPERLINK("https://www.youtube.com/watch?v=Z-wWq3Dt1fc&amp;lc=UgwWTdmaWGdRqe1y_e54AaABAg.9PcAEmwUYK19PcFsdzZKOD")</f>
        <v>https://www.youtube.com/watch?v=Z-wWq3Dt1fc&amp;lc=UgwWTdmaWGdRqe1y_e54AaABAg.9PcAEmwUYK19PcFsdzZKOD</v>
      </c>
      <c r="H2632" t="s">
        <v>181</v>
      </c>
      <c r="I2632" t="s">
        <v>9205</v>
      </c>
      <c r="J2632" t="str">
        <f>HYPERLINK("https://www.youtube.com/channel/UCWZxvdsGt_grmsJKWMf6CjA")</f>
        <v>https://www.youtube.com/channel/UCWZxvdsGt_grmsJKWMf6CjA</v>
      </c>
      <c r="K2632">
        <v>1</v>
      </c>
      <c r="N2632" t="s">
        <v>248</v>
      </c>
      <c r="O2632" t="s">
        <v>9206</v>
      </c>
      <c r="P2632" t="str">
        <f>HYPERLINK("https://www.youtube.com/channel/UCkrbi2bmw7DQuuC8k4TP-QA")</f>
        <v>https://www.youtube.com/channel/UCkrbi2bmw7DQuuC8k4TP-QA</v>
      </c>
      <c r="Q2632">
        <v>4030000</v>
      </c>
      <c r="R2632" t="s">
        <v>124</v>
      </c>
      <c r="S2632" t="s">
        <v>125</v>
      </c>
      <c r="W2632">
        <v>0</v>
      </c>
      <c r="X2632">
        <v>0</v>
      </c>
      <c r="AM2632" t="s">
        <v>129</v>
      </c>
      <c r="AN2632" t="s">
        <v>130</v>
      </c>
      <c r="AP2632" t="s">
        <v>41</v>
      </c>
      <c r="AZ2632" t="s">
        <v>51</v>
      </c>
      <c r="BA2632" t="s">
        <v>52</v>
      </c>
      <c r="BQ2632" t="s">
        <v>68</v>
      </c>
    </row>
    <row r="2633" spans="1:69" x14ac:dyDescent="0.2">
      <c r="A2633" t="s">
        <v>9127</v>
      </c>
      <c r="B2633" t="s">
        <v>5119</v>
      </c>
      <c r="C2633" t="s">
        <v>9207</v>
      </c>
      <c r="D2633" t="s">
        <v>129</v>
      </c>
      <c r="E2633" t="s">
        <v>9208</v>
      </c>
      <c r="F2633" t="s">
        <v>180</v>
      </c>
      <c r="G2633" t="str">
        <f>HYPERLINK("https://telegram.me/krasnaya_polyana/164698")</f>
        <v>https://telegram.me/krasnaya_polyana/164698</v>
      </c>
      <c r="H2633" t="s">
        <v>119</v>
      </c>
      <c r="I2633" t="s">
        <v>9209</v>
      </c>
      <c r="J2633" t="str">
        <f>HYPERLINK("https://telegram.me/cyberpunk1994")</f>
        <v>https://telegram.me/cyberpunk1994</v>
      </c>
      <c r="N2633" t="s">
        <v>143</v>
      </c>
      <c r="O2633" t="s">
        <v>9210</v>
      </c>
      <c r="P2633" t="str">
        <f>HYPERLINK("https://telegram.me/krasnaya_polyana")</f>
        <v>https://telegram.me/krasnaya_polyana</v>
      </c>
      <c r="Q2633">
        <v>6326</v>
      </c>
      <c r="R2633" t="s">
        <v>145</v>
      </c>
      <c r="AM2633" t="s">
        <v>129</v>
      </c>
      <c r="AN2633" t="s">
        <v>130</v>
      </c>
      <c r="AP2633" t="s">
        <v>41</v>
      </c>
      <c r="AZ2633" t="s">
        <v>51</v>
      </c>
      <c r="BA2633" t="s">
        <v>52</v>
      </c>
      <c r="BL2633" t="s">
        <v>63</v>
      </c>
    </row>
    <row r="2634" spans="1:69" x14ac:dyDescent="0.2">
      <c r="A2634" t="s">
        <v>9127</v>
      </c>
      <c r="B2634" t="s">
        <v>296</v>
      </c>
      <c r="C2634" t="s">
        <v>9211</v>
      </c>
      <c r="D2634" t="s">
        <v>129</v>
      </c>
      <c r="E2634" t="s">
        <v>9208</v>
      </c>
      <c r="F2634" t="s">
        <v>180</v>
      </c>
      <c r="G2634" t="str">
        <f>HYPERLINK("https://telegram.me/chat_kp/48188")</f>
        <v>https://telegram.me/chat_kp/48188</v>
      </c>
      <c r="H2634" t="s">
        <v>119</v>
      </c>
      <c r="I2634" t="s">
        <v>9209</v>
      </c>
      <c r="J2634" t="str">
        <f>HYPERLINK("https://telegram.me/cyberpunk1994")</f>
        <v>https://telegram.me/cyberpunk1994</v>
      </c>
      <c r="N2634" t="s">
        <v>143</v>
      </c>
      <c r="O2634" t="s">
        <v>9212</v>
      </c>
      <c r="P2634" t="str">
        <f>HYPERLINK("https://telegram.me/chat_kp")</f>
        <v>https://telegram.me/chat_kp</v>
      </c>
      <c r="Q2634">
        <v>3071</v>
      </c>
      <c r="R2634" t="s">
        <v>145</v>
      </c>
      <c r="AM2634" t="s">
        <v>129</v>
      </c>
      <c r="AN2634" t="s">
        <v>130</v>
      </c>
      <c r="AP2634" t="s">
        <v>41</v>
      </c>
      <c r="AZ2634" t="s">
        <v>51</v>
      </c>
      <c r="BA2634" t="s">
        <v>52</v>
      </c>
      <c r="BL2634" t="s">
        <v>63</v>
      </c>
    </row>
    <row r="2635" spans="1:69" x14ac:dyDescent="0.2">
      <c r="A2635" t="s">
        <v>9127</v>
      </c>
      <c r="B2635" t="s">
        <v>2457</v>
      </c>
      <c r="C2635" t="s">
        <v>9213</v>
      </c>
      <c r="D2635" t="s">
        <v>129</v>
      </c>
      <c r="E2635" t="s">
        <v>9214</v>
      </c>
      <c r="F2635" t="s">
        <v>180</v>
      </c>
      <c r="G2635" t="str">
        <f>HYPERLINK("https://vk.com/wall50193038_1205")</f>
        <v>https://vk.com/wall50193038_1205</v>
      </c>
      <c r="H2635" t="s">
        <v>228</v>
      </c>
      <c r="I2635" t="s">
        <v>9215</v>
      </c>
      <c r="J2635" t="str">
        <f>HYPERLINK("http://vk.com/id50193038")</f>
        <v>http://vk.com/id50193038</v>
      </c>
      <c r="K2635">
        <v>243</v>
      </c>
      <c r="L2635" t="s">
        <v>151</v>
      </c>
      <c r="N2635" t="s">
        <v>122</v>
      </c>
      <c r="O2635" t="s">
        <v>9215</v>
      </c>
      <c r="P2635" t="str">
        <f>HYPERLINK("http://vk.com/id50193038")</f>
        <v>http://vk.com/id50193038</v>
      </c>
      <c r="Q2635">
        <v>243</v>
      </c>
      <c r="R2635" t="s">
        <v>124</v>
      </c>
      <c r="S2635" t="s">
        <v>125</v>
      </c>
      <c r="T2635" t="s">
        <v>570</v>
      </c>
      <c r="U2635" t="s">
        <v>9216</v>
      </c>
      <c r="W2635">
        <v>9</v>
      </c>
      <c r="X2635">
        <v>9</v>
      </c>
      <c r="AE2635">
        <v>0</v>
      </c>
      <c r="AF2635">
        <v>0</v>
      </c>
      <c r="AG2635">
        <v>145</v>
      </c>
      <c r="AJ2635" t="s">
        <v>9217</v>
      </c>
      <c r="AK2635" t="s">
        <v>9218</v>
      </c>
      <c r="AL2635" t="str">
        <f>HYPERLINK("https://sun9-11.userapi.com/impg/3I3SfdQX9aM3lnQIK2wfWnl-b3mDAFBPQ0EX3g/FkbOn4yjTLE.jpg?size=1333x1000&amp;quality=96&amp;sign=6c8b0f749918565dadd00fef3508d698&amp;c_uniq_tag=VPpX-ItQa9H81FMgnve0395mE6oZrukRvHSNdWwVxpI&amp;type=album")</f>
        <v>https://sun9-11.userapi.com/impg/3I3SfdQX9aM3lnQIK2wfWnl-b3mDAFBPQ0EX3g/FkbOn4yjTLE.jpg?size=1333x1000&amp;quality=96&amp;sign=6c8b0f749918565dadd00fef3508d698&amp;c_uniq_tag=VPpX-ItQa9H81FMgnve0395mE6oZrukRvHSNdWwVxpI&amp;type=album</v>
      </c>
      <c r="AM2635" t="s">
        <v>129</v>
      </c>
      <c r="AN2635" t="s">
        <v>130</v>
      </c>
      <c r="AP2635" t="s">
        <v>41</v>
      </c>
      <c r="AW2635" t="s">
        <v>48</v>
      </c>
      <c r="AX2635" t="s">
        <v>49</v>
      </c>
      <c r="AZ2635" t="s">
        <v>51</v>
      </c>
      <c r="BA2635" t="s">
        <v>52</v>
      </c>
    </row>
    <row r="2636" spans="1:69" x14ac:dyDescent="0.2">
      <c r="A2636" t="s">
        <v>9127</v>
      </c>
      <c r="B2636" t="s">
        <v>308</v>
      </c>
      <c r="C2636" t="s">
        <v>8009</v>
      </c>
      <c r="D2636" t="s">
        <v>3261</v>
      </c>
      <c r="E2636" t="s">
        <v>9219</v>
      </c>
      <c r="F2636" t="s">
        <v>180</v>
      </c>
      <c r="G2636" t="str">
        <f>HYPERLINK("https://www.wildberries.ru/catalog/5691258/detail.aspx?targetUrl=ES#Comments")</f>
        <v>https://www.wildberries.ru/catalog/5691258/detail.aspx?targetUrl=ES#Comments</v>
      </c>
      <c r="H2636" t="s">
        <v>181</v>
      </c>
      <c r="I2636" t="s">
        <v>9220</v>
      </c>
      <c r="J2636" t="str">
        <f>HYPERLINK("https://www.wildberries.ru/profile/w7TDssOkw7PCu8KywrnCs8K4wrHCuMK3wrE=")</f>
        <v>https://www.wildberries.ru/profile/w7TDssOkw7PCu8KywrnCs8K4wrHCuMK3wrE=</v>
      </c>
      <c r="L2636" t="s">
        <v>151</v>
      </c>
      <c r="N2636" t="s">
        <v>534</v>
      </c>
      <c r="O2636" t="s">
        <v>3261</v>
      </c>
      <c r="P2636" t="str">
        <f>HYPERLINK("https://www.wildberries.ru/catalog/4570035/detail.aspx")</f>
        <v>https://www.wildberries.ru/catalog/4570035/detail.aspx</v>
      </c>
      <c r="R2636" t="s">
        <v>184</v>
      </c>
      <c r="S2636" t="s">
        <v>125</v>
      </c>
      <c r="W2636">
        <v>0</v>
      </c>
      <c r="X2636">
        <v>0</v>
      </c>
      <c r="AH2636">
        <v>5</v>
      </c>
      <c r="AM2636" t="s">
        <v>129</v>
      </c>
      <c r="AN2636" t="s">
        <v>130</v>
      </c>
      <c r="AP2636" t="s">
        <v>41</v>
      </c>
      <c r="AZ2636" t="s">
        <v>51</v>
      </c>
      <c r="BA2636" t="s">
        <v>52</v>
      </c>
      <c r="BK2636" t="s">
        <v>62</v>
      </c>
      <c r="BL2636" t="s">
        <v>63</v>
      </c>
    </row>
    <row r="2637" spans="1:69" x14ac:dyDescent="0.2">
      <c r="A2637" t="s">
        <v>9127</v>
      </c>
      <c r="B2637" t="s">
        <v>1433</v>
      </c>
      <c r="C2637" t="s">
        <v>9221</v>
      </c>
      <c r="D2637" t="s">
        <v>9222</v>
      </c>
      <c r="E2637" t="s">
        <v>9223</v>
      </c>
      <c r="F2637" t="s">
        <v>118</v>
      </c>
      <c r="G2637" t="str">
        <f>HYPERLINK("https://vk.com/wall-61101621_254587?reply=254590")</f>
        <v>https://vk.com/wall-61101621_254587?reply=254590</v>
      </c>
      <c r="H2637" t="s">
        <v>119</v>
      </c>
      <c r="I2637" t="s">
        <v>9224</v>
      </c>
      <c r="J2637" t="str">
        <f>HYPERLINK("http://vk.com/id469027315")</f>
        <v>http://vk.com/id469027315</v>
      </c>
      <c r="K2637">
        <v>15</v>
      </c>
      <c r="L2637" t="s">
        <v>121</v>
      </c>
      <c r="M2637">
        <v>61</v>
      </c>
      <c r="N2637" t="s">
        <v>122</v>
      </c>
      <c r="O2637" t="s">
        <v>160</v>
      </c>
      <c r="P2637" t="str">
        <f>HYPERLINK("http://vk.com/club61101621")</f>
        <v>http://vk.com/club61101621</v>
      </c>
      <c r="Q2637">
        <v>21119</v>
      </c>
      <c r="R2637" t="s">
        <v>124</v>
      </c>
      <c r="S2637" t="s">
        <v>125</v>
      </c>
      <c r="W2637">
        <v>0</v>
      </c>
      <c r="X2637">
        <v>0</v>
      </c>
      <c r="AM2637" t="s">
        <v>129</v>
      </c>
      <c r="AN2637" t="s">
        <v>130</v>
      </c>
      <c r="AP2637" t="s">
        <v>41</v>
      </c>
      <c r="AZ2637" t="s">
        <v>51</v>
      </c>
      <c r="BA2637" t="s">
        <v>52</v>
      </c>
      <c r="BL2637" t="s">
        <v>63</v>
      </c>
    </row>
    <row r="2638" spans="1:69" x14ac:dyDescent="0.2">
      <c r="A2638" t="s">
        <v>9127</v>
      </c>
      <c r="B2638" t="s">
        <v>2459</v>
      </c>
      <c r="C2638" t="s">
        <v>9225</v>
      </c>
      <c r="D2638" t="s">
        <v>9226</v>
      </c>
      <c r="E2638" t="s">
        <v>9227</v>
      </c>
      <c r="F2638" t="s">
        <v>118</v>
      </c>
      <c r="G2638" t="str">
        <f>HYPERLINK("https://vk.com/wall-26849788_233443?reply=233493&amp;thread=233466")</f>
        <v>https://vk.com/wall-26849788_233443?reply=233493&amp;thread=233466</v>
      </c>
      <c r="H2638" t="s">
        <v>181</v>
      </c>
      <c r="I2638" t="s">
        <v>9228</v>
      </c>
      <c r="J2638" t="str">
        <f>HYPERLINK("http://vk.com/id200916964")</f>
        <v>http://vk.com/id200916964</v>
      </c>
      <c r="K2638">
        <v>244</v>
      </c>
      <c r="L2638" t="s">
        <v>121</v>
      </c>
      <c r="N2638" t="s">
        <v>122</v>
      </c>
      <c r="O2638" t="s">
        <v>9229</v>
      </c>
      <c r="P2638" t="str">
        <f>HYPERLINK("http://vk.com/club26849788")</f>
        <v>http://vk.com/club26849788</v>
      </c>
      <c r="Q2638">
        <v>27183</v>
      </c>
      <c r="R2638" t="s">
        <v>124</v>
      </c>
      <c r="S2638" t="s">
        <v>125</v>
      </c>
      <c r="T2638" t="s">
        <v>667</v>
      </c>
      <c r="U2638" t="s">
        <v>668</v>
      </c>
      <c r="AM2638" t="s">
        <v>129</v>
      </c>
      <c r="AN2638" t="s">
        <v>130</v>
      </c>
      <c r="AP2638" t="s">
        <v>41</v>
      </c>
      <c r="AZ2638" t="s">
        <v>51</v>
      </c>
      <c r="BA2638" t="s">
        <v>52</v>
      </c>
      <c r="BQ2638" t="s">
        <v>68</v>
      </c>
    </row>
    <row r="2639" spans="1:69" x14ac:dyDescent="0.2">
      <c r="A2639" t="s">
        <v>9127</v>
      </c>
      <c r="B2639" t="s">
        <v>3731</v>
      </c>
      <c r="C2639" t="s">
        <v>9230</v>
      </c>
      <c r="D2639" t="s">
        <v>9226</v>
      </c>
      <c r="E2639" t="s">
        <v>9231</v>
      </c>
      <c r="F2639" t="s">
        <v>118</v>
      </c>
      <c r="G2639" t="str">
        <f>HYPERLINK("https://vk.com/wall-26849788_233443?reply=233487&amp;thread=233466")</f>
        <v>https://vk.com/wall-26849788_233443?reply=233487&amp;thread=233466</v>
      </c>
      <c r="H2639" t="s">
        <v>181</v>
      </c>
      <c r="I2639" t="s">
        <v>9228</v>
      </c>
      <c r="J2639" t="str">
        <f>HYPERLINK("http://vk.com/id200916964")</f>
        <v>http://vk.com/id200916964</v>
      </c>
      <c r="K2639">
        <v>244</v>
      </c>
      <c r="L2639" t="s">
        <v>121</v>
      </c>
      <c r="N2639" t="s">
        <v>122</v>
      </c>
      <c r="O2639" t="s">
        <v>9229</v>
      </c>
      <c r="P2639" t="str">
        <f>HYPERLINK("http://vk.com/club26849788")</f>
        <v>http://vk.com/club26849788</v>
      </c>
      <c r="Q2639">
        <v>27183</v>
      </c>
      <c r="R2639" t="s">
        <v>124</v>
      </c>
      <c r="S2639" t="s">
        <v>125</v>
      </c>
      <c r="T2639" t="s">
        <v>667</v>
      </c>
      <c r="U2639" t="s">
        <v>668</v>
      </c>
      <c r="AM2639" t="s">
        <v>129</v>
      </c>
      <c r="AN2639" t="s">
        <v>130</v>
      </c>
      <c r="AP2639" t="s">
        <v>41</v>
      </c>
      <c r="AU2639" t="s">
        <v>46</v>
      </c>
      <c r="AW2639" t="s">
        <v>48</v>
      </c>
      <c r="AZ2639" t="s">
        <v>51</v>
      </c>
      <c r="BA2639" t="s">
        <v>52</v>
      </c>
      <c r="BQ2639" t="s">
        <v>68</v>
      </c>
    </row>
    <row r="2640" spans="1:69" x14ac:dyDescent="0.2">
      <c r="A2640" t="s">
        <v>9127</v>
      </c>
      <c r="B2640" t="s">
        <v>4695</v>
      </c>
      <c r="C2640" t="s">
        <v>9232</v>
      </c>
      <c r="D2640" t="s">
        <v>9233</v>
      </c>
      <c r="E2640" t="s">
        <v>9234</v>
      </c>
      <c r="F2640" t="s">
        <v>118</v>
      </c>
      <c r="G2640" t="str">
        <f>HYPERLINK("https://telegram.me/fcdinchat/340606")</f>
        <v>https://telegram.me/fcdinchat/340606</v>
      </c>
      <c r="H2640" t="s">
        <v>119</v>
      </c>
      <c r="I2640" t="s">
        <v>9235</v>
      </c>
      <c r="J2640" t="str">
        <f>HYPERLINK("https://telegram.me/alexd_nax")</f>
        <v>https://telegram.me/alexd_nax</v>
      </c>
      <c r="N2640" t="s">
        <v>143</v>
      </c>
      <c r="O2640" t="s">
        <v>9236</v>
      </c>
      <c r="P2640" t="str">
        <f>HYPERLINK("https://telegram.me/fcdinchat")</f>
        <v>https://telegram.me/fcdinchat</v>
      </c>
      <c r="Q2640">
        <v>514</v>
      </c>
      <c r="R2640" t="s">
        <v>145</v>
      </c>
      <c r="AM2640" t="s">
        <v>129</v>
      </c>
      <c r="AN2640" t="s">
        <v>130</v>
      </c>
      <c r="AP2640" t="s">
        <v>41</v>
      </c>
      <c r="AZ2640" t="s">
        <v>51</v>
      </c>
      <c r="BA2640" t="s">
        <v>52</v>
      </c>
      <c r="BQ2640" t="s">
        <v>68</v>
      </c>
    </row>
    <row r="2641" spans="1:69" x14ac:dyDescent="0.2">
      <c r="A2641" t="s">
        <v>9127</v>
      </c>
      <c r="B2641" t="s">
        <v>7412</v>
      </c>
      <c r="C2641" t="s">
        <v>8196</v>
      </c>
      <c r="D2641" t="s">
        <v>651</v>
      </c>
      <c r="E2641" t="s">
        <v>9237</v>
      </c>
      <c r="F2641" t="s">
        <v>180</v>
      </c>
      <c r="G2641" t="str">
        <f>HYPERLINK("https://www.ozon.ru/context/detail/id/227979649/#58529024")</f>
        <v>https://www.ozon.ru/context/detail/id/227979649/#58529024</v>
      </c>
      <c r="H2641" t="s">
        <v>181</v>
      </c>
      <c r="I2641" t="s">
        <v>9238</v>
      </c>
      <c r="J2641" t="str">
        <f>HYPERLINK("https://www.ozon.ru/context/client_opinion/ClientGuid/6ca10635-546b-4ae6-a778-781a29584381/")</f>
        <v>https://www.ozon.ru/context/client_opinion/ClientGuid/6ca10635-546b-4ae6-a778-781a29584381/</v>
      </c>
      <c r="L2641" t="s">
        <v>121</v>
      </c>
      <c r="N2641" t="s">
        <v>183</v>
      </c>
      <c r="O2641" t="s">
        <v>654</v>
      </c>
      <c r="P2641" t="str">
        <f>HYPERLINK("https://www.ozon.ru/context/detail/id/227979649/")</f>
        <v>https://www.ozon.ru/context/detail/id/227979649/</v>
      </c>
      <c r="R2641" t="s">
        <v>184</v>
      </c>
      <c r="S2641" t="s">
        <v>125</v>
      </c>
      <c r="W2641">
        <v>0</v>
      </c>
      <c r="X2641">
        <v>0</v>
      </c>
      <c r="AH2641">
        <v>5</v>
      </c>
      <c r="AM2641" t="s">
        <v>129</v>
      </c>
      <c r="AN2641" t="s">
        <v>130</v>
      </c>
      <c r="AP2641" t="s">
        <v>41</v>
      </c>
      <c r="AT2641" t="s">
        <v>45</v>
      </c>
      <c r="AZ2641" t="s">
        <v>51</v>
      </c>
      <c r="BA2641" t="s">
        <v>52</v>
      </c>
      <c r="BL2641" t="s">
        <v>63</v>
      </c>
    </row>
    <row r="2642" spans="1:69" x14ac:dyDescent="0.2">
      <c r="A2642" t="s">
        <v>9127</v>
      </c>
      <c r="B2642" t="s">
        <v>2488</v>
      </c>
      <c r="C2642" t="s">
        <v>9239</v>
      </c>
      <c r="D2642" t="s">
        <v>129</v>
      </c>
      <c r="E2642" t="s">
        <v>9240</v>
      </c>
      <c r="F2642" t="s">
        <v>180</v>
      </c>
      <c r="G2642" t="str">
        <f>HYPERLINK("https://twitter.com/360582757/status/1413868357279956995")</f>
        <v>https://twitter.com/360582757/status/1413868357279956995</v>
      </c>
      <c r="H2642" t="s">
        <v>119</v>
      </c>
      <c r="I2642" t="s">
        <v>175</v>
      </c>
      <c r="J2642" t="str">
        <f>HYPERLINK("http://twitter.com/tricolortv")</f>
        <v>http://twitter.com/tricolortv</v>
      </c>
      <c r="K2642">
        <v>5663</v>
      </c>
      <c r="N2642" t="s">
        <v>350</v>
      </c>
      <c r="R2642" t="s">
        <v>124</v>
      </c>
      <c r="S2642" t="s">
        <v>125</v>
      </c>
      <c r="T2642" t="s">
        <v>137</v>
      </c>
      <c r="U2642" t="s">
        <v>137</v>
      </c>
      <c r="W2642">
        <v>0</v>
      </c>
      <c r="X2642">
        <v>0</v>
      </c>
      <c r="AE2642">
        <v>0</v>
      </c>
      <c r="AF2642">
        <v>0</v>
      </c>
      <c r="AJ2642" t="s">
        <v>588</v>
      </c>
      <c r="AK2642" t="s">
        <v>129</v>
      </c>
      <c r="AL2642" t="str">
        <f>HYPERLINK("https://pbs.twimg.com/media/E58RfiwX0AIYabt.jpg")</f>
        <v>https://pbs.twimg.com/media/E58RfiwX0AIYabt.jpg</v>
      </c>
      <c r="AM2642" t="s">
        <v>129</v>
      </c>
      <c r="AN2642" t="s">
        <v>130</v>
      </c>
      <c r="BI2642" t="s">
        <v>60</v>
      </c>
    </row>
    <row r="2643" spans="1:69" x14ac:dyDescent="0.2">
      <c r="A2643" t="s">
        <v>9127</v>
      </c>
      <c r="B2643" t="s">
        <v>5153</v>
      </c>
      <c r="C2643" t="s">
        <v>9241</v>
      </c>
      <c r="D2643" t="s">
        <v>9222</v>
      </c>
      <c r="E2643" t="s">
        <v>9242</v>
      </c>
      <c r="F2643" t="s">
        <v>118</v>
      </c>
      <c r="G2643" t="str">
        <f>HYPERLINK("https://vk.com/wall-61101621_254587?reply=254588")</f>
        <v>https://vk.com/wall-61101621_254587?reply=254588</v>
      </c>
      <c r="H2643" t="s">
        <v>119</v>
      </c>
      <c r="I2643" t="s">
        <v>3125</v>
      </c>
      <c r="J2643" t="str">
        <f>HYPERLINK("http://vk.com/id163176940")</f>
        <v>http://vk.com/id163176940</v>
      </c>
      <c r="K2643">
        <v>20</v>
      </c>
      <c r="L2643" t="s">
        <v>121</v>
      </c>
      <c r="N2643" t="s">
        <v>122</v>
      </c>
      <c r="O2643" t="s">
        <v>160</v>
      </c>
      <c r="P2643" t="str">
        <f>HYPERLINK("http://vk.com/club61101621")</f>
        <v>http://vk.com/club61101621</v>
      </c>
      <c r="Q2643">
        <v>21119</v>
      </c>
      <c r="R2643" t="s">
        <v>124</v>
      </c>
      <c r="S2643" t="s">
        <v>125</v>
      </c>
      <c r="T2643" t="s">
        <v>1103</v>
      </c>
      <c r="U2643" t="s">
        <v>1104</v>
      </c>
      <c r="W2643">
        <v>0</v>
      </c>
      <c r="X2643">
        <v>0</v>
      </c>
      <c r="AM2643" t="s">
        <v>129</v>
      </c>
      <c r="AN2643" t="s">
        <v>130</v>
      </c>
      <c r="AP2643" t="s">
        <v>41</v>
      </c>
      <c r="AZ2643" t="s">
        <v>51</v>
      </c>
      <c r="BA2643" t="s">
        <v>52</v>
      </c>
      <c r="BL2643" t="s">
        <v>63</v>
      </c>
    </row>
    <row r="2644" spans="1:69" x14ac:dyDescent="0.2">
      <c r="A2644" t="s">
        <v>9127</v>
      </c>
      <c r="B2644" t="s">
        <v>2499</v>
      </c>
      <c r="C2644" t="s">
        <v>9243</v>
      </c>
      <c r="D2644" t="s">
        <v>6224</v>
      </c>
      <c r="E2644" t="s">
        <v>9244</v>
      </c>
      <c r="F2644" t="s">
        <v>118</v>
      </c>
      <c r="G2644" t="str">
        <f>HYPERLINK("https://www.youtube.com/watch?v=cuBcZGF3Yzc&amp;lc=Ugz590121XAnxshGYZV4AaABAg")</f>
        <v>https://www.youtube.com/watch?v=cuBcZGF3Yzc&amp;lc=Ugz590121XAnxshGYZV4AaABAg</v>
      </c>
      <c r="H2644" t="s">
        <v>119</v>
      </c>
      <c r="I2644" t="s">
        <v>9245</v>
      </c>
      <c r="J2644" t="str">
        <f>HYPERLINK("https://www.youtube.com/channel/UCkd7HmHeC9G-nLqXr_yjJJw")</f>
        <v>https://www.youtube.com/channel/UCkd7HmHeC9G-nLqXr_yjJJw</v>
      </c>
      <c r="K2644">
        <v>0</v>
      </c>
      <c r="L2644" t="s">
        <v>121</v>
      </c>
      <c r="N2644" t="s">
        <v>248</v>
      </c>
      <c r="O2644" t="s">
        <v>6227</v>
      </c>
      <c r="P2644" t="str">
        <f>HYPERLINK("https://www.youtube.com/channel/UCRP4EhX1Op-jL7D87PB3qhQ")</f>
        <v>https://www.youtube.com/channel/UCRP4EhX1Op-jL7D87PB3qhQ</v>
      </c>
      <c r="Q2644">
        <v>2820000</v>
      </c>
      <c r="R2644" t="s">
        <v>124</v>
      </c>
      <c r="S2644" t="s">
        <v>125</v>
      </c>
      <c r="W2644">
        <v>0</v>
      </c>
      <c r="X2644">
        <v>0</v>
      </c>
      <c r="AE2644">
        <v>1</v>
      </c>
      <c r="AM2644" t="s">
        <v>129</v>
      </c>
      <c r="AN2644" t="s">
        <v>130</v>
      </c>
      <c r="AP2644" t="s">
        <v>41</v>
      </c>
      <c r="AT2644" t="s">
        <v>45</v>
      </c>
      <c r="AW2644" t="s">
        <v>48</v>
      </c>
      <c r="AY2644" t="s">
        <v>50</v>
      </c>
      <c r="AZ2644" t="s">
        <v>51</v>
      </c>
      <c r="BB2644" t="s">
        <v>53</v>
      </c>
    </row>
    <row r="2645" spans="1:69" x14ac:dyDescent="0.2">
      <c r="A2645" t="s">
        <v>9127</v>
      </c>
      <c r="B2645" t="s">
        <v>9246</v>
      </c>
      <c r="C2645" t="s">
        <v>9247</v>
      </c>
      <c r="D2645" t="s">
        <v>8512</v>
      </c>
      <c r="E2645" t="s">
        <v>9248</v>
      </c>
      <c r="F2645" t="s">
        <v>180</v>
      </c>
      <c r="G2645" t="str">
        <f>HYPERLINK("https://ok.ru/group/51085510115462/topic/153430627165574")</f>
        <v>https://ok.ru/group/51085510115462/topic/153430627165574</v>
      </c>
      <c r="H2645" t="s">
        <v>119</v>
      </c>
      <c r="I2645" t="s">
        <v>175</v>
      </c>
      <c r="J2645" t="str">
        <f>HYPERLINK("https://ok.ru/group/51085510115462")</f>
        <v>https://ok.ru/group/51085510115462</v>
      </c>
      <c r="K2645">
        <v>94768</v>
      </c>
      <c r="L2645" t="s">
        <v>340</v>
      </c>
      <c r="N2645" t="s">
        <v>347</v>
      </c>
      <c r="O2645" t="s">
        <v>175</v>
      </c>
      <c r="P2645" t="str">
        <f>HYPERLINK("https://ok.ru/group/51085510115462")</f>
        <v>https://ok.ru/group/51085510115462</v>
      </c>
      <c r="Q2645">
        <v>94768</v>
      </c>
      <c r="R2645" t="s">
        <v>124</v>
      </c>
      <c r="W2645">
        <v>18</v>
      </c>
      <c r="X2645">
        <v>18</v>
      </c>
      <c r="Y2645">
        <v>0</v>
      </c>
      <c r="Z2645">
        <v>0</v>
      </c>
      <c r="AA2645">
        <v>0</v>
      </c>
      <c r="AB2645">
        <v>0</v>
      </c>
      <c r="AE2645">
        <v>0</v>
      </c>
      <c r="AF2645">
        <v>0</v>
      </c>
      <c r="AJ2645" t="s">
        <v>588</v>
      </c>
      <c r="AK2645" t="s">
        <v>129</v>
      </c>
      <c r="AL2645" t="str">
        <f>HYPERLINK("https://i.mycdn.me/image?id=918365109638&amp;t=20&amp;plc=API&amp;aid=1131601408&amp;tkn=*6f2N1u-UnB7JdevmQR4b-3tKX6c")</f>
        <v>https://i.mycdn.me/image?id=918365109638&amp;t=20&amp;plc=API&amp;aid=1131601408&amp;tkn=*6f2N1u-UnB7JdevmQR4b-3tKX6c</v>
      </c>
      <c r="AM2645" t="s">
        <v>129</v>
      </c>
      <c r="AN2645" t="s">
        <v>130</v>
      </c>
      <c r="BI2645" t="s">
        <v>60</v>
      </c>
    </row>
    <row r="2646" spans="1:69" x14ac:dyDescent="0.2">
      <c r="A2646" t="s">
        <v>9127</v>
      </c>
      <c r="B2646" t="s">
        <v>1479</v>
      </c>
      <c r="C2646" t="s">
        <v>9249</v>
      </c>
      <c r="D2646" t="s">
        <v>129</v>
      </c>
      <c r="E2646" t="s">
        <v>9250</v>
      </c>
      <c r="F2646" t="s">
        <v>180</v>
      </c>
      <c r="G2646" t="str">
        <f>HYPERLINK("https://www.facebook.com/tricolortv/posts/4073285086059064")</f>
        <v>https://www.facebook.com/tricolortv/posts/4073285086059064</v>
      </c>
      <c r="H2646" t="s">
        <v>119</v>
      </c>
      <c r="I2646" t="s">
        <v>175</v>
      </c>
      <c r="J2646" t="str">
        <f>HYPERLINK("https://www.facebook.com/206198386101106")</f>
        <v>https://www.facebook.com/206198386101106</v>
      </c>
      <c r="K2646">
        <v>16432</v>
      </c>
      <c r="L2646" t="s">
        <v>340</v>
      </c>
      <c r="N2646" t="s">
        <v>305</v>
      </c>
      <c r="O2646" t="s">
        <v>175</v>
      </c>
      <c r="P2646" t="str">
        <f>HYPERLINK("https://www.facebook.com/206198386101106")</f>
        <v>https://www.facebook.com/206198386101106</v>
      </c>
      <c r="Q2646">
        <v>16432</v>
      </c>
      <c r="R2646" t="s">
        <v>124</v>
      </c>
      <c r="W2646">
        <v>0</v>
      </c>
      <c r="X2646">
        <v>0</v>
      </c>
      <c r="Y2646">
        <v>0</v>
      </c>
      <c r="Z2646">
        <v>0</v>
      </c>
      <c r="AA2646">
        <v>0</v>
      </c>
      <c r="AB2646">
        <v>0</v>
      </c>
      <c r="AC2646">
        <v>0</v>
      </c>
      <c r="AE2646">
        <v>0</v>
      </c>
      <c r="AF2646">
        <v>0</v>
      </c>
      <c r="AJ2646" t="s">
        <v>588</v>
      </c>
      <c r="AK2646" t="s">
        <v>129</v>
      </c>
      <c r="AL2646" t="s">
        <v>9251</v>
      </c>
      <c r="AM2646" t="s">
        <v>129</v>
      </c>
      <c r="AN2646" t="s">
        <v>130</v>
      </c>
      <c r="BI2646" t="s">
        <v>60</v>
      </c>
    </row>
    <row r="2647" spans="1:69" x14ac:dyDescent="0.2">
      <c r="A2647" t="s">
        <v>9127</v>
      </c>
      <c r="B2647" t="s">
        <v>4264</v>
      </c>
      <c r="C2647" t="s">
        <v>9252</v>
      </c>
      <c r="D2647" t="s">
        <v>129</v>
      </c>
      <c r="E2647" t="s">
        <v>9253</v>
      </c>
      <c r="F2647" t="s">
        <v>118</v>
      </c>
      <c r="G2647" t="str">
        <f>HYPERLINK("https://vk.com/wall-185018916_53496?reply=53629&amp;thread=53501")</f>
        <v>https://vk.com/wall-185018916_53496?reply=53629&amp;thread=53501</v>
      </c>
      <c r="H2647" t="s">
        <v>119</v>
      </c>
      <c r="I2647" t="s">
        <v>9254</v>
      </c>
      <c r="J2647" t="str">
        <f>HYPERLINK("http://vk.com/id443236605")</f>
        <v>http://vk.com/id443236605</v>
      </c>
      <c r="K2647">
        <v>297</v>
      </c>
      <c r="L2647" t="s">
        <v>151</v>
      </c>
      <c r="M2647">
        <v>20</v>
      </c>
      <c r="N2647" t="s">
        <v>122</v>
      </c>
      <c r="O2647" t="s">
        <v>9255</v>
      </c>
      <c r="P2647" t="str">
        <f>HYPERLINK("http://vk.com/club185018916")</f>
        <v>http://vk.com/club185018916</v>
      </c>
      <c r="Q2647">
        <v>38830</v>
      </c>
      <c r="R2647" t="s">
        <v>124</v>
      </c>
      <c r="S2647" t="s">
        <v>125</v>
      </c>
      <c r="AM2647" t="s">
        <v>129</v>
      </c>
      <c r="AN2647" t="s">
        <v>130</v>
      </c>
      <c r="AP2647" t="s">
        <v>41</v>
      </c>
      <c r="AZ2647" t="s">
        <v>51</v>
      </c>
      <c r="BA2647" t="s">
        <v>52</v>
      </c>
      <c r="BM2647" t="s">
        <v>64</v>
      </c>
    </row>
    <row r="2648" spans="1:69" x14ac:dyDescent="0.2">
      <c r="A2648" t="s">
        <v>9127</v>
      </c>
      <c r="B2648" t="s">
        <v>3035</v>
      </c>
      <c r="C2648" t="s">
        <v>9256</v>
      </c>
      <c r="D2648" t="s">
        <v>129</v>
      </c>
      <c r="E2648" t="s">
        <v>9257</v>
      </c>
      <c r="F2648" t="s">
        <v>180</v>
      </c>
      <c r="G2648" t="str">
        <f>HYPERLINK("https://telegram.me/edemtvhelpchat/78321")</f>
        <v>https://telegram.me/edemtvhelpchat/78321</v>
      </c>
      <c r="H2648" t="s">
        <v>119</v>
      </c>
      <c r="I2648" t="s">
        <v>9258</v>
      </c>
      <c r="J2648" t="str">
        <f>HYPERLINK("https://telegram.me/andrew2303")</f>
        <v>https://telegram.me/andrew2303</v>
      </c>
      <c r="L2648" t="s">
        <v>121</v>
      </c>
      <c r="N2648" t="s">
        <v>143</v>
      </c>
      <c r="O2648" t="s">
        <v>6147</v>
      </c>
      <c r="P2648" t="str">
        <f>HYPERLINK("https://telegram.me/edemtvhelpchat")</f>
        <v>https://telegram.me/edemtvhelpchat</v>
      </c>
      <c r="Q2648">
        <v>3673</v>
      </c>
      <c r="R2648" t="s">
        <v>145</v>
      </c>
      <c r="AM2648" t="s">
        <v>129</v>
      </c>
      <c r="AN2648" t="s">
        <v>130</v>
      </c>
      <c r="AP2648" t="s">
        <v>41</v>
      </c>
      <c r="AU2648" t="s">
        <v>46</v>
      </c>
      <c r="BA2648" t="s">
        <v>52</v>
      </c>
      <c r="BE2648" t="s">
        <v>56</v>
      </c>
    </row>
    <row r="2649" spans="1:69" x14ac:dyDescent="0.2">
      <c r="A2649" t="s">
        <v>9127</v>
      </c>
      <c r="B2649" t="s">
        <v>385</v>
      </c>
      <c r="C2649" t="s">
        <v>9259</v>
      </c>
      <c r="D2649" t="s">
        <v>9260</v>
      </c>
      <c r="E2649" t="s">
        <v>9261</v>
      </c>
      <c r="F2649" t="s">
        <v>118</v>
      </c>
      <c r="G2649" t="str">
        <f>HYPERLINK("https://vk.com/wall-22935147_368282?reply=368288")</f>
        <v>https://vk.com/wall-22935147_368282?reply=368288</v>
      </c>
      <c r="H2649" t="s">
        <v>119</v>
      </c>
      <c r="I2649" t="s">
        <v>9262</v>
      </c>
      <c r="J2649" t="str">
        <f>HYPERLINK("http://vk.com/id348780083")</f>
        <v>http://vk.com/id348780083</v>
      </c>
      <c r="K2649">
        <v>50</v>
      </c>
      <c r="M2649">
        <v>43</v>
      </c>
      <c r="N2649" t="s">
        <v>122</v>
      </c>
      <c r="O2649" t="s">
        <v>1093</v>
      </c>
      <c r="P2649" t="str">
        <f>HYPERLINK("http://vk.com/club22935147")</f>
        <v>http://vk.com/club22935147</v>
      </c>
      <c r="Q2649">
        <v>8943</v>
      </c>
      <c r="R2649" t="s">
        <v>124</v>
      </c>
      <c r="S2649" t="s">
        <v>125</v>
      </c>
      <c r="T2649" t="s">
        <v>314</v>
      </c>
      <c r="U2649" t="s">
        <v>315</v>
      </c>
      <c r="W2649">
        <v>0</v>
      </c>
      <c r="X2649">
        <v>0</v>
      </c>
      <c r="AM2649" t="s">
        <v>129</v>
      </c>
      <c r="AN2649" t="s">
        <v>130</v>
      </c>
      <c r="AP2649" t="s">
        <v>41</v>
      </c>
      <c r="AZ2649" t="s">
        <v>51</v>
      </c>
      <c r="BA2649" t="s">
        <v>52</v>
      </c>
      <c r="BL2649" t="s">
        <v>63</v>
      </c>
    </row>
    <row r="2650" spans="1:69" x14ac:dyDescent="0.2">
      <c r="A2650" t="s">
        <v>9127</v>
      </c>
      <c r="B2650" t="s">
        <v>5652</v>
      </c>
      <c r="C2650" t="s">
        <v>9263</v>
      </c>
      <c r="D2650" t="s">
        <v>204</v>
      </c>
      <c r="E2650" t="s">
        <v>9264</v>
      </c>
      <c r="F2650" t="s">
        <v>180</v>
      </c>
      <c r="G2650" t="str">
        <f>HYPERLINK("https://play.google.com/store/apps/details?id=ru.iflex.android.a3colortv&amp;reviewId=gp:AOqpTOHnLcOhFgHqotn6kQ9wfIa-DsOGsRFL0sg2GsDHJZbowLaxCT1RGxgw6kZ5qyAqjLirJIG6QZeE9vgITw")</f>
        <v>https://play.google.com/store/apps/details?id=ru.iflex.android.a3colortv&amp;reviewId=gp:AOqpTOHnLcOhFgHqotn6kQ9wfIa-DsOGsRFL0sg2GsDHJZbowLaxCT1RGxgw6kZ5qyAqjLirJIG6QZeE9vgITw</v>
      </c>
      <c r="H2650" t="s">
        <v>181</v>
      </c>
      <c r="I2650" t="s">
        <v>9265</v>
      </c>
      <c r="J2650" t="str">
        <f>HYPERLINK("https://plus.google.com/106750800720648359102")</f>
        <v>https://plus.google.com/106750800720648359102</v>
      </c>
      <c r="L2650" t="s">
        <v>121</v>
      </c>
      <c r="N2650" t="s">
        <v>207</v>
      </c>
      <c r="O2650" t="s">
        <v>204</v>
      </c>
      <c r="P2650" t="str">
        <f>HYPERLINK("https://play.google.com/store/apps/details?id=ru.iflex.android.a3colortv&amp;hl=ru")</f>
        <v>https://play.google.com/store/apps/details?id=ru.iflex.android.a3colortv&amp;hl=ru</v>
      </c>
      <c r="R2650" t="s">
        <v>184</v>
      </c>
      <c r="S2650" t="s">
        <v>125</v>
      </c>
      <c r="W2650">
        <v>0</v>
      </c>
      <c r="X2650">
        <v>0</v>
      </c>
      <c r="AH2650">
        <v>5</v>
      </c>
      <c r="AM2650" t="s">
        <v>129</v>
      </c>
      <c r="AN2650" t="s">
        <v>130</v>
      </c>
      <c r="AP2650" t="s">
        <v>41</v>
      </c>
      <c r="AT2650" t="s">
        <v>45</v>
      </c>
      <c r="AZ2650" t="s">
        <v>51</v>
      </c>
      <c r="BA2650" t="s">
        <v>52</v>
      </c>
      <c r="BQ2650" t="s">
        <v>68</v>
      </c>
    </row>
    <row r="2651" spans="1:69" x14ac:dyDescent="0.2">
      <c r="A2651" t="s">
        <v>9127</v>
      </c>
      <c r="B2651" t="s">
        <v>1490</v>
      </c>
      <c r="C2651" t="s">
        <v>9266</v>
      </c>
      <c r="D2651" t="s">
        <v>5793</v>
      </c>
      <c r="E2651" t="s">
        <v>9267</v>
      </c>
      <c r="F2651" t="s">
        <v>180</v>
      </c>
      <c r="G2651" t="str">
        <f>HYPERLINK("https://market.yandex.ru/product/661329649/reviews?id=134333798")</f>
        <v>https://market.yandex.ru/product/661329649/reviews?id=134333798</v>
      </c>
      <c r="H2651" t="s">
        <v>181</v>
      </c>
      <c r="I2651" t="s">
        <v>9268</v>
      </c>
      <c r="J2651" t="str">
        <f>HYPERLINK("https://market.yandex.ru/user/nggbn34x1zqk6w653ytzqdhxv8/reviews")</f>
        <v>https://market.yandex.ru/user/nggbn34x1zqk6w653ytzqdhxv8/reviews</v>
      </c>
      <c r="N2651" t="s">
        <v>611</v>
      </c>
      <c r="O2651" t="s">
        <v>5793</v>
      </c>
      <c r="P2651" t="str">
        <f>HYPERLINK("https://market.yandex.ru/product/661329649")</f>
        <v>https://market.yandex.ru/product/661329649</v>
      </c>
      <c r="R2651" t="s">
        <v>184</v>
      </c>
      <c r="S2651" t="s">
        <v>125</v>
      </c>
      <c r="T2651" t="s">
        <v>169</v>
      </c>
      <c r="U2651" t="s">
        <v>169</v>
      </c>
      <c r="W2651">
        <v>0</v>
      </c>
      <c r="X2651">
        <v>0</v>
      </c>
      <c r="AH2651">
        <v>5</v>
      </c>
      <c r="AM2651" t="s">
        <v>129</v>
      </c>
      <c r="AN2651" t="s">
        <v>130</v>
      </c>
      <c r="AP2651" t="s">
        <v>41</v>
      </c>
      <c r="AZ2651" t="s">
        <v>51</v>
      </c>
      <c r="BA2651" t="s">
        <v>52</v>
      </c>
      <c r="BK2651" t="s">
        <v>62</v>
      </c>
      <c r="BL2651" t="s">
        <v>63</v>
      </c>
    </row>
    <row r="2652" spans="1:69" x14ac:dyDescent="0.2">
      <c r="A2652" t="s">
        <v>9127</v>
      </c>
      <c r="B2652" t="s">
        <v>3791</v>
      </c>
      <c r="C2652" t="s">
        <v>9269</v>
      </c>
      <c r="D2652" t="s">
        <v>9260</v>
      </c>
      <c r="E2652" t="s">
        <v>9270</v>
      </c>
      <c r="F2652" t="s">
        <v>118</v>
      </c>
      <c r="G2652" t="str">
        <f>HYPERLINK("https://vk.com/wall-22935147_368282?w=wall-22935147_368282_r368287")</f>
        <v>https://vk.com/wall-22935147_368282?w=wall-22935147_368282_r368287</v>
      </c>
      <c r="H2652" t="s">
        <v>119</v>
      </c>
      <c r="I2652" t="s">
        <v>9271</v>
      </c>
      <c r="J2652" t="str">
        <f>HYPERLINK("http://vk.com/id99388581")</f>
        <v>http://vk.com/id99388581</v>
      </c>
      <c r="K2652">
        <v>151</v>
      </c>
      <c r="L2652" t="s">
        <v>121</v>
      </c>
      <c r="M2652">
        <v>44</v>
      </c>
      <c r="N2652" t="s">
        <v>122</v>
      </c>
      <c r="O2652" t="s">
        <v>1093</v>
      </c>
      <c r="P2652" t="str">
        <f>HYPERLINK("http://vk.com/club22935147")</f>
        <v>http://vk.com/club22935147</v>
      </c>
      <c r="Q2652">
        <v>8943</v>
      </c>
      <c r="R2652" t="s">
        <v>124</v>
      </c>
      <c r="S2652" t="s">
        <v>125</v>
      </c>
      <c r="T2652" t="s">
        <v>212</v>
      </c>
      <c r="U2652" t="s">
        <v>242</v>
      </c>
      <c r="W2652">
        <v>0</v>
      </c>
      <c r="X2652">
        <v>0</v>
      </c>
      <c r="AM2652" t="s">
        <v>129</v>
      </c>
      <c r="AN2652" t="s">
        <v>130</v>
      </c>
      <c r="AP2652" t="s">
        <v>41</v>
      </c>
      <c r="AZ2652" t="s">
        <v>51</v>
      </c>
      <c r="BA2652" t="s">
        <v>52</v>
      </c>
      <c r="BL2652" t="s">
        <v>63</v>
      </c>
    </row>
    <row r="2653" spans="1:69" x14ac:dyDescent="0.2">
      <c r="A2653" t="s">
        <v>9127</v>
      </c>
      <c r="B2653" t="s">
        <v>8143</v>
      </c>
      <c r="C2653" t="s">
        <v>9272</v>
      </c>
      <c r="D2653" t="s">
        <v>9260</v>
      </c>
      <c r="E2653" t="s">
        <v>9273</v>
      </c>
      <c r="F2653" t="s">
        <v>118</v>
      </c>
      <c r="G2653" t="str">
        <f>HYPERLINK("https://vk.com/wall-22935147_368282?w=wall-22935147_368282_r368286")</f>
        <v>https://vk.com/wall-22935147_368282?w=wall-22935147_368282_r368286</v>
      </c>
      <c r="H2653" t="s">
        <v>119</v>
      </c>
      <c r="I2653" t="s">
        <v>9271</v>
      </c>
      <c r="J2653" t="str">
        <f>HYPERLINK("http://vk.com/id99388581")</f>
        <v>http://vk.com/id99388581</v>
      </c>
      <c r="K2653">
        <v>151</v>
      </c>
      <c r="L2653" t="s">
        <v>121</v>
      </c>
      <c r="M2653">
        <v>44</v>
      </c>
      <c r="N2653" t="s">
        <v>122</v>
      </c>
      <c r="O2653" t="s">
        <v>1093</v>
      </c>
      <c r="P2653" t="str">
        <f>HYPERLINK("http://vk.com/club22935147")</f>
        <v>http://vk.com/club22935147</v>
      </c>
      <c r="Q2653">
        <v>8943</v>
      </c>
      <c r="R2653" t="s">
        <v>124</v>
      </c>
      <c r="S2653" t="s">
        <v>125</v>
      </c>
      <c r="T2653" t="s">
        <v>212</v>
      </c>
      <c r="U2653" t="s">
        <v>242</v>
      </c>
      <c r="W2653">
        <v>0</v>
      </c>
      <c r="X2653">
        <v>0</v>
      </c>
      <c r="AM2653" t="s">
        <v>129</v>
      </c>
      <c r="AN2653" t="s">
        <v>130</v>
      </c>
      <c r="AP2653" t="s">
        <v>41</v>
      </c>
      <c r="AT2653" t="s">
        <v>45</v>
      </c>
      <c r="AZ2653" t="s">
        <v>51</v>
      </c>
      <c r="BA2653" t="s">
        <v>52</v>
      </c>
      <c r="BL2653" t="s">
        <v>63</v>
      </c>
    </row>
    <row r="2654" spans="1:69" x14ac:dyDescent="0.2">
      <c r="A2654" t="s">
        <v>9127</v>
      </c>
      <c r="B2654" t="s">
        <v>430</v>
      </c>
      <c r="C2654" t="s">
        <v>9274</v>
      </c>
      <c r="D2654" t="s">
        <v>9275</v>
      </c>
      <c r="E2654" t="s">
        <v>9276</v>
      </c>
      <c r="F2654" t="s">
        <v>118</v>
      </c>
      <c r="G2654" t="str">
        <f>HYPERLINK("https://vk.com/wall-23764838_173311?reply=173326")</f>
        <v>https://vk.com/wall-23764838_173311?reply=173326</v>
      </c>
      <c r="H2654" t="s">
        <v>119</v>
      </c>
      <c r="I2654" t="s">
        <v>9277</v>
      </c>
      <c r="J2654" t="str">
        <f>HYPERLINK("http://vk.com/id187510236")</f>
        <v>http://vk.com/id187510236</v>
      </c>
      <c r="K2654">
        <v>76</v>
      </c>
      <c r="L2654" t="s">
        <v>121</v>
      </c>
      <c r="N2654" t="s">
        <v>122</v>
      </c>
      <c r="O2654" t="s">
        <v>9278</v>
      </c>
      <c r="P2654" t="str">
        <f>HYPERLINK("http://vk.com/club23764838")</f>
        <v>http://vk.com/club23764838</v>
      </c>
      <c r="Q2654">
        <v>21419</v>
      </c>
      <c r="R2654" t="s">
        <v>124</v>
      </c>
      <c r="S2654" t="s">
        <v>125</v>
      </c>
      <c r="T2654" t="s">
        <v>169</v>
      </c>
      <c r="U2654" t="s">
        <v>169</v>
      </c>
      <c r="AM2654" t="s">
        <v>129</v>
      </c>
      <c r="AN2654" t="s">
        <v>130</v>
      </c>
      <c r="AP2654" t="s">
        <v>41</v>
      </c>
      <c r="AU2654" t="s">
        <v>46</v>
      </c>
      <c r="BA2654" t="s">
        <v>52</v>
      </c>
      <c r="BE2654" t="s">
        <v>56</v>
      </c>
    </row>
    <row r="2655" spans="1:69" x14ac:dyDescent="0.2">
      <c r="A2655" t="s">
        <v>9127</v>
      </c>
      <c r="B2655" t="s">
        <v>2571</v>
      </c>
      <c r="C2655" t="s">
        <v>9279</v>
      </c>
      <c r="D2655" t="s">
        <v>129</v>
      </c>
      <c r="E2655" t="s">
        <v>9280</v>
      </c>
      <c r="F2655" t="s">
        <v>180</v>
      </c>
      <c r="G2655" t="str">
        <f>HYPERLINK("https://vk.com/wall-61101621_254587")</f>
        <v>https://vk.com/wall-61101621_254587</v>
      </c>
      <c r="H2655" t="s">
        <v>119</v>
      </c>
      <c r="I2655" t="s">
        <v>9281</v>
      </c>
      <c r="J2655" t="str">
        <f>HYPERLINK("http://vk.com/id194581496")</f>
        <v>http://vk.com/id194581496</v>
      </c>
      <c r="K2655">
        <v>2133</v>
      </c>
      <c r="L2655" t="s">
        <v>121</v>
      </c>
      <c r="M2655">
        <v>25</v>
      </c>
      <c r="N2655" t="s">
        <v>122</v>
      </c>
      <c r="O2655" t="s">
        <v>160</v>
      </c>
      <c r="P2655" t="str">
        <f>HYPERLINK("http://vk.com/club61101621")</f>
        <v>http://vk.com/club61101621</v>
      </c>
      <c r="Q2655">
        <v>21119</v>
      </c>
      <c r="R2655" t="s">
        <v>124</v>
      </c>
      <c r="S2655" t="s">
        <v>125</v>
      </c>
      <c r="W2655">
        <v>6</v>
      </c>
      <c r="X2655">
        <v>6</v>
      </c>
      <c r="AE2655">
        <v>4</v>
      </c>
      <c r="AF2655">
        <v>0</v>
      </c>
      <c r="AG2655">
        <v>2153</v>
      </c>
      <c r="AM2655" t="s">
        <v>129</v>
      </c>
      <c r="AN2655" t="s">
        <v>130</v>
      </c>
      <c r="AP2655" t="s">
        <v>41</v>
      </c>
      <c r="AT2655" t="s">
        <v>45</v>
      </c>
      <c r="AZ2655" t="s">
        <v>51</v>
      </c>
      <c r="BA2655" t="s">
        <v>52</v>
      </c>
      <c r="BL2655" t="s">
        <v>63</v>
      </c>
    </row>
    <row r="2656" spans="1:69" x14ac:dyDescent="0.2">
      <c r="A2656" t="s">
        <v>9127</v>
      </c>
      <c r="B2656" t="s">
        <v>1572</v>
      </c>
      <c r="C2656" t="s">
        <v>9282</v>
      </c>
      <c r="D2656" t="s">
        <v>9283</v>
      </c>
      <c r="E2656" t="s">
        <v>9284</v>
      </c>
      <c r="F2656" t="s">
        <v>180</v>
      </c>
      <c r="G2656" t="str">
        <f>HYPERLINK("https://www.championat.com/boxing/article-4398961-ufc-264-pore-makgregor-3-pryamaya-translyaciya-boya-revansha-kunickaya-aldana-onlajn-translyaciya.html")</f>
        <v>https://www.championat.com/boxing/article-4398961-ufc-264-pore-makgregor-3-pryamaya-translyaciya-boya-revansha-kunickaya-aldana-onlajn-translyaciya.html</v>
      </c>
      <c r="H2656" t="s">
        <v>119</v>
      </c>
      <c r="N2656" t="s">
        <v>6548</v>
      </c>
      <c r="R2656" t="s">
        <v>785</v>
      </c>
      <c r="S2656" t="s">
        <v>125</v>
      </c>
      <c r="AM2656" t="s">
        <v>129</v>
      </c>
      <c r="AN2656" t="s">
        <v>130</v>
      </c>
      <c r="AV2656" t="s">
        <v>47</v>
      </c>
    </row>
    <row r="2657" spans="1:69" x14ac:dyDescent="0.2">
      <c r="A2657" t="s">
        <v>9127</v>
      </c>
      <c r="B2657" t="s">
        <v>9285</v>
      </c>
      <c r="C2657" t="s">
        <v>9286</v>
      </c>
      <c r="D2657" t="s">
        <v>9174</v>
      </c>
      <c r="E2657" t="s">
        <v>9287</v>
      </c>
      <c r="F2657" t="s">
        <v>180</v>
      </c>
      <c r="G2657" t="str">
        <f>HYPERLINK("https://4pda.to/forum/index.php?showtopic=985387&amp;st=300#entry107907350")</f>
        <v>https://4pda.to/forum/index.php?showtopic=985387&amp;st=300#entry107907350</v>
      </c>
      <c r="H2657" t="s">
        <v>119</v>
      </c>
      <c r="I2657" t="s">
        <v>9288</v>
      </c>
      <c r="J2657" t="str">
        <f>HYPERLINK("https://4pda.to/forum/index.php?showuser=951964")</f>
        <v>https://4pda.to/forum/index.php?showuser=951964</v>
      </c>
      <c r="N2657" t="s">
        <v>293</v>
      </c>
      <c r="O2657" t="s">
        <v>7174</v>
      </c>
      <c r="P2657" t="str">
        <f>HYPERLINK("https://4pda.to/forum/index.php?showforum=1076")</f>
        <v>https://4pda.to/forum/index.php?showforum=1076</v>
      </c>
      <c r="R2657" t="s">
        <v>295</v>
      </c>
      <c r="S2657" t="s">
        <v>125</v>
      </c>
      <c r="AM2657" t="s">
        <v>129</v>
      </c>
      <c r="AN2657" t="s">
        <v>130</v>
      </c>
      <c r="AP2657" t="s">
        <v>41</v>
      </c>
      <c r="AT2657" t="s">
        <v>45</v>
      </c>
      <c r="AW2657" t="s">
        <v>48</v>
      </c>
      <c r="AY2657" t="s">
        <v>50</v>
      </c>
      <c r="AZ2657" t="s">
        <v>51</v>
      </c>
      <c r="BA2657" t="s">
        <v>52</v>
      </c>
      <c r="BM2657" t="s">
        <v>64</v>
      </c>
      <c r="BQ2657" t="s">
        <v>68</v>
      </c>
    </row>
    <row r="2658" spans="1:69" x14ac:dyDescent="0.2">
      <c r="A2658" t="s">
        <v>9127</v>
      </c>
      <c r="B2658" t="s">
        <v>459</v>
      </c>
      <c r="C2658" t="s">
        <v>9289</v>
      </c>
      <c r="D2658" t="s">
        <v>9290</v>
      </c>
      <c r="E2658" t="s">
        <v>9291</v>
      </c>
      <c r="F2658" t="s">
        <v>118</v>
      </c>
      <c r="G2658" t="str">
        <f>HYPERLINK("https://www.youtube.com/watch?v=6VDzezv7atU&amp;lc=UgwHZbgE0eoyFk54xHh4AaABAg")</f>
        <v>https://www.youtube.com/watch?v=6VDzezv7atU&amp;lc=UgwHZbgE0eoyFk54xHh4AaABAg</v>
      </c>
      <c r="H2658" t="s">
        <v>119</v>
      </c>
      <c r="I2658" t="s">
        <v>9292</v>
      </c>
      <c r="J2658" t="str">
        <f>HYPERLINK("https://www.youtube.com/channel/UC8tt6o2Pm1G-GWHGqWKW7kQ")</f>
        <v>https://www.youtube.com/channel/UC8tt6o2Pm1G-GWHGqWKW7kQ</v>
      </c>
      <c r="K2658">
        <v>14</v>
      </c>
      <c r="L2658" t="s">
        <v>121</v>
      </c>
      <c r="N2658" t="s">
        <v>248</v>
      </c>
      <c r="O2658" t="s">
        <v>9293</v>
      </c>
      <c r="P2658" t="str">
        <f>HYPERLINK("https://www.youtube.com/channel/UCu7TZ_ATWgjgD9IrNLdnYDA")</f>
        <v>https://www.youtube.com/channel/UCu7TZ_ATWgjgD9IrNLdnYDA</v>
      </c>
      <c r="Q2658">
        <v>6770000</v>
      </c>
      <c r="R2658" t="s">
        <v>124</v>
      </c>
      <c r="S2658" t="s">
        <v>125</v>
      </c>
      <c r="W2658">
        <v>1</v>
      </c>
      <c r="X2658">
        <v>1</v>
      </c>
      <c r="AE2658">
        <v>0</v>
      </c>
      <c r="AM2658" t="s">
        <v>129</v>
      </c>
      <c r="AN2658" t="s">
        <v>130</v>
      </c>
      <c r="AP2658" t="s">
        <v>41</v>
      </c>
      <c r="AU2658" t="s">
        <v>46</v>
      </c>
      <c r="AZ2658" t="s">
        <v>51</v>
      </c>
      <c r="BA2658" t="s">
        <v>52</v>
      </c>
    </row>
    <row r="2659" spans="1:69" x14ac:dyDescent="0.2">
      <c r="A2659" t="s">
        <v>9127</v>
      </c>
      <c r="B2659" t="s">
        <v>9294</v>
      </c>
      <c r="C2659" t="s">
        <v>9295</v>
      </c>
      <c r="D2659" t="s">
        <v>9296</v>
      </c>
      <c r="E2659" t="s">
        <v>9297</v>
      </c>
      <c r="F2659" t="s">
        <v>180</v>
      </c>
      <c r="G2659" t="str">
        <f>HYPERLINK("https://www.ozon.ru/context/detail/id/250899243/#58497126")</f>
        <v>https://www.ozon.ru/context/detail/id/250899243/#58497126</v>
      </c>
      <c r="H2659" t="s">
        <v>181</v>
      </c>
      <c r="I2659" t="s">
        <v>9298</v>
      </c>
      <c r="J2659" t="str">
        <f>HYPERLINK("https://www.ozon.ru/context/client_opinion/ClientGuid/3e183b40-9378-4af5-b868-9592a58ec711/")</f>
        <v>https://www.ozon.ru/context/client_opinion/ClientGuid/3e183b40-9378-4af5-b868-9592a58ec711/</v>
      </c>
      <c r="L2659" t="s">
        <v>121</v>
      </c>
      <c r="N2659" t="s">
        <v>183</v>
      </c>
      <c r="O2659" t="s">
        <v>9296</v>
      </c>
      <c r="P2659" t="str">
        <f>HYPERLINK("https://www.ozon.ru/context/detail/id/250899243/")</f>
        <v>https://www.ozon.ru/context/detail/id/250899243/</v>
      </c>
      <c r="R2659" t="s">
        <v>184</v>
      </c>
      <c r="S2659" t="s">
        <v>125</v>
      </c>
      <c r="W2659">
        <v>0</v>
      </c>
      <c r="X2659">
        <v>0</v>
      </c>
      <c r="AH2659">
        <v>5</v>
      </c>
      <c r="AM2659" t="s">
        <v>129</v>
      </c>
      <c r="AN2659" t="s">
        <v>130</v>
      </c>
      <c r="AP2659" t="s">
        <v>41</v>
      </c>
      <c r="AZ2659" t="s">
        <v>51</v>
      </c>
      <c r="BA2659" t="s">
        <v>52</v>
      </c>
      <c r="BL2659" t="s">
        <v>63</v>
      </c>
    </row>
    <row r="2660" spans="1:69" x14ac:dyDescent="0.2">
      <c r="A2660" t="s">
        <v>9127</v>
      </c>
      <c r="B2660" t="s">
        <v>5232</v>
      </c>
      <c r="C2660" t="s">
        <v>5628</v>
      </c>
      <c r="D2660" t="s">
        <v>5407</v>
      </c>
      <c r="E2660" t="s">
        <v>9299</v>
      </c>
      <c r="F2660" t="s">
        <v>180</v>
      </c>
      <c r="G2660" t="str">
        <f>HYPERLINK("https://www.ozon.ru/context/detail/id/234284143/#58492255")</f>
        <v>https://www.ozon.ru/context/detail/id/234284143/#58492255</v>
      </c>
      <c r="H2660" t="s">
        <v>181</v>
      </c>
      <c r="I2660" t="s">
        <v>9300</v>
      </c>
      <c r="J2660" t="str">
        <f>HYPERLINK("https://www.ozon.ru/context/client_opinion/ClientGuid/e756a1a4-70d4-477d-b2c3-888d5e8a5180/")</f>
        <v>https://www.ozon.ru/context/client_opinion/ClientGuid/e756a1a4-70d4-477d-b2c3-888d5e8a5180/</v>
      </c>
      <c r="L2660" t="s">
        <v>151</v>
      </c>
      <c r="N2660" t="s">
        <v>183</v>
      </c>
      <c r="O2660" t="s">
        <v>5407</v>
      </c>
      <c r="P2660" t="str">
        <f>HYPERLINK("https://www.ozon.ru/context/detail/id/234284143/")</f>
        <v>https://www.ozon.ru/context/detail/id/234284143/</v>
      </c>
      <c r="R2660" t="s">
        <v>184</v>
      </c>
      <c r="S2660" t="s">
        <v>125</v>
      </c>
      <c r="W2660">
        <v>2</v>
      </c>
      <c r="X2660">
        <v>2</v>
      </c>
      <c r="AH2660">
        <v>5</v>
      </c>
      <c r="AM2660" t="s">
        <v>129</v>
      </c>
      <c r="AN2660" t="s">
        <v>130</v>
      </c>
      <c r="AP2660" t="s">
        <v>41</v>
      </c>
      <c r="AT2660" t="s">
        <v>45</v>
      </c>
      <c r="AZ2660" t="s">
        <v>51</v>
      </c>
      <c r="BA2660" t="s">
        <v>52</v>
      </c>
    </row>
    <row r="2661" spans="1:69" x14ac:dyDescent="0.2">
      <c r="A2661" t="s">
        <v>9127</v>
      </c>
      <c r="B2661" t="s">
        <v>1017</v>
      </c>
      <c r="C2661" t="s">
        <v>9301</v>
      </c>
      <c r="D2661" t="s">
        <v>9302</v>
      </c>
      <c r="E2661" t="s">
        <v>9303</v>
      </c>
      <c r="F2661" t="s">
        <v>118</v>
      </c>
      <c r="G2661" t="str">
        <f>HYPERLINK("https://vk.com/wall-22273840_51922?reply=51926")</f>
        <v>https://vk.com/wall-22273840_51922?reply=51926</v>
      </c>
      <c r="H2661" t="s">
        <v>228</v>
      </c>
      <c r="I2661" t="s">
        <v>9304</v>
      </c>
      <c r="J2661" t="str">
        <f>HYPERLINK("http://vk.com/id507566777")</f>
        <v>http://vk.com/id507566777</v>
      </c>
      <c r="K2661">
        <v>19</v>
      </c>
      <c r="L2661" t="s">
        <v>121</v>
      </c>
      <c r="M2661">
        <v>47</v>
      </c>
      <c r="N2661" t="s">
        <v>122</v>
      </c>
      <c r="O2661" t="s">
        <v>9305</v>
      </c>
      <c r="P2661" t="str">
        <f>HYPERLINK("http://vk.com/club22273840")</f>
        <v>http://vk.com/club22273840</v>
      </c>
      <c r="Q2661">
        <v>7928</v>
      </c>
      <c r="R2661" t="s">
        <v>124</v>
      </c>
      <c r="S2661" t="s">
        <v>125</v>
      </c>
      <c r="T2661" t="s">
        <v>2103</v>
      </c>
      <c r="U2661" t="s">
        <v>9306</v>
      </c>
      <c r="AM2661" t="s">
        <v>129</v>
      </c>
      <c r="AN2661" t="s">
        <v>130</v>
      </c>
      <c r="AP2661" t="s">
        <v>41</v>
      </c>
      <c r="AW2661" t="s">
        <v>48</v>
      </c>
      <c r="AZ2661" t="s">
        <v>51</v>
      </c>
      <c r="BB2661" t="s">
        <v>53</v>
      </c>
    </row>
    <row r="2662" spans="1:69" x14ac:dyDescent="0.2">
      <c r="A2662" t="s">
        <v>9127</v>
      </c>
      <c r="B2662" t="s">
        <v>3137</v>
      </c>
      <c r="C2662" t="s">
        <v>9307</v>
      </c>
      <c r="D2662" t="s">
        <v>9308</v>
      </c>
      <c r="E2662" t="s">
        <v>9309</v>
      </c>
      <c r="F2662" t="s">
        <v>180</v>
      </c>
      <c r="G2662" t="str">
        <f>HYPERLINK("https://www.ozon.ru/context/detail/id/258440832/#58490169")</f>
        <v>https://www.ozon.ru/context/detail/id/258440832/#58490169</v>
      </c>
      <c r="H2662" t="s">
        <v>181</v>
      </c>
      <c r="I2662" t="s">
        <v>9310</v>
      </c>
      <c r="J2662" t="str">
        <f>HYPERLINK("https://www.ozon.ru/context/client_opinion/ClientGuid/086413d2-9e8d-4405-8cf7-c4e61c49fe7b/")</f>
        <v>https://www.ozon.ru/context/client_opinion/ClientGuid/086413d2-9e8d-4405-8cf7-c4e61c49fe7b/</v>
      </c>
      <c r="L2662" t="s">
        <v>121</v>
      </c>
      <c r="N2662" t="s">
        <v>183</v>
      </c>
      <c r="O2662" t="s">
        <v>9311</v>
      </c>
      <c r="P2662" t="str">
        <f>HYPERLINK("https://www.ozon.ru/context/detail/id/258440832/")</f>
        <v>https://www.ozon.ru/context/detail/id/258440832/</v>
      </c>
      <c r="R2662" t="s">
        <v>184</v>
      </c>
      <c r="S2662" t="s">
        <v>125</v>
      </c>
      <c r="W2662">
        <v>0</v>
      </c>
      <c r="X2662">
        <v>0</v>
      </c>
      <c r="AH2662">
        <v>5</v>
      </c>
      <c r="AM2662" t="s">
        <v>129</v>
      </c>
      <c r="AN2662" t="s">
        <v>130</v>
      </c>
      <c r="AP2662" t="s">
        <v>41</v>
      </c>
      <c r="AT2662" t="s">
        <v>45</v>
      </c>
      <c r="AZ2662" t="s">
        <v>51</v>
      </c>
      <c r="BA2662" t="s">
        <v>52</v>
      </c>
      <c r="BM2662" t="s">
        <v>64</v>
      </c>
    </row>
    <row r="2663" spans="1:69" x14ac:dyDescent="0.2">
      <c r="A2663" t="s">
        <v>9127</v>
      </c>
      <c r="B2663" t="s">
        <v>8570</v>
      </c>
      <c r="C2663" t="s">
        <v>9312</v>
      </c>
      <c r="D2663" t="s">
        <v>9313</v>
      </c>
      <c r="E2663" t="s">
        <v>9314</v>
      </c>
      <c r="F2663" t="s">
        <v>180</v>
      </c>
      <c r="G2663" t="str">
        <f>HYPERLINK("https://www.wildberries.ru/catalog/14967643/detail.aspx?targetUrl=ES#Comments")</f>
        <v>https://www.wildberries.ru/catalog/14967643/detail.aspx?targetUrl=ES#Comments</v>
      </c>
      <c r="H2663" t="s">
        <v>181</v>
      </c>
      <c r="I2663" t="s">
        <v>1781</v>
      </c>
      <c r="J2663" t="str">
        <f>HYPERLINK("https://www.wildberries.ru/profile/w7TDssOkw7PCu8KzwrXCtsK2wrLCtsK0wrU=")</f>
        <v>https://www.wildberries.ru/profile/w7TDssOkw7PCu8KzwrXCtsK2wrLCtsK0wrU=</v>
      </c>
      <c r="L2663" t="s">
        <v>151</v>
      </c>
      <c r="N2663" t="s">
        <v>534</v>
      </c>
      <c r="O2663" t="s">
        <v>9313</v>
      </c>
      <c r="P2663" t="str">
        <f>HYPERLINK("https://www.wildberries.ru/catalog/11194495/detail.aspx")</f>
        <v>https://www.wildberries.ru/catalog/11194495/detail.aspx</v>
      </c>
      <c r="R2663" t="s">
        <v>184</v>
      </c>
      <c r="S2663" t="s">
        <v>125</v>
      </c>
      <c r="W2663">
        <v>0</v>
      </c>
      <c r="X2663">
        <v>0</v>
      </c>
      <c r="AH2663">
        <v>5</v>
      </c>
      <c r="AM2663" t="s">
        <v>129</v>
      </c>
      <c r="AN2663" t="s">
        <v>130</v>
      </c>
      <c r="AP2663" t="s">
        <v>41</v>
      </c>
      <c r="AZ2663" t="s">
        <v>51</v>
      </c>
      <c r="BA2663" t="s">
        <v>52</v>
      </c>
      <c r="BK2663" t="s">
        <v>62</v>
      </c>
      <c r="BL2663" t="s">
        <v>63</v>
      </c>
    </row>
    <row r="2664" spans="1:69" x14ac:dyDescent="0.2">
      <c r="A2664" t="s">
        <v>9127</v>
      </c>
      <c r="B2664" t="s">
        <v>9315</v>
      </c>
      <c r="C2664" t="s">
        <v>9316</v>
      </c>
      <c r="D2664" t="s">
        <v>9317</v>
      </c>
      <c r="E2664" t="s">
        <v>9318</v>
      </c>
      <c r="F2664" t="s">
        <v>180</v>
      </c>
      <c r="G2664" t="str">
        <f>HYPERLINK("https://otvet.mail.ru/answer/1993640351")</f>
        <v>https://otvet.mail.ru/answer/1993640351</v>
      </c>
      <c r="H2664" t="s">
        <v>181</v>
      </c>
      <c r="I2664" t="s">
        <v>9319</v>
      </c>
      <c r="J2664" t="str">
        <f>HYPERLINK("http://otvet.mail.ru/profile/id56976852")</f>
        <v>http://otvet.mail.ru/profile/id56976852</v>
      </c>
      <c r="L2664" t="s">
        <v>121</v>
      </c>
      <c r="N2664" t="s">
        <v>690</v>
      </c>
      <c r="O2664" t="s">
        <v>9320</v>
      </c>
      <c r="P2664" t="str">
        <f>HYPERLINK("https://otvet.mail.ru/internet/")</f>
        <v>https://otvet.mail.ru/internet/</v>
      </c>
      <c r="R2664" t="s">
        <v>295</v>
      </c>
      <c r="S2664" t="s">
        <v>125</v>
      </c>
      <c r="AM2664" t="s">
        <v>129</v>
      </c>
      <c r="AN2664" t="s">
        <v>130</v>
      </c>
      <c r="AP2664" t="s">
        <v>41</v>
      </c>
      <c r="AZ2664" t="s">
        <v>51</v>
      </c>
      <c r="BB2664" t="s">
        <v>53</v>
      </c>
    </row>
    <row r="2665" spans="1:69" x14ac:dyDescent="0.2">
      <c r="A2665" t="s">
        <v>9127</v>
      </c>
      <c r="B2665" t="s">
        <v>482</v>
      </c>
      <c r="C2665" t="s">
        <v>8818</v>
      </c>
      <c r="D2665" t="s">
        <v>1697</v>
      </c>
      <c r="E2665" t="s">
        <v>9321</v>
      </c>
      <c r="F2665" t="s">
        <v>180</v>
      </c>
      <c r="G2665" t="str">
        <f>HYPERLINK("https://apps.apple.com/ru/app/мой-триколор/id1204321194#7560232484")</f>
        <v>https://apps.apple.com/ru/app/мой-триколор/id1204321194#7560232484</v>
      </c>
      <c r="H2665" t="s">
        <v>119</v>
      </c>
      <c r="I2665" t="s">
        <v>9322</v>
      </c>
      <c r="J2665" t="str">
        <f>HYPERLINK("https://itunes.apple.com/reviews?userProfileId=880642855")</f>
        <v>https://itunes.apple.com/reviews?userProfileId=880642855</v>
      </c>
      <c r="N2665" t="s">
        <v>1411</v>
      </c>
      <c r="O2665" t="s">
        <v>1697</v>
      </c>
      <c r="P2665" t="str">
        <f>HYPERLINK("https://apps.apple.com/ru/app/мой-триколор/id1204321194")</f>
        <v>https://apps.apple.com/ru/app/мой-триколор/id1204321194</v>
      </c>
      <c r="R2665" t="s">
        <v>184</v>
      </c>
      <c r="S2665" t="s">
        <v>125</v>
      </c>
      <c r="AH2665">
        <v>4</v>
      </c>
      <c r="AM2665" t="s">
        <v>129</v>
      </c>
      <c r="AN2665" t="s">
        <v>130</v>
      </c>
      <c r="AP2665" t="s">
        <v>41</v>
      </c>
      <c r="AW2665" t="s">
        <v>48</v>
      </c>
      <c r="AZ2665" t="s">
        <v>51</v>
      </c>
      <c r="BA2665" t="s">
        <v>52</v>
      </c>
      <c r="BQ2665" t="s">
        <v>68</v>
      </c>
    </row>
    <row r="2666" spans="1:69" x14ac:dyDescent="0.2">
      <c r="A2666" t="s">
        <v>9127</v>
      </c>
      <c r="B2666" t="s">
        <v>2088</v>
      </c>
      <c r="C2666" t="s">
        <v>9323</v>
      </c>
      <c r="D2666" t="s">
        <v>9324</v>
      </c>
      <c r="E2666" t="s">
        <v>9325</v>
      </c>
      <c r="F2666" t="s">
        <v>118</v>
      </c>
      <c r="G2666" t="str">
        <f>HYPERLINK("https://vk.com/wall-22477747_427511?reply=427580&amp;thread=427564")</f>
        <v>https://vk.com/wall-22477747_427511?reply=427580&amp;thread=427564</v>
      </c>
      <c r="H2666" t="s">
        <v>119</v>
      </c>
      <c r="I2666" t="s">
        <v>9326</v>
      </c>
      <c r="J2666" t="str">
        <f>HYPERLINK("http://vk.com/id2375111")</f>
        <v>http://vk.com/id2375111</v>
      </c>
      <c r="K2666">
        <v>169</v>
      </c>
      <c r="L2666" t="s">
        <v>151</v>
      </c>
      <c r="M2666">
        <v>52</v>
      </c>
      <c r="N2666" t="s">
        <v>122</v>
      </c>
      <c r="O2666" t="s">
        <v>8906</v>
      </c>
      <c r="P2666" t="str">
        <f>HYPERLINK("http://vk.com/club22477747")</f>
        <v>http://vk.com/club22477747</v>
      </c>
      <c r="Q2666">
        <v>13564</v>
      </c>
      <c r="R2666" t="s">
        <v>124</v>
      </c>
      <c r="S2666" t="s">
        <v>125</v>
      </c>
      <c r="T2666" t="s">
        <v>137</v>
      </c>
      <c r="U2666" t="s">
        <v>137</v>
      </c>
      <c r="AM2666" t="s">
        <v>129</v>
      </c>
      <c r="AN2666" t="s">
        <v>130</v>
      </c>
      <c r="AP2666" t="s">
        <v>41</v>
      </c>
      <c r="AZ2666" t="s">
        <v>51</v>
      </c>
      <c r="BA2666" t="s">
        <v>52</v>
      </c>
      <c r="BL2666" t="s">
        <v>63</v>
      </c>
    </row>
    <row r="2667" spans="1:69" x14ac:dyDescent="0.2">
      <c r="A2667" t="s">
        <v>9127</v>
      </c>
      <c r="B2667" t="s">
        <v>9327</v>
      </c>
      <c r="C2667" t="s">
        <v>9328</v>
      </c>
      <c r="D2667" t="s">
        <v>9260</v>
      </c>
      <c r="E2667" t="s">
        <v>9329</v>
      </c>
      <c r="F2667" t="s">
        <v>118</v>
      </c>
      <c r="G2667" t="str">
        <f>HYPERLINK("https://vk.com/wall-22935147_368282?reply=368284")</f>
        <v>https://vk.com/wall-22935147_368282?reply=368284</v>
      </c>
      <c r="H2667" t="s">
        <v>119</v>
      </c>
      <c r="I2667" t="s">
        <v>2906</v>
      </c>
      <c r="J2667" t="str">
        <f>HYPERLINK("http://vk.com/id72308876")</f>
        <v>http://vk.com/id72308876</v>
      </c>
      <c r="K2667">
        <v>466</v>
      </c>
      <c r="L2667" t="s">
        <v>121</v>
      </c>
      <c r="M2667">
        <v>36</v>
      </c>
      <c r="N2667" t="s">
        <v>122</v>
      </c>
      <c r="O2667" t="s">
        <v>1093</v>
      </c>
      <c r="P2667" t="str">
        <f>HYPERLINK("http://vk.com/club22935147")</f>
        <v>http://vk.com/club22935147</v>
      </c>
      <c r="Q2667">
        <v>8943</v>
      </c>
      <c r="R2667" t="s">
        <v>124</v>
      </c>
      <c r="S2667" t="s">
        <v>125</v>
      </c>
      <c r="T2667" t="s">
        <v>1365</v>
      </c>
      <c r="U2667" t="s">
        <v>2907</v>
      </c>
      <c r="W2667">
        <v>0</v>
      </c>
      <c r="X2667">
        <v>0</v>
      </c>
      <c r="AM2667" t="s">
        <v>129</v>
      </c>
      <c r="AN2667" t="s">
        <v>130</v>
      </c>
      <c r="AP2667" t="s">
        <v>41</v>
      </c>
      <c r="AT2667" t="s">
        <v>45</v>
      </c>
      <c r="AZ2667" t="s">
        <v>51</v>
      </c>
      <c r="BA2667" t="s">
        <v>52</v>
      </c>
      <c r="BL2667" t="s">
        <v>63</v>
      </c>
    </row>
    <row r="2668" spans="1:69" x14ac:dyDescent="0.2">
      <c r="A2668" t="s">
        <v>9127</v>
      </c>
      <c r="B2668" t="s">
        <v>2094</v>
      </c>
      <c r="C2668" t="s">
        <v>9328</v>
      </c>
      <c r="D2668" t="s">
        <v>129</v>
      </c>
      <c r="E2668" t="s">
        <v>9260</v>
      </c>
      <c r="F2668" t="s">
        <v>180</v>
      </c>
      <c r="G2668" t="str">
        <f>HYPERLINK("https://vk.com/wall-22935147_368282")</f>
        <v>https://vk.com/wall-22935147_368282</v>
      </c>
      <c r="H2668" t="s">
        <v>119</v>
      </c>
      <c r="I2668" t="s">
        <v>9271</v>
      </c>
      <c r="J2668" t="str">
        <f>HYPERLINK("http://vk.com/id99388581")</f>
        <v>http://vk.com/id99388581</v>
      </c>
      <c r="K2668">
        <v>151</v>
      </c>
      <c r="L2668" t="s">
        <v>121</v>
      </c>
      <c r="M2668">
        <v>44</v>
      </c>
      <c r="N2668" t="s">
        <v>122</v>
      </c>
      <c r="O2668" t="s">
        <v>1093</v>
      </c>
      <c r="P2668" t="str">
        <f>HYPERLINK("http://vk.com/club22935147")</f>
        <v>http://vk.com/club22935147</v>
      </c>
      <c r="Q2668">
        <v>8943</v>
      </c>
      <c r="R2668" t="s">
        <v>124</v>
      </c>
      <c r="S2668" t="s">
        <v>125</v>
      </c>
      <c r="T2668" t="s">
        <v>212</v>
      </c>
      <c r="U2668" t="s">
        <v>9330</v>
      </c>
      <c r="W2668">
        <v>6</v>
      </c>
      <c r="X2668">
        <v>6</v>
      </c>
      <c r="AE2668">
        <v>5</v>
      </c>
      <c r="AF2668">
        <v>0</v>
      </c>
      <c r="AG2668">
        <v>2129</v>
      </c>
      <c r="AJ2668" t="s">
        <v>129</v>
      </c>
      <c r="AK2668" t="s">
        <v>129</v>
      </c>
      <c r="AL2668" t="str">
        <f>HYPERLINK("https://sun9-66.userapi.com/impg/HPMIJ16T-7IY8by50De_QGN44BvWgXgv2VZwAA/PMjasfSgQ_Q.jpg?size=1200x1600&amp;quality=96&amp;sign=2fdef422de98b8667d3ff93cf7976823&amp;c_uniq_tag=3B6NPlfmyH2_zSZKJudtSQw5ZURuk4j9evf4ENl-hS4&amp;type=album")</f>
        <v>https://sun9-66.userapi.com/impg/HPMIJ16T-7IY8by50De_QGN44BvWgXgv2VZwAA/PMjasfSgQ_Q.jpg?size=1200x1600&amp;quality=96&amp;sign=2fdef422de98b8667d3ff93cf7976823&amp;c_uniq_tag=3B6NPlfmyH2_zSZKJudtSQw5ZURuk4j9evf4ENl-hS4&amp;type=album</v>
      </c>
      <c r="AM2668" t="s">
        <v>129</v>
      </c>
      <c r="AN2668" t="s">
        <v>130</v>
      </c>
      <c r="AP2668" t="s">
        <v>41</v>
      </c>
      <c r="AU2668" t="s">
        <v>46</v>
      </c>
      <c r="BA2668" t="s">
        <v>52</v>
      </c>
      <c r="BE2668" t="s">
        <v>56</v>
      </c>
      <c r="BL2668" t="s">
        <v>63</v>
      </c>
    </row>
    <row r="2669" spans="1:69" x14ac:dyDescent="0.2">
      <c r="A2669" t="s">
        <v>9127</v>
      </c>
      <c r="B2669" t="s">
        <v>1057</v>
      </c>
      <c r="C2669" t="s">
        <v>9331</v>
      </c>
      <c r="D2669" t="s">
        <v>9332</v>
      </c>
      <c r="E2669" t="s">
        <v>9333</v>
      </c>
      <c r="F2669" t="s">
        <v>118</v>
      </c>
      <c r="G2669" t="str">
        <f>HYPERLINK("https://vk.com/wall-22264426_82818?reply=82877")</f>
        <v>https://vk.com/wall-22264426_82818?reply=82877</v>
      </c>
      <c r="H2669" t="s">
        <v>119</v>
      </c>
      <c r="I2669" t="s">
        <v>9334</v>
      </c>
      <c r="J2669" t="str">
        <f>HYPERLINK("http://vk.com/id552924221")</f>
        <v>http://vk.com/id552924221</v>
      </c>
      <c r="K2669">
        <v>6</v>
      </c>
      <c r="L2669" t="s">
        <v>121</v>
      </c>
      <c r="M2669">
        <v>17</v>
      </c>
      <c r="N2669" t="s">
        <v>122</v>
      </c>
      <c r="O2669" t="s">
        <v>9335</v>
      </c>
      <c r="P2669" t="str">
        <f>HYPERLINK("http://vk.com/club22264426")</f>
        <v>http://vk.com/club22264426</v>
      </c>
      <c r="Q2669">
        <v>22122</v>
      </c>
      <c r="R2669" t="s">
        <v>124</v>
      </c>
      <c r="S2669" t="s">
        <v>125</v>
      </c>
      <c r="T2669" t="s">
        <v>137</v>
      </c>
      <c r="U2669" t="s">
        <v>137</v>
      </c>
      <c r="AM2669" t="s">
        <v>129</v>
      </c>
      <c r="AN2669" t="s">
        <v>130</v>
      </c>
      <c r="AP2669" t="s">
        <v>41</v>
      </c>
      <c r="AU2669" t="s">
        <v>46</v>
      </c>
      <c r="AZ2669" t="s">
        <v>51</v>
      </c>
      <c r="BA2669" t="s">
        <v>52</v>
      </c>
    </row>
    <row r="2670" spans="1:69" x14ac:dyDescent="0.2">
      <c r="A2670" t="s">
        <v>9127</v>
      </c>
      <c r="B2670" t="s">
        <v>3853</v>
      </c>
      <c r="C2670" t="s">
        <v>9328</v>
      </c>
      <c r="D2670" t="s">
        <v>8392</v>
      </c>
      <c r="E2670" t="s">
        <v>9336</v>
      </c>
      <c r="F2670" t="s">
        <v>118</v>
      </c>
      <c r="G2670" t="str">
        <f>HYPERLINK("https://vk.com/wall-27863223_291580?w=wall-27863223_291580_r291590")</f>
        <v>https://vk.com/wall-27863223_291580?w=wall-27863223_291580_r291590</v>
      </c>
      <c r="H2670" t="s">
        <v>228</v>
      </c>
      <c r="I2670" t="s">
        <v>8891</v>
      </c>
      <c r="J2670" t="str">
        <f>HYPERLINK("http://vk.com/id178518958")</f>
        <v>http://vk.com/id178518958</v>
      </c>
      <c r="K2670">
        <v>126</v>
      </c>
      <c r="L2670" t="s">
        <v>121</v>
      </c>
      <c r="M2670">
        <v>49</v>
      </c>
      <c r="N2670" t="s">
        <v>122</v>
      </c>
      <c r="O2670" t="s">
        <v>175</v>
      </c>
      <c r="P2670" t="str">
        <f>HYPERLINK("http://vk.com/club27863223")</f>
        <v>http://vk.com/club27863223</v>
      </c>
      <c r="Q2670">
        <v>134698</v>
      </c>
      <c r="R2670" t="s">
        <v>124</v>
      </c>
      <c r="S2670" t="s">
        <v>125</v>
      </c>
      <c r="T2670" t="s">
        <v>2166</v>
      </c>
      <c r="U2670" t="s">
        <v>8892</v>
      </c>
      <c r="W2670">
        <v>0</v>
      </c>
      <c r="X2670">
        <v>0</v>
      </c>
      <c r="AM2670" t="s">
        <v>129</v>
      </c>
      <c r="AN2670" t="s">
        <v>130</v>
      </c>
      <c r="AP2670" t="s">
        <v>41</v>
      </c>
      <c r="AU2670" t="s">
        <v>46</v>
      </c>
      <c r="BA2670" t="s">
        <v>52</v>
      </c>
      <c r="BE2670" t="s">
        <v>56</v>
      </c>
    </row>
    <row r="2671" spans="1:69" x14ac:dyDescent="0.2">
      <c r="A2671" t="s">
        <v>9127</v>
      </c>
      <c r="B2671" t="s">
        <v>1637</v>
      </c>
      <c r="C2671" t="s">
        <v>9337</v>
      </c>
      <c r="D2671" t="s">
        <v>204</v>
      </c>
      <c r="E2671" t="s">
        <v>9338</v>
      </c>
      <c r="F2671" t="s">
        <v>180</v>
      </c>
      <c r="G2671" t="str">
        <f>HYPERLINK("https://play.google.com/store/apps/details?id=ru.iflex.android.a3colortv&amp;reviewId=gp:AOqpTOE5FgWLRRmBvqjJv3E9YQJKHmrGrb6loM5HRZaoIHwyeTxL0fDF5eWduvnD5yo9DNmkLvufzGMCDwsI0w")</f>
        <v>https://play.google.com/store/apps/details?id=ru.iflex.android.a3colortv&amp;reviewId=gp:AOqpTOE5FgWLRRmBvqjJv3E9YQJKHmrGrb6loM5HRZaoIHwyeTxL0fDF5eWduvnD5yo9DNmkLvufzGMCDwsI0w</v>
      </c>
      <c r="H2671" t="s">
        <v>181</v>
      </c>
      <c r="I2671" t="s">
        <v>9339</v>
      </c>
      <c r="J2671" t="str">
        <f>HYPERLINK("https://plus.google.com/116754358495050530093")</f>
        <v>https://plus.google.com/116754358495050530093</v>
      </c>
      <c r="L2671" t="s">
        <v>121</v>
      </c>
      <c r="N2671" t="s">
        <v>207</v>
      </c>
      <c r="O2671" t="s">
        <v>204</v>
      </c>
      <c r="P2671" t="str">
        <f>HYPERLINK("https://play.google.com/store/apps/details?id=ru.iflex.android.a3colortv&amp;hl=ru")</f>
        <v>https://play.google.com/store/apps/details?id=ru.iflex.android.a3colortv&amp;hl=ru</v>
      </c>
      <c r="R2671" t="s">
        <v>184</v>
      </c>
      <c r="S2671" t="s">
        <v>125</v>
      </c>
      <c r="W2671">
        <v>0</v>
      </c>
      <c r="X2671">
        <v>0</v>
      </c>
      <c r="AH2671">
        <v>5</v>
      </c>
      <c r="AM2671" t="s">
        <v>129</v>
      </c>
      <c r="AN2671" t="s">
        <v>130</v>
      </c>
      <c r="AP2671" t="s">
        <v>41</v>
      </c>
      <c r="AZ2671" t="s">
        <v>51</v>
      </c>
      <c r="BA2671" t="s">
        <v>52</v>
      </c>
      <c r="BQ2671" t="s">
        <v>68</v>
      </c>
    </row>
    <row r="2672" spans="1:69" x14ac:dyDescent="0.2">
      <c r="A2672" t="s">
        <v>9127</v>
      </c>
      <c r="B2672" t="s">
        <v>4825</v>
      </c>
      <c r="C2672" t="s">
        <v>9340</v>
      </c>
      <c r="D2672" t="s">
        <v>8392</v>
      </c>
      <c r="E2672" t="s">
        <v>9341</v>
      </c>
      <c r="F2672" t="s">
        <v>118</v>
      </c>
      <c r="G2672" t="str">
        <f>HYPERLINK("https://vk.com/wall-27863223_291580?w=wall-27863223_291580_r291588")</f>
        <v>https://vk.com/wall-27863223_291580?w=wall-27863223_291580_r291588</v>
      </c>
      <c r="H2672" t="s">
        <v>119</v>
      </c>
      <c r="I2672" t="s">
        <v>7312</v>
      </c>
      <c r="J2672" t="str">
        <f>HYPERLINK("http://vk.com/id405320478")</f>
        <v>http://vk.com/id405320478</v>
      </c>
      <c r="K2672">
        <v>11</v>
      </c>
      <c r="L2672" t="s">
        <v>121</v>
      </c>
      <c r="M2672">
        <v>46</v>
      </c>
      <c r="N2672" t="s">
        <v>122</v>
      </c>
      <c r="O2672" t="s">
        <v>175</v>
      </c>
      <c r="P2672" t="str">
        <f>HYPERLINK("http://vk.com/club27863223")</f>
        <v>http://vk.com/club27863223</v>
      </c>
      <c r="Q2672">
        <v>134698</v>
      </c>
      <c r="R2672" t="s">
        <v>124</v>
      </c>
      <c r="W2672">
        <v>0</v>
      </c>
      <c r="X2672">
        <v>0</v>
      </c>
      <c r="AM2672" t="s">
        <v>129</v>
      </c>
      <c r="AN2672" t="s">
        <v>130</v>
      </c>
      <c r="AP2672" t="s">
        <v>41</v>
      </c>
      <c r="AU2672" t="s">
        <v>46</v>
      </c>
      <c r="BA2672" t="s">
        <v>52</v>
      </c>
      <c r="BE2672" t="s">
        <v>56</v>
      </c>
    </row>
    <row r="2673" spans="1:69" x14ac:dyDescent="0.2">
      <c r="A2673" t="s">
        <v>9127</v>
      </c>
      <c r="B2673" t="s">
        <v>3879</v>
      </c>
      <c r="C2673" t="s">
        <v>9342</v>
      </c>
      <c r="D2673" t="s">
        <v>7565</v>
      </c>
      <c r="E2673" t="s">
        <v>9343</v>
      </c>
      <c r="F2673" t="s">
        <v>118</v>
      </c>
      <c r="G2673" t="str">
        <f>HYPERLINK("https://vk.com/wall-199277766_720?reply=721")</f>
        <v>https://vk.com/wall-199277766_720?reply=721</v>
      </c>
      <c r="H2673" t="s">
        <v>119</v>
      </c>
      <c r="I2673" t="s">
        <v>254</v>
      </c>
      <c r="J2673" t="str">
        <f>HYPERLINK("http://vk.com/id286061518")</f>
        <v>http://vk.com/id286061518</v>
      </c>
      <c r="K2673">
        <v>5170</v>
      </c>
      <c r="L2673" t="s">
        <v>121</v>
      </c>
      <c r="M2673">
        <v>34</v>
      </c>
      <c r="N2673" t="s">
        <v>122</v>
      </c>
      <c r="O2673" t="s">
        <v>255</v>
      </c>
      <c r="P2673" t="str">
        <f>HYPERLINK("http://vk.com/club199277766")</f>
        <v>http://vk.com/club199277766</v>
      </c>
      <c r="Q2673">
        <v>53</v>
      </c>
      <c r="R2673" t="s">
        <v>124</v>
      </c>
      <c r="S2673" t="s">
        <v>125</v>
      </c>
      <c r="T2673" t="s">
        <v>256</v>
      </c>
      <c r="U2673" t="s">
        <v>257</v>
      </c>
      <c r="AM2673" t="s">
        <v>129</v>
      </c>
      <c r="AN2673" t="s">
        <v>130</v>
      </c>
      <c r="AP2673" t="s">
        <v>41</v>
      </c>
      <c r="AU2673" t="s">
        <v>46</v>
      </c>
      <c r="AZ2673" t="s">
        <v>51</v>
      </c>
      <c r="BA2673" t="s">
        <v>52</v>
      </c>
    </row>
    <row r="2674" spans="1:69" x14ac:dyDescent="0.2">
      <c r="A2674" t="s">
        <v>9127</v>
      </c>
      <c r="B2674" t="s">
        <v>1651</v>
      </c>
      <c r="C2674" t="s">
        <v>9344</v>
      </c>
      <c r="D2674" t="s">
        <v>9345</v>
      </c>
      <c r="E2674" t="s">
        <v>9346</v>
      </c>
      <c r="F2674" t="s">
        <v>118</v>
      </c>
      <c r="G2674" t="str">
        <f>HYPERLINK("https://ok.ru/group/55870820515875/topic/154057674247459#MTYyNTkwOTQ5MTc0OTotOTE5OjE2MjU5MDk0OTE3NDk6MTU0MDU3Njc0MjQ3NDU5OjE=")</f>
        <v>https://ok.ru/group/55870820515875/topic/154057674247459#MTYyNTkwOTQ5MTc0OTotOTE5OjE2MjU5MDk0OTE3NDk6MTU0MDU3Njc0MjQ3NDU5OjE=</v>
      </c>
      <c r="H2674" t="s">
        <v>181</v>
      </c>
      <c r="I2674" t="s">
        <v>9347</v>
      </c>
      <c r="J2674" t="str">
        <f>HYPERLINK("https://ok.ru/profile/578391309757")</f>
        <v>https://ok.ru/profile/578391309757</v>
      </c>
      <c r="K2674">
        <v>12</v>
      </c>
      <c r="L2674" t="s">
        <v>151</v>
      </c>
      <c r="M2674">
        <v>58</v>
      </c>
      <c r="N2674" t="s">
        <v>347</v>
      </c>
      <c r="O2674" t="s">
        <v>9348</v>
      </c>
      <c r="P2674" t="str">
        <f>HYPERLINK("https://ok.ru/group/55870820515875")</f>
        <v>https://ok.ru/group/55870820515875</v>
      </c>
      <c r="Q2674">
        <v>9755</v>
      </c>
      <c r="R2674" t="s">
        <v>124</v>
      </c>
      <c r="S2674" t="s">
        <v>125</v>
      </c>
      <c r="W2674">
        <v>0</v>
      </c>
      <c r="X2674">
        <v>0</v>
      </c>
      <c r="AM2674" t="s">
        <v>129</v>
      </c>
      <c r="AN2674" t="s">
        <v>130</v>
      </c>
      <c r="AP2674" t="s">
        <v>41</v>
      </c>
      <c r="AZ2674" t="s">
        <v>51</v>
      </c>
      <c r="BB2674" t="s">
        <v>53</v>
      </c>
    </row>
    <row r="2675" spans="1:69" x14ac:dyDescent="0.2">
      <c r="A2675" t="s">
        <v>9127</v>
      </c>
      <c r="B2675" t="s">
        <v>1651</v>
      </c>
      <c r="C2675" t="s">
        <v>9349</v>
      </c>
      <c r="D2675" t="s">
        <v>8392</v>
      </c>
      <c r="E2675" t="s">
        <v>9350</v>
      </c>
      <c r="F2675" t="s">
        <v>118</v>
      </c>
      <c r="G2675" t="str">
        <f>HYPERLINK("https://vk.com/wall-27863223_291580?reply=291586")</f>
        <v>https://vk.com/wall-27863223_291580?reply=291586</v>
      </c>
      <c r="H2675" t="s">
        <v>228</v>
      </c>
      <c r="I2675" t="s">
        <v>9351</v>
      </c>
      <c r="J2675" t="str">
        <f>HYPERLINK("http://vk.com/id144201612")</f>
        <v>http://vk.com/id144201612</v>
      </c>
      <c r="K2675">
        <v>59</v>
      </c>
      <c r="L2675" t="s">
        <v>121</v>
      </c>
      <c r="M2675">
        <v>31</v>
      </c>
      <c r="N2675" t="s">
        <v>122</v>
      </c>
      <c r="O2675" t="s">
        <v>175</v>
      </c>
      <c r="P2675" t="str">
        <f>HYPERLINK("http://vk.com/club27863223")</f>
        <v>http://vk.com/club27863223</v>
      </c>
      <c r="Q2675">
        <v>134698</v>
      </c>
      <c r="R2675" t="s">
        <v>124</v>
      </c>
      <c r="S2675" t="s">
        <v>1884</v>
      </c>
      <c r="T2675" t="s">
        <v>3228</v>
      </c>
      <c r="U2675" t="s">
        <v>3229</v>
      </c>
      <c r="W2675">
        <v>0</v>
      </c>
      <c r="X2675">
        <v>0</v>
      </c>
      <c r="AM2675" t="s">
        <v>129</v>
      </c>
      <c r="AN2675" t="s">
        <v>130</v>
      </c>
      <c r="AP2675" t="s">
        <v>41</v>
      </c>
      <c r="AU2675" t="s">
        <v>46</v>
      </c>
      <c r="AZ2675" t="s">
        <v>51</v>
      </c>
      <c r="BA2675" t="s">
        <v>52</v>
      </c>
    </row>
    <row r="2676" spans="1:69" x14ac:dyDescent="0.2">
      <c r="A2676" t="s">
        <v>9127</v>
      </c>
      <c r="B2676" t="s">
        <v>5273</v>
      </c>
      <c r="C2676" t="s">
        <v>9352</v>
      </c>
      <c r="D2676" t="s">
        <v>9353</v>
      </c>
      <c r="E2676" t="s">
        <v>9354</v>
      </c>
      <c r="F2676" t="s">
        <v>118</v>
      </c>
      <c r="G2676" t="str">
        <f>HYPERLINK("https://telegram.me/fcalania_chat/27320")</f>
        <v>https://telegram.me/fcalania_chat/27320</v>
      </c>
      <c r="H2676" t="s">
        <v>119</v>
      </c>
      <c r="I2676" t="s">
        <v>9355</v>
      </c>
      <c r="J2676" t="str">
        <f>HYPERLINK("https://telegram.me/1096730845")</f>
        <v>https://telegram.me/1096730845</v>
      </c>
      <c r="L2676" t="s">
        <v>121</v>
      </c>
      <c r="N2676" t="s">
        <v>143</v>
      </c>
      <c r="O2676" t="s">
        <v>9356</v>
      </c>
      <c r="P2676" t="str">
        <f>HYPERLINK("https://telegram.me/fcalania_chat")</f>
        <v>https://telegram.me/fcalania_chat</v>
      </c>
      <c r="Q2676">
        <v>163</v>
      </c>
      <c r="R2676" t="s">
        <v>145</v>
      </c>
      <c r="AM2676" t="s">
        <v>129</v>
      </c>
      <c r="AN2676" t="s">
        <v>130</v>
      </c>
      <c r="AP2676" t="s">
        <v>41</v>
      </c>
      <c r="AU2676" t="s">
        <v>46</v>
      </c>
      <c r="AZ2676" t="s">
        <v>51</v>
      </c>
      <c r="BA2676" t="s">
        <v>52</v>
      </c>
    </row>
    <row r="2677" spans="1:69" x14ac:dyDescent="0.2">
      <c r="A2677" t="s">
        <v>9127</v>
      </c>
      <c r="B2677" t="s">
        <v>3895</v>
      </c>
      <c r="C2677" t="s">
        <v>9357</v>
      </c>
      <c r="D2677" t="s">
        <v>9358</v>
      </c>
      <c r="E2677" t="s">
        <v>9359</v>
      </c>
      <c r="F2677" t="s">
        <v>118</v>
      </c>
      <c r="G2677" t="str">
        <f>HYPERLINK("https://vk.com/wall-197469803_5343?reply=5350&amp;thread=5346")</f>
        <v>https://vk.com/wall-197469803_5343?reply=5350&amp;thread=5346</v>
      </c>
      <c r="H2677" t="s">
        <v>119</v>
      </c>
      <c r="I2677" t="s">
        <v>9360</v>
      </c>
      <c r="J2677" t="str">
        <f>HYPERLINK("http://vk.com/club197469803")</f>
        <v>http://vk.com/club197469803</v>
      </c>
      <c r="K2677">
        <v>4232</v>
      </c>
      <c r="L2677" t="s">
        <v>340</v>
      </c>
      <c r="N2677" t="s">
        <v>122</v>
      </c>
      <c r="O2677" t="s">
        <v>9360</v>
      </c>
      <c r="P2677" t="str">
        <f>HYPERLINK("http://vk.com/club197469803")</f>
        <v>http://vk.com/club197469803</v>
      </c>
      <c r="Q2677">
        <v>4232</v>
      </c>
      <c r="R2677" t="s">
        <v>124</v>
      </c>
      <c r="S2677" t="s">
        <v>125</v>
      </c>
      <c r="T2677" t="s">
        <v>169</v>
      </c>
      <c r="U2677" t="s">
        <v>169</v>
      </c>
      <c r="AM2677" t="s">
        <v>129</v>
      </c>
      <c r="AN2677" t="s">
        <v>130</v>
      </c>
      <c r="AP2677" t="s">
        <v>41</v>
      </c>
      <c r="AU2677" t="s">
        <v>46</v>
      </c>
      <c r="AZ2677" t="s">
        <v>51</v>
      </c>
      <c r="BA2677" t="s">
        <v>52</v>
      </c>
    </row>
    <row r="2678" spans="1:69" x14ac:dyDescent="0.2">
      <c r="A2678" t="s">
        <v>9127</v>
      </c>
      <c r="B2678" t="s">
        <v>2121</v>
      </c>
      <c r="C2678" t="s">
        <v>9352</v>
      </c>
      <c r="D2678" t="s">
        <v>9361</v>
      </c>
      <c r="E2678" t="s">
        <v>9353</v>
      </c>
      <c r="F2678" t="s">
        <v>118</v>
      </c>
      <c r="G2678" t="str">
        <f>HYPERLINK("https://telegram.me/fcalania_chat/27317")</f>
        <v>https://telegram.me/fcalania_chat/27317</v>
      </c>
      <c r="H2678" t="s">
        <v>119</v>
      </c>
      <c r="I2678" t="s">
        <v>9362</v>
      </c>
      <c r="J2678" t="str">
        <f>HYPERLINK("https://telegram.me/groupanonymousbot")</f>
        <v>https://telegram.me/groupanonymousbot</v>
      </c>
      <c r="N2678" t="s">
        <v>143</v>
      </c>
      <c r="O2678" t="s">
        <v>9356</v>
      </c>
      <c r="P2678" t="str">
        <f>HYPERLINK("https://telegram.me/fcalania_chat")</f>
        <v>https://telegram.me/fcalania_chat</v>
      </c>
      <c r="Q2678">
        <v>163</v>
      </c>
      <c r="R2678" t="s">
        <v>145</v>
      </c>
      <c r="AM2678" t="s">
        <v>129</v>
      </c>
      <c r="AN2678" t="s">
        <v>130</v>
      </c>
      <c r="AP2678" t="s">
        <v>41</v>
      </c>
      <c r="AT2678" t="s">
        <v>45</v>
      </c>
      <c r="AZ2678" t="s">
        <v>51</v>
      </c>
      <c r="BA2678" t="s">
        <v>52</v>
      </c>
    </row>
    <row r="2679" spans="1:69" x14ac:dyDescent="0.2">
      <c r="A2679" t="s">
        <v>9127</v>
      </c>
      <c r="B2679" t="s">
        <v>1094</v>
      </c>
      <c r="C2679" t="s">
        <v>9363</v>
      </c>
      <c r="D2679" t="s">
        <v>9364</v>
      </c>
      <c r="E2679" t="s">
        <v>9365</v>
      </c>
      <c r="F2679" t="s">
        <v>118</v>
      </c>
      <c r="G2679" t="str">
        <f>HYPERLINK("https://vk.com/wall-60374246_132822?reply=132875")</f>
        <v>https://vk.com/wall-60374246_132822?reply=132875</v>
      </c>
      <c r="H2679" t="s">
        <v>119</v>
      </c>
      <c r="I2679" t="s">
        <v>9366</v>
      </c>
      <c r="J2679" t="str">
        <f>HYPERLINK("http://vk.com/id403456891")</f>
        <v>http://vk.com/id403456891</v>
      </c>
      <c r="K2679">
        <v>31</v>
      </c>
      <c r="L2679" t="s">
        <v>151</v>
      </c>
      <c r="N2679" t="s">
        <v>122</v>
      </c>
      <c r="O2679" t="s">
        <v>9367</v>
      </c>
      <c r="P2679" t="str">
        <f>HYPERLINK("http://vk.com/club60374246")</f>
        <v>http://vk.com/club60374246</v>
      </c>
      <c r="Q2679">
        <v>8771</v>
      </c>
      <c r="R2679" t="s">
        <v>124</v>
      </c>
      <c r="S2679" t="s">
        <v>125</v>
      </c>
      <c r="T2679" t="s">
        <v>2225</v>
      </c>
      <c r="U2679" t="s">
        <v>9368</v>
      </c>
      <c r="AM2679" t="s">
        <v>129</v>
      </c>
      <c r="AN2679" t="s">
        <v>130</v>
      </c>
      <c r="AP2679" t="s">
        <v>41</v>
      </c>
      <c r="AY2679" t="s">
        <v>50</v>
      </c>
      <c r="AZ2679" t="s">
        <v>51</v>
      </c>
      <c r="BA2679" t="s">
        <v>52</v>
      </c>
    </row>
    <row r="2680" spans="1:69" x14ac:dyDescent="0.2">
      <c r="A2680" t="s">
        <v>9127</v>
      </c>
      <c r="B2680" t="s">
        <v>7849</v>
      </c>
      <c r="C2680" t="s">
        <v>9369</v>
      </c>
      <c r="D2680" t="s">
        <v>1336</v>
      </c>
      <c r="E2680" t="s">
        <v>9370</v>
      </c>
      <c r="F2680" t="s">
        <v>118</v>
      </c>
      <c r="G2680" t="str">
        <f>HYPERLINK("https://www.youtube.com/watch?v=XSvUHFcHCNU&amp;lc=UgyI8R6p1tae9yVhHu94AaABAg")</f>
        <v>https://www.youtube.com/watch?v=XSvUHFcHCNU&amp;lc=UgyI8R6p1tae9yVhHu94AaABAg</v>
      </c>
      <c r="H2680" t="s">
        <v>119</v>
      </c>
      <c r="I2680" t="s">
        <v>9371</v>
      </c>
      <c r="J2680" t="str">
        <f>HYPERLINK("https://www.youtube.com/channel/UCM1lV_870AkxL7vYox09xOg")</f>
        <v>https://www.youtube.com/channel/UCM1lV_870AkxL7vYox09xOg</v>
      </c>
      <c r="K2680">
        <v>0</v>
      </c>
      <c r="N2680" t="s">
        <v>248</v>
      </c>
      <c r="O2680" t="s">
        <v>1338</v>
      </c>
      <c r="P2680" t="str">
        <f>HYPERLINK("https://www.youtube.com/channel/UCbGvxMcJgZWpeT0ymfG7-RQ")</f>
        <v>https://www.youtube.com/channel/UCbGvxMcJgZWpeT0ymfG7-RQ</v>
      </c>
      <c r="Q2680">
        <v>818</v>
      </c>
      <c r="R2680" t="s">
        <v>124</v>
      </c>
      <c r="W2680">
        <v>0</v>
      </c>
      <c r="X2680">
        <v>0</v>
      </c>
      <c r="AE2680">
        <v>1</v>
      </c>
      <c r="AM2680" t="s">
        <v>129</v>
      </c>
      <c r="AN2680" t="s">
        <v>130</v>
      </c>
      <c r="AP2680" t="s">
        <v>41</v>
      </c>
      <c r="AU2680" t="s">
        <v>46</v>
      </c>
      <c r="AZ2680" t="s">
        <v>51</v>
      </c>
      <c r="BA2680" t="s">
        <v>52</v>
      </c>
    </row>
    <row r="2681" spans="1:69" x14ac:dyDescent="0.2">
      <c r="A2681" t="s">
        <v>9127</v>
      </c>
      <c r="B2681" t="s">
        <v>6164</v>
      </c>
      <c r="C2681" t="s">
        <v>9372</v>
      </c>
      <c r="D2681" t="s">
        <v>129</v>
      </c>
      <c r="E2681" t="s">
        <v>9373</v>
      </c>
      <c r="F2681" t="s">
        <v>180</v>
      </c>
      <c r="G2681" t="str">
        <f>HYPERLINK("https://twitter.com/360582757/status/1413775561126780931")</f>
        <v>https://twitter.com/360582757/status/1413775561126780931</v>
      </c>
      <c r="H2681" t="s">
        <v>119</v>
      </c>
      <c r="I2681" t="s">
        <v>175</v>
      </c>
      <c r="J2681" t="str">
        <f>HYPERLINK("http://twitter.com/tricolortv")</f>
        <v>http://twitter.com/tricolortv</v>
      </c>
      <c r="K2681">
        <v>5663</v>
      </c>
      <c r="N2681" t="s">
        <v>350</v>
      </c>
      <c r="R2681" t="s">
        <v>124</v>
      </c>
      <c r="S2681" t="s">
        <v>125</v>
      </c>
      <c r="T2681" t="s">
        <v>137</v>
      </c>
      <c r="U2681" t="s">
        <v>137</v>
      </c>
      <c r="W2681">
        <v>1</v>
      </c>
      <c r="X2681">
        <v>1</v>
      </c>
      <c r="AE2681">
        <v>1</v>
      </c>
      <c r="AF2681">
        <v>1</v>
      </c>
      <c r="AJ2681" t="s">
        <v>9374</v>
      </c>
      <c r="AK2681" t="s">
        <v>9375</v>
      </c>
      <c r="AL2681" t="str">
        <f>HYPERLINK("https://pbs.twimg.com/media/E569WE7XoAIrg37.jpg")</f>
        <v>https://pbs.twimg.com/media/E569WE7XoAIrg37.jpg</v>
      </c>
      <c r="AM2681" t="s">
        <v>129</v>
      </c>
      <c r="AN2681" t="s">
        <v>130</v>
      </c>
      <c r="BI2681" t="s">
        <v>60</v>
      </c>
    </row>
    <row r="2682" spans="1:69" x14ac:dyDescent="0.2">
      <c r="A2682" t="s">
        <v>9127</v>
      </c>
      <c r="B2682" t="s">
        <v>2724</v>
      </c>
      <c r="C2682" t="s">
        <v>9376</v>
      </c>
      <c r="D2682" t="s">
        <v>8392</v>
      </c>
      <c r="E2682" t="s">
        <v>9377</v>
      </c>
      <c r="F2682" t="s">
        <v>180</v>
      </c>
      <c r="G2682" t="str">
        <f>HYPERLINK("https://ok.ru/group/51085510115462/topic/153429563254150")</f>
        <v>https://ok.ru/group/51085510115462/topic/153429563254150</v>
      </c>
      <c r="H2682" t="s">
        <v>119</v>
      </c>
      <c r="I2682" t="s">
        <v>175</v>
      </c>
      <c r="J2682" t="str">
        <f>HYPERLINK("https://ok.ru/group/51085510115462")</f>
        <v>https://ok.ru/group/51085510115462</v>
      </c>
      <c r="K2682">
        <v>94768</v>
      </c>
      <c r="L2682" t="s">
        <v>340</v>
      </c>
      <c r="N2682" t="s">
        <v>347</v>
      </c>
      <c r="O2682" t="s">
        <v>175</v>
      </c>
      <c r="P2682" t="str">
        <f>HYPERLINK("https://ok.ru/group/51085510115462")</f>
        <v>https://ok.ru/group/51085510115462</v>
      </c>
      <c r="Q2682">
        <v>94768</v>
      </c>
      <c r="R2682" t="s">
        <v>124</v>
      </c>
      <c r="W2682">
        <v>16</v>
      </c>
      <c r="X2682">
        <v>16</v>
      </c>
      <c r="Y2682">
        <v>0</v>
      </c>
      <c r="Z2682">
        <v>0</v>
      </c>
      <c r="AA2682">
        <v>0</v>
      </c>
      <c r="AB2682">
        <v>0</v>
      </c>
      <c r="AE2682">
        <v>0</v>
      </c>
      <c r="AF2682">
        <v>0</v>
      </c>
      <c r="AJ2682" t="s">
        <v>9374</v>
      </c>
      <c r="AK2682" t="s">
        <v>9375</v>
      </c>
      <c r="AL2682" t="str">
        <f>HYPERLINK("https://i.mycdn.me/image?id=918353510534&amp;t=20&amp;plc=API&amp;aid=1131601408&amp;tkn=*B1eLn-ZYoxrd-b28bdRYOoHh2O8")</f>
        <v>https://i.mycdn.me/image?id=918353510534&amp;t=20&amp;plc=API&amp;aid=1131601408&amp;tkn=*B1eLn-ZYoxrd-b28bdRYOoHh2O8</v>
      </c>
      <c r="AM2682" t="s">
        <v>129</v>
      </c>
      <c r="AN2682" t="s">
        <v>130</v>
      </c>
      <c r="BI2682" t="s">
        <v>60</v>
      </c>
    </row>
    <row r="2683" spans="1:69" x14ac:dyDescent="0.2">
      <c r="A2683" t="s">
        <v>9127</v>
      </c>
      <c r="B2683" t="s">
        <v>2724</v>
      </c>
      <c r="C2683" t="s">
        <v>8196</v>
      </c>
      <c r="D2683" t="s">
        <v>651</v>
      </c>
      <c r="E2683" t="s">
        <v>9378</v>
      </c>
      <c r="F2683" t="s">
        <v>180</v>
      </c>
      <c r="G2683" t="str">
        <f>HYPERLINK("https://www.ozon.ru/context/detail/id/227979649/#58455948")</f>
        <v>https://www.ozon.ru/context/detail/id/227979649/#58455948</v>
      </c>
      <c r="H2683" t="s">
        <v>119</v>
      </c>
      <c r="I2683" t="s">
        <v>5641</v>
      </c>
      <c r="J2683" t="str">
        <f>HYPERLINK("https://www.ozon.ru/context/client_opinion/ClientGuid/a7bdf016-8208-4b21-9b1d-5fd561cd544e/")</f>
        <v>https://www.ozon.ru/context/client_opinion/ClientGuid/a7bdf016-8208-4b21-9b1d-5fd561cd544e/</v>
      </c>
      <c r="L2683" t="s">
        <v>151</v>
      </c>
      <c r="N2683" t="s">
        <v>183</v>
      </c>
      <c r="O2683" t="s">
        <v>654</v>
      </c>
      <c r="P2683" t="str">
        <f>HYPERLINK("https://www.ozon.ru/context/detail/id/227979649/")</f>
        <v>https://www.ozon.ru/context/detail/id/227979649/</v>
      </c>
      <c r="R2683" t="s">
        <v>184</v>
      </c>
      <c r="S2683" t="s">
        <v>125</v>
      </c>
      <c r="W2683">
        <v>0</v>
      </c>
      <c r="X2683">
        <v>0</v>
      </c>
      <c r="AH2683">
        <v>3</v>
      </c>
      <c r="AM2683" t="s">
        <v>129</v>
      </c>
      <c r="AN2683" t="s">
        <v>130</v>
      </c>
      <c r="AP2683" t="s">
        <v>41</v>
      </c>
      <c r="AT2683" t="s">
        <v>45</v>
      </c>
      <c r="AZ2683" t="s">
        <v>51</v>
      </c>
      <c r="BA2683" t="s">
        <v>52</v>
      </c>
      <c r="BL2683" t="s">
        <v>63</v>
      </c>
    </row>
    <row r="2684" spans="1:69" x14ac:dyDescent="0.2">
      <c r="A2684" t="s">
        <v>9127</v>
      </c>
      <c r="B2684" t="s">
        <v>7534</v>
      </c>
      <c r="C2684" t="s">
        <v>9249</v>
      </c>
      <c r="D2684" t="s">
        <v>129</v>
      </c>
      <c r="E2684" t="s">
        <v>9379</v>
      </c>
      <c r="F2684" t="s">
        <v>180</v>
      </c>
      <c r="G2684" t="str">
        <f>HYPERLINK("https://www.facebook.com/tricolortv/posts/4072546359466270")</f>
        <v>https://www.facebook.com/tricolortv/posts/4072546359466270</v>
      </c>
      <c r="H2684" t="s">
        <v>119</v>
      </c>
      <c r="I2684" t="s">
        <v>175</v>
      </c>
      <c r="J2684" t="str">
        <f>HYPERLINK("https://www.facebook.com/206198386101106")</f>
        <v>https://www.facebook.com/206198386101106</v>
      </c>
      <c r="K2684">
        <v>16432</v>
      </c>
      <c r="L2684" t="s">
        <v>340</v>
      </c>
      <c r="N2684" t="s">
        <v>305</v>
      </c>
      <c r="O2684" t="s">
        <v>175</v>
      </c>
      <c r="P2684" t="str">
        <f>HYPERLINK("https://www.facebook.com/206198386101106")</f>
        <v>https://www.facebook.com/206198386101106</v>
      </c>
      <c r="Q2684">
        <v>16432</v>
      </c>
      <c r="R2684" t="s">
        <v>124</v>
      </c>
      <c r="W2684">
        <v>1</v>
      </c>
      <c r="X2684">
        <v>1</v>
      </c>
      <c r="Y2684">
        <v>0</v>
      </c>
      <c r="Z2684">
        <v>0</v>
      </c>
      <c r="AA2684">
        <v>0</v>
      </c>
      <c r="AB2684">
        <v>0</v>
      </c>
      <c r="AC2684">
        <v>0</v>
      </c>
      <c r="AE2684">
        <v>0</v>
      </c>
      <c r="AF2684">
        <v>0</v>
      </c>
      <c r="AJ2684" t="s">
        <v>9374</v>
      </c>
      <c r="AK2684" t="s">
        <v>9375</v>
      </c>
      <c r="AL2684" t="s">
        <v>9380</v>
      </c>
      <c r="AM2684" t="s">
        <v>129</v>
      </c>
      <c r="AN2684" t="s">
        <v>130</v>
      </c>
      <c r="BI2684" t="s">
        <v>60</v>
      </c>
    </row>
    <row r="2685" spans="1:69" x14ac:dyDescent="0.2">
      <c r="A2685" t="s">
        <v>9127</v>
      </c>
      <c r="B2685" t="s">
        <v>2154</v>
      </c>
      <c r="C2685" t="s">
        <v>9381</v>
      </c>
      <c r="D2685" t="s">
        <v>204</v>
      </c>
      <c r="E2685" t="s">
        <v>9382</v>
      </c>
      <c r="F2685" t="s">
        <v>180</v>
      </c>
      <c r="G2685" t="str">
        <f>HYPERLINK("https://play.google.com/store/apps/details?id=ru.iflex.android.a3colortv&amp;reviewId=gp:AOqpTOFoD0HlvBLT4MLcRwitqKgKkrrv0RSb-njEM0XNdagL_MS1QpM1Fz5DDkLMhhq15RQKzG7RehnJ2WNG2w")</f>
        <v>https://play.google.com/store/apps/details?id=ru.iflex.android.a3colortv&amp;reviewId=gp:AOqpTOFoD0HlvBLT4MLcRwitqKgKkrrv0RSb-njEM0XNdagL_MS1QpM1Fz5DDkLMhhq15RQKzG7RehnJ2WNG2w</v>
      </c>
      <c r="H2685" t="s">
        <v>181</v>
      </c>
      <c r="I2685" t="s">
        <v>9383</v>
      </c>
      <c r="J2685" t="str">
        <f>HYPERLINK("https://plus.google.com/115288866910490280598")</f>
        <v>https://plus.google.com/115288866910490280598</v>
      </c>
      <c r="N2685" t="s">
        <v>207</v>
      </c>
      <c r="O2685" t="s">
        <v>204</v>
      </c>
      <c r="P2685" t="str">
        <f>HYPERLINK("https://play.google.com/store/apps/details?id=ru.iflex.android.a3colortv&amp;hl=ru")</f>
        <v>https://play.google.com/store/apps/details?id=ru.iflex.android.a3colortv&amp;hl=ru</v>
      </c>
      <c r="R2685" t="s">
        <v>184</v>
      </c>
      <c r="S2685" t="s">
        <v>125</v>
      </c>
      <c r="W2685">
        <v>0</v>
      </c>
      <c r="X2685">
        <v>0</v>
      </c>
      <c r="AH2685">
        <v>5</v>
      </c>
      <c r="AM2685" t="s">
        <v>129</v>
      </c>
      <c r="AN2685" t="s">
        <v>130</v>
      </c>
      <c r="AP2685" t="s">
        <v>41</v>
      </c>
      <c r="AZ2685" t="s">
        <v>51</v>
      </c>
      <c r="BA2685" t="s">
        <v>52</v>
      </c>
      <c r="BQ2685" t="s">
        <v>68</v>
      </c>
    </row>
    <row r="2686" spans="1:69" x14ac:dyDescent="0.2">
      <c r="A2686" t="s">
        <v>9127</v>
      </c>
      <c r="B2686" t="s">
        <v>1122</v>
      </c>
      <c r="C2686" t="s">
        <v>9384</v>
      </c>
      <c r="D2686" t="s">
        <v>8252</v>
      </c>
      <c r="E2686" t="s">
        <v>9385</v>
      </c>
      <c r="F2686" t="s">
        <v>118</v>
      </c>
      <c r="G2686" t="str">
        <f>HYPERLINK("https://vk.com/wall-22935147_368275?reply=368279")</f>
        <v>https://vk.com/wall-22935147_368275?reply=368279</v>
      </c>
      <c r="H2686" t="s">
        <v>119</v>
      </c>
      <c r="I2686" t="s">
        <v>5485</v>
      </c>
      <c r="J2686" t="str">
        <f>HYPERLINK("http://vk.com/id408670501")</f>
        <v>http://vk.com/id408670501</v>
      </c>
      <c r="K2686">
        <v>1439</v>
      </c>
      <c r="L2686" t="s">
        <v>121</v>
      </c>
      <c r="N2686" t="s">
        <v>122</v>
      </c>
      <c r="O2686" t="s">
        <v>1093</v>
      </c>
      <c r="P2686" t="str">
        <f>HYPERLINK("http://vk.com/club22935147")</f>
        <v>http://vk.com/club22935147</v>
      </c>
      <c r="Q2686">
        <v>8943</v>
      </c>
      <c r="R2686" t="s">
        <v>124</v>
      </c>
      <c r="S2686" t="s">
        <v>1884</v>
      </c>
      <c r="T2686" t="s">
        <v>5486</v>
      </c>
      <c r="U2686" t="s">
        <v>5487</v>
      </c>
      <c r="W2686">
        <v>0</v>
      </c>
      <c r="X2686">
        <v>0</v>
      </c>
      <c r="AM2686" t="s">
        <v>129</v>
      </c>
      <c r="AN2686" t="s">
        <v>130</v>
      </c>
      <c r="AP2686" t="s">
        <v>41</v>
      </c>
      <c r="AY2686" t="s">
        <v>50</v>
      </c>
      <c r="AZ2686" t="s">
        <v>51</v>
      </c>
      <c r="BA2686" t="s">
        <v>52</v>
      </c>
      <c r="BO2686" t="s">
        <v>66</v>
      </c>
    </row>
    <row r="2687" spans="1:69" x14ac:dyDescent="0.2">
      <c r="A2687" t="s">
        <v>9127</v>
      </c>
      <c r="B2687" t="s">
        <v>1723</v>
      </c>
      <c r="C2687" t="s">
        <v>9384</v>
      </c>
      <c r="D2687" t="s">
        <v>8252</v>
      </c>
      <c r="E2687" t="s">
        <v>9386</v>
      </c>
      <c r="F2687" t="s">
        <v>118</v>
      </c>
      <c r="G2687" t="str">
        <f>HYPERLINK("https://vk.com/wall-22935147_368275?reply=368278")</f>
        <v>https://vk.com/wall-22935147_368275?reply=368278</v>
      </c>
      <c r="H2687" t="s">
        <v>119</v>
      </c>
      <c r="I2687" t="s">
        <v>2906</v>
      </c>
      <c r="J2687" t="str">
        <f>HYPERLINK("http://vk.com/id72308876")</f>
        <v>http://vk.com/id72308876</v>
      </c>
      <c r="K2687">
        <v>466</v>
      </c>
      <c r="L2687" t="s">
        <v>121</v>
      </c>
      <c r="M2687">
        <v>36</v>
      </c>
      <c r="N2687" t="s">
        <v>122</v>
      </c>
      <c r="O2687" t="s">
        <v>1093</v>
      </c>
      <c r="P2687" t="str">
        <f>HYPERLINK("http://vk.com/club22935147")</f>
        <v>http://vk.com/club22935147</v>
      </c>
      <c r="Q2687">
        <v>8943</v>
      </c>
      <c r="R2687" t="s">
        <v>124</v>
      </c>
      <c r="S2687" t="s">
        <v>125</v>
      </c>
      <c r="T2687" t="s">
        <v>1365</v>
      </c>
      <c r="U2687" t="s">
        <v>2907</v>
      </c>
      <c r="W2687">
        <v>0</v>
      </c>
      <c r="X2687">
        <v>0</v>
      </c>
      <c r="AJ2687" t="s">
        <v>128</v>
      </c>
      <c r="AK2687" t="s">
        <v>129</v>
      </c>
      <c r="AL2687" t="str">
        <f>HYPERLINK("https://sun9-17.userapi.com/impg/sAHMAE5FXVi9Tx903c6Wa4tmq4zpgheP_rqtQA/2DktR8eyl0E.jpg?size=900x1600&amp;quality=96&amp;sign=611ba582c80eabdf17f23940840b6025&amp;c_uniq_tag=C1HhohbNi0TqJhQ_yOjhCR-O89lXubCE4yGum9Nyy4k&amp;type=album")</f>
        <v>https://sun9-17.userapi.com/impg/sAHMAE5FXVi9Tx903c6Wa4tmq4zpgheP_rqtQA/2DktR8eyl0E.jpg?size=900x1600&amp;quality=96&amp;sign=611ba582c80eabdf17f23940840b6025&amp;c_uniq_tag=C1HhohbNi0TqJhQ_yOjhCR-O89lXubCE4yGum9Nyy4k&amp;type=album</v>
      </c>
      <c r="AM2687" t="s">
        <v>129</v>
      </c>
      <c r="AN2687" t="s">
        <v>130</v>
      </c>
      <c r="AP2687" t="s">
        <v>41</v>
      </c>
      <c r="AY2687" t="s">
        <v>50</v>
      </c>
      <c r="AZ2687" t="s">
        <v>51</v>
      </c>
      <c r="BA2687" t="s">
        <v>52</v>
      </c>
    </row>
    <row r="2688" spans="1:69" x14ac:dyDescent="0.2">
      <c r="A2688" t="s">
        <v>9127</v>
      </c>
      <c r="B2688" t="s">
        <v>1127</v>
      </c>
      <c r="C2688" t="s">
        <v>9387</v>
      </c>
      <c r="D2688" t="s">
        <v>9388</v>
      </c>
      <c r="E2688" t="s">
        <v>9389</v>
      </c>
      <c r="F2688" t="s">
        <v>180</v>
      </c>
      <c r="G2688" t="str">
        <f>HYPERLINK("http://www.tverplanet.ru/novosti/10870-konor-makgregor-protiv-dastina-pore-video-boya-na-rent-tv-110721.html")</f>
        <v>http://www.tverplanet.ru/novosti/10870-konor-makgregor-protiv-dastina-pore-video-boya-na-rent-tv-110721.html</v>
      </c>
      <c r="H2688" t="s">
        <v>119</v>
      </c>
      <c r="N2688" t="s">
        <v>9390</v>
      </c>
      <c r="R2688" t="s">
        <v>785</v>
      </c>
      <c r="S2688" t="s">
        <v>125</v>
      </c>
      <c r="T2688" t="s">
        <v>1275</v>
      </c>
      <c r="U2688" t="s">
        <v>1276</v>
      </c>
      <c r="AM2688" t="s">
        <v>129</v>
      </c>
      <c r="AN2688" t="s">
        <v>130</v>
      </c>
      <c r="AV2688" t="s">
        <v>47</v>
      </c>
    </row>
    <row r="2689" spans="1:89" x14ac:dyDescent="0.2">
      <c r="A2689" t="s">
        <v>9127</v>
      </c>
      <c r="B2689" t="s">
        <v>2739</v>
      </c>
      <c r="C2689" t="s">
        <v>9384</v>
      </c>
      <c r="D2689" t="s">
        <v>129</v>
      </c>
      <c r="E2689" t="s">
        <v>8252</v>
      </c>
      <c r="F2689" t="s">
        <v>180</v>
      </c>
      <c r="G2689" t="str">
        <f>HYPERLINK("https://vk.com/wall-22935147_368275")</f>
        <v>https://vk.com/wall-22935147_368275</v>
      </c>
      <c r="H2689" t="s">
        <v>228</v>
      </c>
      <c r="I2689" t="s">
        <v>9391</v>
      </c>
      <c r="J2689" t="str">
        <f>HYPERLINK("http://vk.com/id46124162")</f>
        <v>http://vk.com/id46124162</v>
      </c>
      <c r="K2689">
        <v>184</v>
      </c>
      <c r="L2689" t="s">
        <v>121</v>
      </c>
      <c r="M2689">
        <v>46</v>
      </c>
      <c r="N2689" t="s">
        <v>122</v>
      </c>
      <c r="O2689" t="s">
        <v>1093</v>
      </c>
      <c r="P2689" t="str">
        <f>HYPERLINK("http://vk.com/club22935147")</f>
        <v>http://vk.com/club22935147</v>
      </c>
      <c r="Q2689">
        <v>8943</v>
      </c>
      <c r="R2689" t="s">
        <v>124</v>
      </c>
      <c r="S2689" t="s">
        <v>125</v>
      </c>
      <c r="T2689" t="s">
        <v>230</v>
      </c>
      <c r="U2689" t="s">
        <v>231</v>
      </c>
      <c r="W2689">
        <v>5</v>
      </c>
      <c r="X2689">
        <v>5</v>
      </c>
      <c r="AE2689">
        <v>7</v>
      </c>
      <c r="AF2689">
        <v>0</v>
      </c>
      <c r="AG2689">
        <v>1876</v>
      </c>
      <c r="AM2689" t="s">
        <v>129</v>
      </c>
      <c r="AN2689" t="s">
        <v>130</v>
      </c>
      <c r="AP2689" t="s">
        <v>41</v>
      </c>
      <c r="AY2689" t="s">
        <v>50</v>
      </c>
      <c r="AZ2689" t="s">
        <v>51</v>
      </c>
      <c r="BA2689" t="s">
        <v>52</v>
      </c>
    </row>
    <row r="2690" spans="1:89" x14ac:dyDescent="0.2">
      <c r="A2690" t="s">
        <v>9127</v>
      </c>
      <c r="B2690" t="s">
        <v>621</v>
      </c>
      <c r="C2690" t="s">
        <v>9392</v>
      </c>
      <c r="D2690" t="s">
        <v>9393</v>
      </c>
      <c r="E2690" t="s">
        <v>9394</v>
      </c>
      <c r="F2690" t="s">
        <v>118</v>
      </c>
      <c r="G2690" t="str">
        <f>HYPERLINK("https://vk.com/wall-152383767_142637?reply=142778&amp;thread=142657")</f>
        <v>https://vk.com/wall-152383767_142637?reply=142778&amp;thread=142657</v>
      </c>
      <c r="H2690" t="s">
        <v>119</v>
      </c>
      <c r="I2690" t="s">
        <v>9395</v>
      </c>
      <c r="J2690" t="str">
        <f>HYPERLINK("http://vk.com/id3043419")</f>
        <v>http://vk.com/id3043419</v>
      </c>
      <c r="K2690">
        <v>590</v>
      </c>
      <c r="L2690" t="s">
        <v>151</v>
      </c>
      <c r="M2690">
        <v>46</v>
      </c>
      <c r="N2690" t="s">
        <v>122</v>
      </c>
      <c r="O2690" t="s">
        <v>9396</v>
      </c>
      <c r="P2690" t="str">
        <f>HYPERLINK("http://vk.com/club152383767")</f>
        <v>http://vk.com/club152383767</v>
      </c>
      <c r="Q2690">
        <v>25880</v>
      </c>
      <c r="R2690" t="s">
        <v>124</v>
      </c>
      <c r="S2690" t="s">
        <v>125</v>
      </c>
      <c r="T2690" t="s">
        <v>137</v>
      </c>
      <c r="U2690" t="s">
        <v>137</v>
      </c>
      <c r="AM2690" t="s">
        <v>129</v>
      </c>
      <c r="AN2690" t="s">
        <v>130</v>
      </c>
      <c r="AP2690" t="s">
        <v>41</v>
      </c>
      <c r="AU2690" t="s">
        <v>46</v>
      </c>
      <c r="AZ2690" t="s">
        <v>51</v>
      </c>
      <c r="BA2690" t="s">
        <v>52</v>
      </c>
      <c r="BQ2690" t="s">
        <v>68</v>
      </c>
    </row>
    <row r="2691" spans="1:89" x14ac:dyDescent="0.2">
      <c r="A2691" t="s">
        <v>9127</v>
      </c>
      <c r="B2691" t="s">
        <v>2179</v>
      </c>
      <c r="C2691" t="s">
        <v>9397</v>
      </c>
      <c r="D2691" t="s">
        <v>8256</v>
      </c>
      <c r="E2691" t="s">
        <v>9398</v>
      </c>
      <c r="F2691" t="s">
        <v>118</v>
      </c>
      <c r="G2691" t="str">
        <f>HYPERLINK("https://vk.com/wall-200120043_2914?reply=2925&amp;thread=2916")</f>
        <v>https://vk.com/wall-200120043_2914?reply=2925&amp;thread=2916</v>
      </c>
      <c r="H2691" t="s">
        <v>228</v>
      </c>
      <c r="I2691" t="s">
        <v>8641</v>
      </c>
      <c r="J2691" t="str">
        <f>HYPERLINK("http://vk.com/id201611797")</f>
        <v>http://vk.com/id201611797</v>
      </c>
      <c r="K2691">
        <v>272</v>
      </c>
      <c r="L2691" t="s">
        <v>151</v>
      </c>
      <c r="N2691" t="s">
        <v>122</v>
      </c>
      <c r="O2691" t="s">
        <v>8259</v>
      </c>
      <c r="P2691" t="str">
        <f>HYPERLINK("http://vk.com/club200120043")</f>
        <v>http://vk.com/club200120043</v>
      </c>
      <c r="Q2691">
        <v>1362</v>
      </c>
      <c r="R2691" t="s">
        <v>124</v>
      </c>
      <c r="S2691" t="s">
        <v>125</v>
      </c>
      <c r="T2691" t="s">
        <v>667</v>
      </c>
      <c r="U2691" t="s">
        <v>4785</v>
      </c>
      <c r="AM2691" t="s">
        <v>129</v>
      </c>
      <c r="AN2691" t="s">
        <v>130</v>
      </c>
      <c r="AP2691" t="s">
        <v>41</v>
      </c>
      <c r="AY2691" t="s">
        <v>50</v>
      </c>
      <c r="AZ2691" t="s">
        <v>51</v>
      </c>
      <c r="BA2691" t="s">
        <v>52</v>
      </c>
    </row>
    <row r="2692" spans="1:89" x14ac:dyDescent="0.2">
      <c r="A2692" t="s">
        <v>9127</v>
      </c>
      <c r="B2692" t="s">
        <v>2746</v>
      </c>
      <c r="C2692" t="s">
        <v>9399</v>
      </c>
      <c r="D2692" t="s">
        <v>9400</v>
      </c>
      <c r="E2692" t="s">
        <v>9401</v>
      </c>
      <c r="F2692" t="s">
        <v>118</v>
      </c>
      <c r="G2692" t="str">
        <f>HYPERLINK("https://vk.com/wall-71170140_534878?reply=534925&amp;thread=534909")</f>
        <v>https://vk.com/wall-71170140_534878?reply=534925&amp;thread=534909</v>
      </c>
      <c r="H2692" t="s">
        <v>181</v>
      </c>
      <c r="I2692" t="s">
        <v>9402</v>
      </c>
      <c r="J2692" t="str">
        <f>HYPERLINK("http://vk.com/id626286300")</f>
        <v>http://vk.com/id626286300</v>
      </c>
      <c r="K2692">
        <v>0</v>
      </c>
      <c r="L2692" t="s">
        <v>151</v>
      </c>
      <c r="M2692">
        <v>111</v>
      </c>
      <c r="N2692" t="s">
        <v>122</v>
      </c>
      <c r="O2692" t="s">
        <v>9403</v>
      </c>
      <c r="P2692" t="str">
        <f>HYPERLINK("http://vk.com/club71170140")</f>
        <v>http://vk.com/club71170140</v>
      </c>
      <c r="Q2692">
        <v>16036</v>
      </c>
      <c r="R2692" t="s">
        <v>124</v>
      </c>
      <c r="S2692" t="s">
        <v>125</v>
      </c>
      <c r="T2692" t="s">
        <v>627</v>
      </c>
      <c r="U2692" t="s">
        <v>9404</v>
      </c>
      <c r="AM2692" t="s">
        <v>129</v>
      </c>
      <c r="AN2692" t="s">
        <v>130</v>
      </c>
      <c r="AP2692" t="s">
        <v>41</v>
      </c>
      <c r="AT2692" t="s">
        <v>45</v>
      </c>
      <c r="AU2692" t="s">
        <v>46</v>
      </c>
      <c r="AY2692" t="s">
        <v>50</v>
      </c>
      <c r="AZ2692" t="s">
        <v>51</v>
      </c>
      <c r="BA2692" t="s">
        <v>52</v>
      </c>
    </row>
    <row r="2693" spans="1:89" x14ac:dyDescent="0.2">
      <c r="A2693" t="s">
        <v>9127</v>
      </c>
      <c r="B2693" t="s">
        <v>9405</v>
      </c>
      <c r="C2693" t="s">
        <v>9406</v>
      </c>
      <c r="D2693" t="s">
        <v>9407</v>
      </c>
      <c r="E2693" t="s">
        <v>9408</v>
      </c>
      <c r="F2693" t="s">
        <v>118</v>
      </c>
      <c r="G2693" t="str">
        <f>HYPERLINK("https://vk.com/wall-167863263_81178?reply=81202")</f>
        <v>https://vk.com/wall-167863263_81178?reply=81202</v>
      </c>
      <c r="H2693" t="s">
        <v>228</v>
      </c>
      <c r="I2693" t="s">
        <v>9409</v>
      </c>
      <c r="J2693" t="str">
        <f>HYPERLINK("http://vk.com/id22702703")</f>
        <v>http://vk.com/id22702703</v>
      </c>
      <c r="K2693">
        <v>99</v>
      </c>
      <c r="L2693" t="s">
        <v>151</v>
      </c>
      <c r="N2693" t="s">
        <v>122</v>
      </c>
      <c r="O2693" t="s">
        <v>4060</v>
      </c>
      <c r="P2693" t="str">
        <f>HYPERLINK("http://vk.com/club167863263")</f>
        <v>http://vk.com/club167863263</v>
      </c>
      <c r="Q2693">
        <v>5569</v>
      </c>
      <c r="R2693" t="s">
        <v>124</v>
      </c>
      <c r="S2693" t="s">
        <v>125</v>
      </c>
      <c r="T2693" t="s">
        <v>137</v>
      </c>
      <c r="U2693" t="s">
        <v>137</v>
      </c>
      <c r="AM2693" t="s">
        <v>129</v>
      </c>
      <c r="AN2693" t="s">
        <v>130</v>
      </c>
      <c r="AP2693" t="s">
        <v>41</v>
      </c>
      <c r="AW2693" t="s">
        <v>48</v>
      </c>
      <c r="AZ2693" t="s">
        <v>51</v>
      </c>
      <c r="BA2693" t="s">
        <v>52</v>
      </c>
    </row>
    <row r="2694" spans="1:89" x14ac:dyDescent="0.2">
      <c r="A2694" t="s">
        <v>9127</v>
      </c>
      <c r="B2694" t="s">
        <v>3224</v>
      </c>
      <c r="C2694" t="s">
        <v>9410</v>
      </c>
      <c r="D2694" t="s">
        <v>9332</v>
      </c>
      <c r="E2694" t="s">
        <v>9411</v>
      </c>
      <c r="F2694" t="s">
        <v>118</v>
      </c>
      <c r="G2694" t="str">
        <f>HYPERLINK("https://vk.com/wall-22264426_82818?reply=82824")</f>
        <v>https://vk.com/wall-22264426_82818?reply=82824</v>
      </c>
      <c r="H2694" t="s">
        <v>119</v>
      </c>
      <c r="I2694" t="s">
        <v>9412</v>
      </c>
      <c r="J2694" t="str">
        <f>HYPERLINK("http://vk.com/id8656639")</f>
        <v>http://vk.com/id8656639</v>
      </c>
      <c r="K2694">
        <v>675</v>
      </c>
      <c r="L2694" t="s">
        <v>121</v>
      </c>
      <c r="N2694" t="s">
        <v>122</v>
      </c>
      <c r="O2694" t="s">
        <v>9335</v>
      </c>
      <c r="P2694" t="str">
        <f>HYPERLINK("http://vk.com/club22264426")</f>
        <v>http://vk.com/club22264426</v>
      </c>
      <c r="Q2694">
        <v>22122</v>
      </c>
      <c r="R2694" t="s">
        <v>124</v>
      </c>
      <c r="S2694" t="s">
        <v>125</v>
      </c>
      <c r="T2694" t="s">
        <v>153</v>
      </c>
      <c r="U2694" t="s">
        <v>9413</v>
      </c>
      <c r="AM2694" t="s">
        <v>129</v>
      </c>
      <c r="AN2694" t="s">
        <v>130</v>
      </c>
      <c r="AP2694" t="s">
        <v>41</v>
      </c>
      <c r="AU2694" t="s">
        <v>46</v>
      </c>
      <c r="AZ2694" t="s">
        <v>51</v>
      </c>
      <c r="BA2694" t="s">
        <v>52</v>
      </c>
    </row>
    <row r="2695" spans="1:89" x14ac:dyDescent="0.2">
      <c r="A2695" t="s">
        <v>9127</v>
      </c>
      <c r="B2695" t="s">
        <v>1769</v>
      </c>
      <c r="C2695" t="s">
        <v>9414</v>
      </c>
      <c r="D2695" t="s">
        <v>3046</v>
      </c>
      <c r="E2695" t="s">
        <v>9415</v>
      </c>
      <c r="F2695" t="s">
        <v>118</v>
      </c>
      <c r="G2695" t="str">
        <f>HYPERLINK("https://vk.com/wall-61101621_254540?w=wall-61101621_254540_r254585")</f>
        <v>https://vk.com/wall-61101621_254540?w=wall-61101621_254540_r254585</v>
      </c>
      <c r="H2695" t="s">
        <v>119</v>
      </c>
      <c r="I2695" t="s">
        <v>3070</v>
      </c>
      <c r="J2695" t="str">
        <f>HYPERLINK("http://vk.com/id50172316")</f>
        <v>http://vk.com/id50172316</v>
      </c>
      <c r="K2695">
        <v>90</v>
      </c>
      <c r="M2695">
        <v>37</v>
      </c>
      <c r="N2695" t="s">
        <v>122</v>
      </c>
      <c r="O2695" t="s">
        <v>160</v>
      </c>
      <c r="P2695" t="str">
        <f>HYPERLINK("http://vk.com/club61101621")</f>
        <v>http://vk.com/club61101621</v>
      </c>
      <c r="Q2695">
        <v>21119</v>
      </c>
      <c r="R2695" t="s">
        <v>124</v>
      </c>
      <c r="S2695" t="s">
        <v>125</v>
      </c>
      <c r="T2695" t="s">
        <v>989</v>
      </c>
      <c r="U2695" t="s">
        <v>3071</v>
      </c>
      <c r="W2695">
        <v>0</v>
      </c>
      <c r="X2695">
        <v>0</v>
      </c>
      <c r="AJ2695" t="s">
        <v>9416</v>
      </c>
      <c r="AK2695" t="s">
        <v>9417</v>
      </c>
      <c r="AL2695" t="str">
        <f>HYPERLINK("https://sun9-46.userapi.com/impg/JoXfYzxwQAF8OxIa32AXlubKjyC801uAi4CRfw/47sDGr4u9aA.jpg?size=1920x1080&amp;quality=96&amp;sign=5e011c3f2c12f310d8e1be3686a4083a&amp;c_uniq_tag=xW1QtuzJr-ChzS1S9yfsWUCI0LjyIxsGsDoewg-Nhqw&amp;type=album")</f>
        <v>https://sun9-46.userapi.com/impg/JoXfYzxwQAF8OxIa32AXlubKjyC801uAi4CRfw/47sDGr4u9aA.jpg?size=1920x1080&amp;quality=96&amp;sign=5e011c3f2c12f310d8e1be3686a4083a&amp;c_uniq_tag=xW1QtuzJr-ChzS1S9yfsWUCI0LjyIxsGsDoewg-Nhqw&amp;type=album</v>
      </c>
      <c r="AM2695" t="s">
        <v>129</v>
      </c>
      <c r="AN2695" t="s">
        <v>130</v>
      </c>
      <c r="AP2695" t="s">
        <v>41</v>
      </c>
      <c r="AU2695" t="s">
        <v>46</v>
      </c>
      <c r="AZ2695" t="s">
        <v>51</v>
      </c>
      <c r="BA2695" t="s">
        <v>52</v>
      </c>
    </row>
    <row r="2696" spans="1:89" x14ac:dyDescent="0.2">
      <c r="A2696" t="s">
        <v>9127</v>
      </c>
      <c r="B2696" t="s">
        <v>9418</v>
      </c>
      <c r="C2696" t="s">
        <v>9419</v>
      </c>
      <c r="D2696" t="s">
        <v>9407</v>
      </c>
      <c r="E2696" t="s">
        <v>9420</v>
      </c>
      <c r="F2696" t="s">
        <v>118</v>
      </c>
      <c r="G2696" t="str">
        <f>HYPERLINK("https://vk.com/wall-167863263_81178?reply=81179")</f>
        <v>https://vk.com/wall-167863263_81178?reply=81179</v>
      </c>
      <c r="H2696" t="s">
        <v>119</v>
      </c>
      <c r="I2696" t="s">
        <v>9421</v>
      </c>
      <c r="J2696" t="str">
        <f>HYPERLINK("http://vk.com/id1548231")</f>
        <v>http://vk.com/id1548231</v>
      </c>
      <c r="K2696">
        <v>539</v>
      </c>
      <c r="L2696" t="s">
        <v>121</v>
      </c>
      <c r="M2696">
        <v>30</v>
      </c>
      <c r="N2696" t="s">
        <v>122</v>
      </c>
      <c r="O2696" t="s">
        <v>4060</v>
      </c>
      <c r="P2696" t="str">
        <f>HYPERLINK("http://vk.com/club167863263")</f>
        <v>http://vk.com/club167863263</v>
      </c>
      <c r="Q2696">
        <v>5569</v>
      </c>
      <c r="R2696" t="s">
        <v>124</v>
      </c>
      <c r="S2696" t="s">
        <v>125</v>
      </c>
      <c r="T2696" t="s">
        <v>137</v>
      </c>
      <c r="U2696" t="s">
        <v>137</v>
      </c>
      <c r="AM2696" t="s">
        <v>129</v>
      </c>
      <c r="AN2696" t="s">
        <v>130</v>
      </c>
      <c r="AP2696" t="s">
        <v>41</v>
      </c>
      <c r="AW2696" t="s">
        <v>48</v>
      </c>
      <c r="AZ2696" t="s">
        <v>51</v>
      </c>
      <c r="BA2696" t="s">
        <v>52</v>
      </c>
    </row>
    <row r="2697" spans="1:89" x14ac:dyDescent="0.2">
      <c r="A2697" t="s">
        <v>9127</v>
      </c>
      <c r="B2697" t="s">
        <v>5349</v>
      </c>
      <c r="C2697" t="s">
        <v>9422</v>
      </c>
      <c r="D2697" t="s">
        <v>9423</v>
      </c>
      <c r="E2697" t="s">
        <v>9424</v>
      </c>
      <c r="F2697" t="s">
        <v>180</v>
      </c>
      <c r="G2697" t="str">
        <f>HYPERLINK("https://allboxing.ru/news/20210710-0940/pryamaya-translyaciya-ufc-264-gde-smotret")</f>
        <v>https://allboxing.ru/news/20210710-0940/pryamaya-translyaciya-ufc-264-gde-smotret</v>
      </c>
      <c r="H2697" t="s">
        <v>119</v>
      </c>
      <c r="N2697" t="s">
        <v>6723</v>
      </c>
      <c r="R2697" t="s">
        <v>785</v>
      </c>
      <c r="S2697" t="s">
        <v>125</v>
      </c>
      <c r="AJ2697" t="s">
        <v>1612</v>
      </c>
      <c r="AK2697" t="s">
        <v>9425</v>
      </c>
      <c r="AL2697" t="str">
        <f>HYPERLINK("https://sun2.ufanet.userapi.com/impg/FQQAkbC9-bTR5118i8Tl3EybKd0NWC_MMrYnlw/LtCmi_DQs6A.jpg?size=1080x1080&amp;quality=96&amp;sign=d88280586c45e01c1f869aabcb132060&amp;type=album")</f>
        <v>https://sun2.ufanet.userapi.com/impg/FQQAkbC9-bTR5118i8Tl3EybKd0NWC_MMrYnlw/LtCmi_DQs6A.jpg?size=1080x1080&amp;quality=96&amp;sign=d88280586c45e01c1f869aabcb132060&amp;type=album</v>
      </c>
      <c r="AM2697" t="s">
        <v>129</v>
      </c>
      <c r="AN2697" t="s">
        <v>130</v>
      </c>
      <c r="AV2697" t="s">
        <v>47</v>
      </c>
    </row>
    <row r="2698" spans="1:89" x14ac:dyDescent="0.2">
      <c r="A2698" t="s">
        <v>9127</v>
      </c>
      <c r="B2698" t="s">
        <v>5354</v>
      </c>
      <c r="C2698" t="s">
        <v>9426</v>
      </c>
      <c r="D2698" t="s">
        <v>204</v>
      </c>
      <c r="E2698" t="s">
        <v>8700</v>
      </c>
      <c r="F2698" t="s">
        <v>180</v>
      </c>
      <c r="G2698" t="str">
        <f>HYPERLINK("https://play.google.com/store/apps/details?id=ru.iflex.android.a3colortv&amp;reviewId=gp:AOqpTOG5xlzH87cvk_d7xakkYUyeg8njxEY5NwyUC9dx6iO3P891E1kn6FH-1b1S4YMLpO5eztLwUi0bsf4cSQ")</f>
        <v>https://play.google.com/store/apps/details?id=ru.iflex.android.a3colortv&amp;reviewId=gp:AOqpTOG5xlzH87cvk_d7xakkYUyeg8njxEY5NwyUC9dx6iO3P891E1kn6FH-1b1S4YMLpO5eztLwUi0bsf4cSQ</v>
      </c>
      <c r="H2698" t="s">
        <v>181</v>
      </c>
      <c r="I2698" t="s">
        <v>9427</v>
      </c>
      <c r="J2698" t="str">
        <f>HYPERLINK("https://plus.google.com/111159292979806439676")</f>
        <v>https://plus.google.com/111159292979806439676</v>
      </c>
      <c r="L2698" t="s">
        <v>151</v>
      </c>
      <c r="N2698" t="s">
        <v>207</v>
      </c>
      <c r="O2698" t="s">
        <v>204</v>
      </c>
      <c r="P2698" t="str">
        <f>HYPERLINK("https://play.google.com/store/apps/details?id=ru.iflex.android.a3colortv&amp;hl=ru")</f>
        <v>https://play.google.com/store/apps/details?id=ru.iflex.android.a3colortv&amp;hl=ru</v>
      </c>
      <c r="R2698" t="s">
        <v>184</v>
      </c>
      <c r="S2698" t="s">
        <v>125</v>
      </c>
      <c r="W2698">
        <v>0</v>
      </c>
      <c r="X2698">
        <v>0</v>
      </c>
      <c r="AH2698">
        <v>5</v>
      </c>
      <c r="AM2698" t="s">
        <v>129</v>
      </c>
      <c r="AN2698" t="s">
        <v>130</v>
      </c>
      <c r="AP2698" t="s">
        <v>41</v>
      </c>
      <c r="AZ2698" t="s">
        <v>51</v>
      </c>
      <c r="BA2698" t="s">
        <v>52</v>
      </c>
      <c r="BP2698" t="s">
        <v>67</v>
      </c>
      <c r="BQ2698" t="s">
        <v>68</v>
      </c>
    </row>
    <row r="2699" spans="1:89" x14ac:dyDescent="0.2">
      <c r="A2699" t="s">
        <v>9127</v>
      </c>
      <c r="B2699" t="s">
        <v>675</v>
      </c>
      <c r="C2699" t="s">
        <v>9428</v>
      </c>
      <c r="D2699" t="s">
        <v>737</v>
      </c>
      <c r="E2699" t="s">
        <v>9429</v>
      </c>
      <c r="F2699" t="s">
        <v>180</v>
      </c>
      <c r="G2699" t="str">
        <f>HYPERLINK("https://torpedom.ru/gb/comments.php?id=218208")</f>
        <v>https://torpedom.ru/gb/comments.php?id=218208</v>
      </c>
      <c r="H2699" t="s">
        <v>119</v>
      </c>
      <c r="I2699" t="s">
        <v>9430</v>
      </c>
      <c r="J2699" t="str">
        <f>HYPERLINK("https://torpedom.ru/profile/2769")</f>
        <v>https://torpedom.ru/profile/2769</v>
      </c>
      <c r="N2699" t="s">
        <v>740</v>
      </c>
      <c r="O2699" t="s">
        <v>741</v>
      </c>
      <c r="P2699" t="str">
        <f>HYPERLINK("https://torpedom.ru/gb/")</f>
        <v>https://torpedom.ru/gb/</v>
      </c>
      <c r="R2699" t="s">
        <v>295</v>
      </c>
      <c r="S2699" t="s">
        <v>125</v>
      </c>
      <c r="AM2699" t="s">
        <v>129</v>
      </c>
      <c r="AN2699" t="s">
        <v>130</v>
      </c>
      <c r="AP2699" t="s">
        <v>41</v>
      </c>
      <c r="AU2699" t="s">
        <v>46</v>
      </c>
      <c r="AZ2699" t="s">
        <v>51</v>
      </c>
      <c r="BD2699" t="s">
        <v>55</v>
      </c>
    </row>
    <row r="2700" spans="1:89" x14ac:dyDescent="0.2">
      <c r="A2700" t="s">
        <v>9127</v>
      </c>
      <c r="B2700" t="s">
        <v>9066</v>
      </c>
      <c r="C2700" t="s">
        <v>9431</v>
      </c>
      <c r="D2700" t="s">
        <v>129</v>
      </c>
      <c r="E2700" t="s">
        <v>9432</v>
      </c>
      <c r="F2700" t="s">
        <v>180</v>
      </c>
      <c r="G2700" t="str">
        <f>HYPERLINK("https://telegram.me/ru2chvg/4183533")</f>
        <v>https://telegram.me/ru2chvg/4183533</v>
      </c>
      <c r="H2700" t="s">
        <v>119</v>
      </c>
      <c r="I2700" t="s">
        <v>9433</v>
      </c>
      <c r="J2700" t="str">
        <f>HYPERLINK("https://telegram.me/devil_tr1gger")</f>
        <v>https://telegram.me/devil_tr1gger</v>
      </c>
      <c r="N2700" t="s">
        <v>143</v>
      </c>
      <c r="O2700" t="s">
        <v>9434</v>
      </c>
      <c r="P2700" t="str">
        <f>HYPERLINK("https://telegram.me/ru2chvg")</f>
        <v>https://telegram.me/ru2chvg</v>
      </c>
      <c r="Q2700">
        <v>1265</v>
      </c>
      <c r="R2700" t="s">
        <v>145</v>
      </c>
      <c r="AM2700" t="s">
        <v>129</v>
      </c>
      <c r="AN2700" t="s">
        <v>130</v>
      </c>
      <c r="AP2700" t="s">
        <v>41</v>
      </c>
      <c r="AT2700" t="s">
        <v>45</v>
      </c>
      <c r="AZ2700" t="s">
        <v>51</v>
      </c>
      <c r="BA2700" t="s">
        <v>52</v>
      </c>
    </row>
    <row r="2701" spans="1:89" x14ac:dyDescent="0.2">
      <c r="A2701" t="s">
        <v>9127</v>
      </c>
      <c r="B2701" t="s">
        <v>4474</v>
      </c>
      <c r="C2701" t="s">
        <v>9435</v>
      </c>
      <c r="D2701" t="s">
        <v>9436</v>
      </c>
      <c r="E2701" t="s">
        <v>9437</v>
      </c>
      <c r="F2701" t="s">
        <v>180</v>
      </c>
      <c r="G2701" t="str">
        <f>HYPERLINK("https://otvet.mail.ru/answer/1993621936")</f>
        <v>https://otvet.mail.ru/answer/1993621936</v>
      </c>
      <c r="H2701" t="s">
        <v>181</v>
      </c>
      <c r="I2701" t="s">
        <v>9438</v>
      </c>
      <c r="J2701" t="str">
        <f>HYPERLINK("http://otvet.mail.ru/profile/id289590787")</f>
        <v>http://otvet.mail.ru/profile/id289590787</v>
      </c>
      <c r="N2701" t="s">
        <v>690</v>
      </c>
      <c r="O2701" t="s">
        <v>5842</v>
      </c>
      <c r="P2701" t="str">
        <f>HYPERLINK("https://otvet.mail.ru/telecom/")</f>
        <v>https://otvet.mail.ru/telecom/</v>
      </c>
      <c r="R2701" t="s">
        <v>295</v>
      </c>
      <c r="S2701" t="s">
        <v>125</v>
      </c>
      <c r="AM2701" t="s">
        <v>129</v>
      </c>
      <c r="AN2701" t="s">
        <v>130</v>
      </c>
      <c r="AP2701" t="s">
        <v>41</v>
      </c>
      <c r="AZ2701" t="s">
        <v>51</v>
      </c>
      <c r="BA2701" t="s">
        <v>52</v>
      </c>
    </row>
    <row r="2702" spans="1:89" x14ac:dyDescent="0.2">
      <c r="A2702" t="s">
        <v>9127</v>
      </c>
      <c r="B2702" t="s">
        <v>6912</v>
      </c>
      <c r="C2702" t="s">
        <v>6189</v>
      </c>
      <c r="D2702" t="s">
        <v>9439</v>
      </c>
      <c r="E2702" t="s">
        <v>9440</v>
      </c>
      <c r="F2702" t="s">
        <v>180</v>
      </c>
      <c r="G2702" t="str">
        <f>HYPERLINK("https://www.ozon.ru/context/detail/id/244926549/#58420916")</f>
        <v>https://www.ozon.ru/context/detail/id/244926549/#58420916</v>
      </c>
      <c r="H2702" t="s">
        <v>181</v>
      </c>
      <c r="I2702" t="s">
        <v>9441</v>
      </c>
      <c r="J2702" t="str">
        <f>HYPERLINK("https://www.ozon.ru/context/client_opinion/ClientGuid/dfcba233-982d-47ad-ab51-924f52b3a1e8/")</f>
        <v>https://www.ozon.ru/context/client_opinion/ClientGuid/dfcba233-982d-47ad-ab51-924f52b3a1e8/</v>
      </c>
      <c r="L2702" t="s">
        <v>121</v>
      </c>
      <c r="N2702" t="s">
        <v>183</v>
      </c>
      <c r="O2702" t="s">
        <v>9439</v>
      </c>
      <c r="P2702" t="str">
        <f>HYPERLINK("https://www.ozon.ru/context/detail/id/244926549/")</f>
        <v>https://www.ozon.ru/context/detail/id/244926549/</v>
      </c>
      <c r="R2702" t="s">
        <v>184</v>
      </c>
      <c r="S2702" t="s">
        <v>125</v>
      </c>
      <c r="W2702">
        <v>0</v>
      </c>
      <c r="X2702">
        <v>0</v>
      </c>
      <c r="AH2702">
        <v>5</v>
      </c>
      <c r="AJ2702" t="s">
        <v>129</v>
      </c>
      <c r="AK2702" t="s">
        <v>129</v>
      </c>
      <c r="AL2702" t="str">
        <f>HYPERLINK("https://cdn1.ozone.ru/s3/rp-photo-2/c4f499f0-cbc7-4b20-b393-a9de3cc96091.jpeg")</f>
        <v>https://cdn1.ozone.ru/s3/rp-photo-2/c4f499f0-cbc7-4b20-b393-a9de3cc96091.jpeg</v>
      </c>
      <c r="AM2702" t="s">
        <v>129</v>
      </c>
      <c r="AN2702" t="s">
        <v>130</v>
      </c>
      <c r="AP2702" t="s">
        <v>41</v>
      </c>
      <c r="AT2702" t="s">
        <v>45</v>
      </c>
      <c r="AZ2702" t="s">
        <v>51</v>
      </c>
      <c r="BA2702" t="s">
        <v>52</v>
      </c>
    </row>
    <row r="2703" spans="1:89" x14ac:dyDescent="0.2">
      <c r="A2703" t="s">
        <v>9127</v>
      </c>
      <c r="B2703" t="s">
        <v>9442</v>
      </c>
      <c r="C2703" t="s">
        <v>9443</v>
      </c>
      <c r="D2703" t="s">
        <v>175</v>
      </c>
      <c r="E2703" t="s">
        <v>9444</v>
      </c>
      <c r="F2703" t="s">
        <v>180</v>
      </c>
      <c r="G2703" t="str">
        <f>HYPERLINK("https://yandex.ru/maps/org/241488969721#4lp2GIMCL4mMV2JLROCJTp90DTvqpi")</f>
        <v>https://yandex.ru/maps/org/241488969721#4lp2GIMCL4mMV2JLROCJTp90DTvqpi</v>
      </c>
      <c r="H2703" t="s">
        <v>228</v>
      </c>
      <c r="I2703" t="s">
        <v>9445</v>
      </c>
      <c r="J2703" t="str">
        <f>HYPERLINK("https://yandex.ru/user/r4xnxfcjud5qhv9y0r4g8b02g0")</f>
        <v>https://yandex.ru/user/r4xnxfcjud5qhv9y0r4g8b02g0</v>
      </c>
      <c r="N2703" t="s">
        <v>236</v>
      </c>
      <c r="O2703" t="s">
        <v>175</v>
      </c>
      <c r="P2703" t="str">
        <f>HYPERLINK("https://yandex.ru/maps/org/241488969721")</f>
        <v>https://yandex.ru/maps/org/241488969721</v>
      </c>
      <c r="R2703" t="s">
        <v>184</v>
      </c>
      <c r="S2703" t="s">
        <v>125</v>
      </c>
      <c r="T2703" t="s">
        <v>212</v>
      </c>
      <c r="U2703" t="s">
        <v>9446</v>
      </c>
      <c r="W2703">
        <v>0</v>
      </c>
      <c r="X2703">
        <v>0</v>
      </c>
      <c r="AH2703">
        <v>1</v>
      </c>
      <c r="AM2703" t="s">
        <v>129</v>
      </c>
      <c r="AN2703" t="s">
        <v>130</v>
      </c>
      <c r="AP2703" t="s">
        <v>41</v>
      </c>
      <c r="AX2703" t="s">
        <v>49</v>
      </c>
      <c r="BD2703" t="s">
        <v>55</v>
      </c>
      <c r="BF2703" t="s">
        <v>57</v>
      </c>
      <c r="CK2703" t="s">
        <v>88</v>
      </c>
    </row>
    <row r="2704" spans="1:89" x14ac:dyDescent="0.2">
      <c r="A2704" t="s">
        <v>9127</v>
      </c>
      <c r="B2704" t="s">
        <v>9447</v>
      </c>
      <c r="C2704" t="s">
        <v>5345</v>
      </c>
      <c r="D2704" t="s">
        <v>2572</v>
      </c>
      <c r="E2704" t="s">
        <v>9448</v>
      </c>
      <c r="F2704" t="s">
        <v>180</v>
      </c>
      <c r="G2704" t="str">
        <f>HYPERLINK("https://www.ozon.ru/context/detail/id/258848407/#58419664")</f>
        <v>https://www.ozon.ru/context/detail/id/258848407/#58419664</v>
      </c>
      <c r="H2704" t="s">
        <v>181</v>
      </c>
      <c r="I2704" t="s">
        <v>9449</v>
      </c>
      <c r="J2704" t="str">
        <f>HYPERLINK("https://www.ozon.ru/context/client_opinion/ClientGuid/96da21f6-e931-49b4-9f65-93b5f116de65/")</f>
        <v>https://www.ozon.ru/context/client_opinion/ClientGuid/96da21f6-e931-49b4-9f65-93b5f116de65/</v>
      </c>
      <c r="L2704" t="s">
        <v>121</v>
      </c>
      <c r="N2704" t="s">
        <v>183</v>
      </c>
      <c r="O2704" t="s">
        <v>2572</v>
      </c>
      <c r="P2704" t="str">
        <f>HYPERLINK("https://www.ozon.ru/context/detail/id/258848407/")</f>
        <v>https://www.ozon.ru/context/detail/id/258848407/</v>
      </c>
      <c r="R2704" t="s">
        <v>184</v>
      </c>
      <c r="S2704" t="s">
        <v>125</v>
      </c>
      <c r="W2704">
        <v>0</v>
      </c>
      <c r="X2704">
        <v>0</v>
      </c>
      <c r="AH2704">
        <v>5</v>
      </c>
      <c r="AM2704" t="s">
        <v>129</v>
      </c>
      <c r="AN2704" t="s">
        <v>130</v>
      </c>
      <c r="AP2704" t="s">
        <v>41</v>
      </c>
      <c r="AT2704" t="s">
        <v>45</v>
      </c>
      <c r="AZ2704" t="s">
        <v>51</v>
      </c>
      <c r="BA2704" t="s">
        <v>52</v>
      </c>
    </row>
    <row r="2705" spans="1:89" x14ac:dyDescent="0.2">
      <c r="A2705" t="s">
        <v>9127</v>
      </c>
      <c r="B2705" t="s">
        <v>9450</v>
      </c>
      <c r="C2705" t="s">
        <v>9451</v>
      </c>
      <c r="D2705" t="s">
        <v>9452</v>
      </c>
      <c r="E2705" t="s">
        <v>9453</v>
      </c>
      <c r="F2705" t="s">
        <v>118</v>
      </c>
      <c r="G2705" t="str">
        <f>HYPERLINK("https://www.youtube.com/watch?v=Cs6eD4Xh3xM&amp;lc=UgyAHOvABKWTxF1Pwx14AaABAg")</f>
        <v>https://www.youtube.com/watch?v=Cs6eD4Xh3xM&amp;lc=UgyAHOvABKWTxF1Pwx14AaABAg</v>
      </c>
      <c r="H2705" t="s">
        <v>181</v>
      </c>
      <c r="I2705" t="s">
        <v>6812</v>
      </c>
      <c r="J2705" t="str">
        <f>HYPERLINK("https://www.youtube.com/channel/UChhizSPTNecDrCIMD4yX_uA")</f>
        <v>https://www.youtube.com/channel/UChhizSPTNecDrCIMD4yX_uA</v>
      </c>
      <c r="K2705">
        <v>4</v>
      </c>
      <c r="L2705" t="s">
        <v>151</v>
      </c>
      <c r="N2705" t="s">
        <v>248</v>
      </c>
      <c r="O2705" t="s">
        <v>9454</v>
      </c>
      <c r="P2705" t="str">
        <f>HYPERLINK("https://www.youtube.com/channel/UCIEbBggkxywTMkj59QWWo9w")</f>
        <v>https://www.youtube.com/channel/UCIEbBggkxywTMkj59QWWo9w</v>
      </c>
      <c r="Q2705">
        <v>18700</v>
      </c>
      <c r="R2705" t="s">
        <v>124</v>
      </c>
      <c r="S2705" t="s">
        <v>125</v>
      </c>
      <c r="W2705">
        <v>1</v>
      </c>
      <c r="X2705">
        <v>1</v>
      </c>
      <c r="AE2705">
        <v>0</v>
      </c>
      <c r="AM2705" t="s">
        <v>129</v>
      </c>
      <c r="AN2705" t="s">
        <v>130</v>
      </c>
      <c r="AP2705" t="s">
        <v>41</v>
      </c>
      <c r="AU2705" t="s">
        <v>46</v>
      </c>
      <c r="AZ2705" t="s">
        <v>51</v>
      </c>
      <c r="BA2705" t="s">
        <v>52</v>
      </c>
    </row>
    <row r="2706" spans="1:89" x14ac:dyDescent="0.2">
      <c r="A2706" t="s">
        <v>9127</v>
      </c>
      <c r="B2706" t="s">
        <v>7934</v>
      </c>
      <c r="C2706" t="s">
        <v>9455</v>
      </c>
      <c r="D2706" t="s">
        <v>204</v>
      </c>
      <c r="E2706" t="s">
        <v>9456</v>
      </c>
      <c r="F2706" t="s">
        <v>180</v>
      </c>
      <c r="G2706" t="str">
        <f>HYPERLINK("https://play.google.com/store/apps/details?id=ru.iflex.android.a3colortv&amp;reviewId=gp:AOqpTOGm62ksv4lFL8r6MFkQP47eUbZf37mvflzGEBEL691b43j1geBIuDum8BKhoHuHCVGNMydGtDBwFG0-Xw")</f>
        <v>https://play.google.com/store/apps/details?id=ru.iflex.android.a3colortv&amp;reviewId=gp:AOqpTOGm62ksv4lFL8r6MFkQP47eUbZf37mvflzGEBEL691b43j1geBIuDum8BKhoHuHCVGNMydGtDBwFG0-Xw</v>
      </c>
      <c r="H2706" t="s">
        <v>228</v>
      </c>
      <c r="I2706" t="s">
        <v>9457</v>
      </c>
      <c r="J2706" t="str">
        <f>HYPERLINK("https://plus.google.com/100210136467070143683")</f>
        <v>https://plus.google.com/100210136467070143683</v>
      </c>
      <c r="L2706" t="s">
        <v>121</v>
      </c>
      <c r="N2706" t="s">
        <v>207</v>
      </c>
      <c r="O2706" t="s">
        <v>204</v>
      </c>
      <c r="P2706" t="str">
        <f>HYPERLINK("https://play.google.com/store/apps/details?id=ru.iflex.android.a3colortv&amp;hl=ru")</f>
        <v>https://play.google.com/store/apps/details?id=ru.iflex.android.a3colortv&amp;hl=ru</v>
      </c>
      <c r="R2706" t="s">
        <v>184</v>
      </c>
      <c r="S2706" t="s">
        <v>125</v>
      </c>
      <c r="W2706">
        <v>0</v>
      </c>
      <c r="X2706">
        <v>0</v>
      </c>
      <c r="AH2706">
        <v>1</v>
      </c>
      <c r="AM2706" t="s">
        <v>129</v>
      </c>
      <c r="AN2706" t="s">
        <v>130</v>
      </c>
      <c r="AP2706" t="s">
        <v>41</v>
      </c>
      <c r="AZ2706" t="s">
        <v>51</v>
      </c>
      <c r="BA2706" t="s">
        <v>52</v>
      </c>
      <c r="BQ2706" t="s">
        <v>68</v>
      </c>
    </row>
    <row r="2707" spans="1:89" x14ac:dyDescent="0.2">
      <c r="A2707" t="s">
        <v>9127</v>
      </c>
      <c r="B2707" t="s">
        <v>9458</v>
      </c>
      <c r="C2707" t="s">
        <v>9459</v>
      </c>
      <c r="D2707" t="s">
        <v>8256</v>
      </c>
      <c r="E2707" t="s">
        <v>9460</v>
      </c>
      <c r="F2707" t="s">
        <v>118</v>
      </c>
      <c r="G2707" t="str">
        <f>HYPERLINK("https://vk.com/wall-200120043_2914?reply=2921&amp;thread=2916")</f>
        <v>https://vk.com/wall-200120043_2914?reply=2921&amp;thread=2916</v>
      </c>
      <c r="H2707" t="s">
        <v>119</v>
      </c>
      <c r="I2707" t="s">
        <v>9461</v>
      </c>
      <c r="J2707" t="str">
        <f>HYPERLINK("http://vk.com/id138766275")</f>
        <v>http://vk.com/id138766275</v>
      </c>
      <c r="K2707">
        <v>357</v>
      </c>
      <c r="L2707" t="s">
        <v>151</v>
      </c>
      <c r="M2707">
        <v>54</v>
      </c>
      <c r="N2707" t="s">
        <v>122</v>
      </c>
      <c r="O2707" t="s">
        <v>8259</v>
      </c>
      <c r="P2707" t="str">
        <f>HYPERLINK("http://vk.com/club200120043")</f>
        <v>http://vk.com/club200120043</v>
      </c>
      <c r="Q2707">
        <v>1362</v>
      </c>
      <c r="R2707" t="s">
        <v>124</v>
      </c>
      <c r="S2707" t="s">
        <v>125</v>
      </c>
      <c r="T2707" t="s">
        <v>667</v>
      </c>
      <c r="U2707" t="s">
        <v>4785</v>
      </c>
      <c r="AM2707" t="s">
        <v>129</v>
      </c>
      <c r="AN2707" t="s">
        <v>130</v>
      </c>
      <c r="AP2707" t="s">
        <v>41</v>
      </c>
      <c r="AW2707" t="s">
        <v>48</v>
      </c>
      <c r="AZ2707" t="s">
        <v>51</v>
      </c>
      <c r="BB2707" t="s">
        <v>53</v>
      </c>
      <c r="BL2707" t="s">
        <v>63</v>
      </c>
    </row>
    <row r="2708" spans="1:89" x14ac:dyDescent="0.2">
      <c r="A2708" t="s">
        <v>9127</v>
      </c>
      <c r="B2708" t="s">
        <v>700</v>
      </c>
      <c r="C2708" t="s">
        <v>9462</v>
      </c>
      <c r="D2708" t="s">
        <v>1663</v>
      </c>
      <c r="E2708" t="s">
        <v>9463</v>
      </c>
      <c r="F2708" t="s">
        <v>180</v>
      </c>
      <c r="G2708" t="str">
        <f>HYPERLINK("https://www.google.com/maps/reviews/data=!4m5!14m4!1m3!1m2!1s107246903324697885654!2s0x0:0xd42e0ec6514b3580?hl=en-NL")</f>
        <v>https://www.google.com/maps/reviews/data=!4m5!14m4!1m3!1m2!1s107246903324697885654!2s0x0:0xd42e0ec6514b3580?hl=en-NL</v>
      </c>
      <c r="H2708" t="s">
        <v>228</v>
      </c>
      <c r="I2708" t="s">
        <v>9464</v>
      </c>
      <c r="J2708" t="str">
        <f>HYPERLINK("https://maps.google.com/maps/contrib/107246903324697885654")</f>
        <v>https://maps.google.com/maps/contrib/107246903324697885654</v>
      </c>
      <c r="L2708" t="s">
        <v>121</v>
      </c>
      <c r="N2708" t="s">
        <v>673</v>
      </c>
      <c r="O2708" t="s">
        <v>1663</v>
      </c>
      <c r="P2708" t="str">
        <f>HYPERLINK("https://maps.google.com/maps/place/data=!3m1!4b1!4m5!3m4!1s0x0:0xd42e0ec6514b3580!8m2!3d53.343650!4d83.752840")</f>
        <v>https://maps.google.com/maps/place/data=!3m1!4b1!4m5!3m4!1s0x0:0xd42e0ec6514b3580!8m2!3d53.343650!4d83.752840</v>
      </c>
      <c r="R2708" t="s">
        <v>184</v>
      </c>
      <c r="S2708" t="s">
        <v>125</v>
      </c>
      <c r="T2708" t="s">
        <v>4836</v>
      </c>
      <c r="U2708" t="s">
        <v>4837</v>
      </c>
      <c r="W2708">
        <v>0</v>
      </c>
      <c r="X2708">
        <v>0</v>
      </c>
      <c r="AH2708">
        <v>1</v>
      </c>
      <c r="AM2708" t="s">
        <v>129</v>
      </c>
      <c r="AN2708" t="s">
        <v>130</v>
      </c>
      <c r="AP2708" t="s">
        <v>41</v>
      </c>
      <c r="AX2708" t="s">
        <v>49</v>
      </c>
      <c r="AY2708" t="s">
        <v>50</v>
      </c>
      <c r="BA2708" t="s">
        <v>52</v>
      </c>
      <c r="BF2708" t="s">
        <v>57</v>
      </c>
      <c r="CK2708" t="s">
        <v>88</v>
      </c>
    </row>
    <row r="2709" spans="1:89" x14ac:dyDescent="0.2">
      <c r="A2709" t="s">
        <v>9127</v>
      </c>
      <c r="B2709" t="s">
        <v>4004</v>
      </c>
      <c r="C2709" t="s">
        <v>9465</v>
      </c>
      <c r="D2709" t="s">
        <v>9466</v>
      </c>
      <c r="E2709" t="s">
        <v>9467</v>
      </c>
      <c r="F2709" t="s">
        <v>118</v>
      </c>
      <c r="G2709" t="str">
        <f>HYPERLINK("https://vk.com/wall-27863223_291374?w=wall-27863223_291374_r291578")</f>
        <v>https://vk.com/wall-27863223_291374?w=wall-27863223_291374_r291578</v>
      </c>
      <c r="H2709" t="s">
        <v>119</v>
      </c>
      <c r="I2709" t="s">
        <v>9468</v>
      </c>
      <c r="J2709" t="str">
        <f>HYPERLINK("http://vk.com/id134558601")</f>
        <v>http://vk.com/id134558601</v>
      </c>
      <c r="K2709">
        <v>160</v>
      </c>
      <c r="L2709" t="s">
        <v>151</v>
      </c>
      <c r="M2709">
        <v>39</v>
      </c>
      <c r="N2709" t="s">
        <v>122</v>
      </c>
      <c r="O2709" t="s">
        <v>175</v>
      </c>
      <c r="P2709" t="str">
        <f>HYPERLINK("http://vk.com/club27863223")</f>
        <v>http://vk.com/club27863223</v>
      </c>
      <c r="Q2709">
        <v>134698</v>
      </c>
      <c r="R2709" t="s">
        <v>124</v>
      </c>
      <c r="S2709" t="s">
        <v>125</v>
      </c>
      <c r="T2709" t="s">
        <v>2521</v>
      </c>
      <c r="U2709" t="s">
        <v>9469</v>
      </c>
      <c r="W2709">
        <v>0</v>
      </c>
      <c r="X2709">
        <v>0</v>
      </c>
      <c r="AM2709" t="s">
        <v>129</v>
      </c>
      <c r="AN2709" t="s">
        <v>130</v>
      </c>
      <c r="AP2709" t="s">
        <v>41</v>
      </c>
      <c r="AU2709" t="s">
        <v>46</v>
      </c>
      <c r="AZ2709" t="s">
        <v>51</v>
      </c>
      <c r="BA2709" t="s">
        <v>52</v>
      </c>
    </row>
    <row r="2710" spans="1:89" x14ac:dyDescent="0.2">
      <c r="A2710" t="s">
        <v>9127</v>
      </c>
      <c r="B2710" t="s">
        <v>9470</v>
      </c>
      <c r="C2710" t="s">
        <v>9471</v>
      </c>
      <c r="D2710" t="s">
        <v>9472</v>
      </c>
      <c r="E2710" t="s">
        <v>9473</v>
      </c>
      <c r="F2710" t="s">
        <v>118</v>
      </c>
      <c r="G2710" t="str">
        <f>HYPERLINK("https://www.facebook.com/story.php?story_fbid=4448223201903932&amp;id=100001488894795&amp;comment_id=4449434568449462&amp;reply_comment_id=4450435115016074")</f>
        <v>https://www.facebook.com/story.php?story_fbid=4448223201903932&amp;id=100001488894795&amp;comment_id=4449434568449462&amp;reply_comment_id=4450435115016074</v>
      </c>
      <c r="H2710" t="s">
        <v>119</v>
      </c>
      <c r="I2710" t="s">
        <v>9474</v>
      </c>
      <c r="J2710" t="str">
        <f>HYPERLINK("https://www.facebook.com/100002793170364")</f>
        <v>https://www.facebook.com/100002793170364</v>
      </c>
      <c r="K2710">
        <v>900</v>
      </c>
      <c r="L2710" t="s">
        <v>151</v>
      </c>
      <c r="N2710" t="s">
        <v>305</v>
      </c>
      <c r="O2710" t="s">
        <v>9475</v>
      </c>
      <c r="P2710" t="str">
        <f>HYPERLINK("https://www.facebook.com/100001488894795")</f>
        <v>https://www.facebook.com/100001488894795</v>
      </c>
      <c r="Q2710">
        <v>5643</v>
      </c>
      <c r="R2710" t="s">
        <v>124</v>
      </c>
      <c r="S2710" t="s">
        <v>125</v>
      </c>
      <c r="T2710" t="s">
        <v>487</v>
      </c>
      <c r="U2710" t="s">
        <v>9476</v>
      </c>
      <c r="W2710">
        <v>0</v>
      </c>
      <c r="X2710">
        <v>0</v>
      </c>
      <c r="AE2710">
        <v>0</v>
      </c>
      <c r="AM2710" t="s">
        <v>129</v>
      </c>
      <c r="AN2710" t="s">
        <v>130</v>
      </c>
      <c r="AP2710" t="s">
        <v>41</v>
      </c>
      <c r="AZ2710" t="s">
        <v>51</v>
      </c>
      <c r="BA2710" t="s">
        <v>52</v>
      </c>
    </row>
    <row r="2711" spans="1:89" x14ac:dyDescent="0.2">
      <c r="A2711" t="s">
        <v>9127</v>
      </c>
      <c r="B2711" t="s">
        <v>9477</v>
      </c>
      <c r="C2711" t="s">
        <v>9478</v>
      </c>
      <c r="D2711" t="s">
        <v>129</v>
      </c>
      <c r="E2711" t="s">
        <v>9479</v>
      </c>
      <c r="F2711" t="s">
        <v>118</v>
      </c>
      <c r="G2711" t="str">
        <f>HYPERLINK("https://ok.ru/group/53857663778916/topic/153807438820196#MTYyNTg4NjQzMTQyMzotMTM1MjU6MTYyNTg4NjQzMTQyMzoxNTM4MDc0Mzg4MjAxOTY6MQ==")</f>
        <v>https://ok.ru/group/53857663778916/topic/153807438820196#MTYyNTg4NjQzMTQyMzotMTM1MjU6MTYyNTg4NjQzMTQyMzoxNTM4MDc0Mzg4MjAxOTY6MQ==</v>
      </c>
      <c r="H2711" t="s">
        <v>119</v>
      </c>
      <c r="I2711" t="s">
        <v>9480</v>
      </c>
      <c r="J2711" t="str">
        <f>HYPERLINK("https://ok.ru/profile/582770914176")</f>
        <v>https://ok.ru/profile/582770914176</v>
      </c>
      <c r="K2711">
        <v>3</v>
      </c>
      <c r="L2711" t="s">
        <v>121</v>
      </c>
      <c r="M2711">
        <v>57</v>
      </c>
      <c r="N2711" t="s">
        <v>347</v>
      </c>
      <c r="O2711" t="s">
        <v>9481</v>
      </c>
      <c r="P2711" t="str">
        <f>HYPERLINK("https://ok.ru/group/53857663778916")</f>
        <v>https://ok.ru/group/53857663778916</v>
      </c>
      <c r="Q2711">
        <v>656768</v>
      </c>
      <c r="R2711" t="s">
        <v>124</v>
      </c>
      <c r="S2711" t="s">
        <v>125</v>
      </c>
      <c r="W2711">
        <v>0</v>
      </c>
      <c r="X2711">
        <v>0</v>
      </c>
      <c r="AM2711" t="s">
        <v>129</v>
      </c>
      <c r="AN2711" t="s">
        <v>130</v>
      </c>
      <c r="AP2711" t="s">
        <v>41</v>
      </c>
      <c r="AU2711" t="s">
        <v>46</v>
      </c>
      <c r="AY2711" t="s">
        <v>50</v>
      </c>
      <c r="AZ2711" t="s">
        <v>51</v>
      </c>
      <c r="BA2711" t="s">
        <v>52</v>
      </c>
    </row>
    <row r="2712" spans="1:89" x14ac:dyDescent="0.2">
      <c r="A2712" t="s">
        <v>9127</v>
      </c>
      <c r="B2712" t="s">
        <v>9482</v>
      </c>
      <c r="C2712" t="s">
        <v>9483</v>
      </c>
      <c r="D2712" t="s">
        <v>8256</v>
      </c>
      <c r="E2712" t="s">
        <v>9484</v>
      </c>
      <c r="F2712" t="s">
        <v>118</v>
      </c>
      <c r="G2712" t="str">
        <f>HYPERLINK("https://vk.com/wall-200120043_2914?reply=2920&amp;thread=2916")</f>
        <v>https://vk.com/wall-200120043_2914?reply=2920&amp;thread=2916</v>
      </c>
      <c r="H2712" t="s">
        <v>228</v>
      </c>
      <c r="I2712" t="s">
        <v>8641</v>
      </c>
      <c r="J2712" t="str">
        <f>HYPERLINK("http://vk.com/id201611797")</f>
        <v>http://vk.com/id201611797</v>
      </c>
      <c r="K2712">
        <v>272</v>
      </c>
      <c r="L2712" t="s">
        <v>151</v>
      </c>
      <c r="N2712" t="s">
        <v>122</v>
      </c>
      <c r="O2712" t="s">
        <v>8259</v>
      </c>
      <c r="P2712" t="str">
        <f>HYPERLINK("http://vk.com/club200120043")</f>
        <v>http://vk.com/club200120043</v>
      </c>
      <c r="Q2712">
        <v>1362</v>
      </c>
      <c r="R2712" t="s">
        <v>124</v>
      </c>
      <c r="S2712" t="s">
        <v>125</v>
      </c>
      <c r="T2712" t="s">
        <v>667</v>
      </c>
      <c r="U2712" t="s">
        <v>4785</v>
      </c>
      <c r="AM2712" t="s">
        <v>129</v>
      </c>
      <c r="AN2712" t="s">
        <v>130</v>
      </c>
      <c r="AP2712" t="s">
        <v>41</v>
      </c>
      <c r="AX2712" t="s">
        <v>49</v>
      </c>
      <c r="AY2712" t="s">
        <v>50</v>
      </c>
      <c r="AZ2712" t="s">
        <v>51</v>
      </c>
      <c r="BA2712" t="s">
        <v>52</v>
      </c>
    </row>
    <row r="2713" spans="1:89" x14ac:dyDescent="0.2">
      <c r="A2713" t="s">
        <v>9127</v>
      </c>
      <c r="B2713" t="s">
        <v>1827</v>
      </c>
      <c r="C2713" t="s">
        <v>9485</v>
      </c>
      <c r="D2713" t="s">
        <v>8256</v>
      </c>
      <c r="E2713" t="s">
        <v>9486</v>
      </c>
      <c r="F2713" t="s">
        <v>118</v>
      </c>
      <c r="G2713" t="str">
        <f>HYPERLINK("https://vk.com/wall-200120043_2914?reply=2919&amp;thread=2916")</f>
        <v>https://vk.com/wall-200120043_2914?reply=2919&amp;thread=2916</v>
      </c>
      <c r="H2713" t="s">
        <v>119</v>
      </c>
      <c r="I2713" t="s">
        <v>9461</v>
      </c>
      <c r="J2713" t="str">
        <f>HYPERLINK("http://vk.com/id138766275")</f>
        <v>http://vk.com/id138766275</v>
      </c>
      <c r="K2713">
        <v>357</v>
      </c>
      <c r="L2713" t="s">
        <v>151</v>
      </c>
      <c r="M2713">
        <v>54</v>
      </c>
      <c r="N2713" t="s">
        <v>122</v>
      </c>
      <c r="O2713" t="s">
        <v>8259</v>
      </c>
      <c r="P2713" t="str">
        <f>HYPERLINK("http://vk.com/club200120043")</f>
        <v>http://vk.com/club200120043</v>
      </c>
      <c r="Q2713">
        <v>1362</v>
      </c>
      <c r="R2713" t="s">
        <v>124</v>
      </c>
      <c r="S2713" t="s">
        <v>125</v>
      </c>
      <c r="T2713" t="s">
        <v>667</v>
      </c>
      <c r="U2713" t="s">
        <v>4785</v>
      </c>
      <c r="AM2713" t="s">
        <v>129</v>
      </c>
      <c r="AN2713" t="s">
        <v>130</v>
      </c>
      <c r="AP2713" t="s">
        <v>41</v>
      </c>
      <c r="AZ2713" t="s">
        <v>51</v>
      </c>
      <c r="BA2713" t="s">
        <v>52</v>
      </c>
      <c r="BQ2713" t="s">
        <v>68</v>
      </c>
    </row>
    <row r="2714" spans="1:89" x14ac:dyDescent="0.2">
      <c r="A2714" t="s">
        <v>9127</v>
      </c>
      <c r="B2714" t="s">
        <v>8708</v>
      </c>
      <c r="C2714" t="s">
        <v>9487</v>
      </c>
      <c r="D2714" t="s">
        <v>8256</v>
      </c>
      <c r="E2714" t="s">
        <v>9488</v>
      </c>
      <c r="F2714" t="s">
        <v>118</v>
      </c>
      <c r="G2714" t="str">
        <f>HYPERLINK("https://vk.com/wall-200120043_2914?reply=2918&amp;thread=2916")</f>
        <v>https://vk.com/wall-200120043_2914?reply=2918&amp;thread=2916</v>
      </c>
      <c r="H2714" t="s">
        <v>119</v>
      </c>
      <c r="I2714" t="s">
        <v>9461</v>
      </c>
      <c r="J2714" t="str">
        <f>HYPERLINK("http://vk.com/id138766275")</f>
        <v>http://vk.com/id138766275</v>
      </c>
      <c r="K2714">
        <v>357</v>
      </c>
      <c r="L2714" t="s">
        <v>151</v>
      </c>
      <c r="M2714">
        <v>54</v>
      </c>
      <c r="N2714" t="s">
        <v>122</v>
      </c>
      <c r="O2714" t="s">
        <v>8259</v>
      </c>
      <c r="P2714" t="str">
        <f>HYPERLINK("http://vk.com/club200120043")</f>
        <v>http://vk.com/club200120043</v>
      </c>
      <c r="Q2714">
        <v>1362</v>
      </c>
      <c r="R2714" t="s">
        <v>124</v>
      </c>
      <c r="S2714" t="s">
        <v>125</v>
      </c>
      <c r="T2714" t="s">
        <v>667</v>
      </c>
      <c r="U2714" t="s">
        <v>4785</v>
      </c>
      <c r="AM2714" t="s">
        <v>129</v>
      </c>
      <c r="AN2714" t="s">
        <v>130</v>
      </c>
      <c r="AP2714" t="s">
        <v>41</v>
      </c>
      <c r="AX2714" t="s">
        <v>49</v>
      </c>
      <c r="AY2714" t="s">
        <v>50</v>
      </c>
      <c r="AZ2714" t="s">
        <v>51</v>
      </c>
      <c r="BB2714" t="s">
        <v>53</v>
      </c>
    </row>
    <row r="2715" spans="1:89" x14ac:dyDescent="0.2">
      <c r="A2715" t="s">
        <v>9127</v>
      </c>
      <c r="B2715" t="s">
        <v>8708</v>
      </c>
      <c r="C2715" t="s">
        <v>9489</v>
      </c>
      <c r="D2715" t="s">
        <v>9466</v>
      </c>
      <c r="E2715" t="s">
        <v>9490</v>
      </c>
      <c r="F2715" t="s">
        <v>118</v>
      </c>
      <c r="G2715" t="str">
        <f>HYPERLINK("https://vk.com/wall-27863223_291374?reply=291576&amp;thread=291387")</f>
        <v>https://vk.com/wall-27863223_291374?reply=291576&amp;thread=291387</v>
      </c>
      <c r="H2715" t="s">
        <v>119</v>
      </c>
      <c r="I2715" t="s">
        <v>9468</v>
      </c>
      <c r="J2715" t="str">
        <f>HYPERLINK("http://vk.com/id134558601")</f>
        <v>http://vk.com/id134558601</v>
      </c>
      <c r="K2715">
        <v>160</v>
      </c>
      <c r="L2715" t="s">
        <v>151</v>
      </c>
      <c r="M2715">
        <v>39</v>
      </c>
      <c r="N2715" t="s">
        <v>122</v>
      </c>
      <c r="O2715" t="s">
        <v>175</v>
      </c>
      <c r="P2715" t="str">
        <f>HYPERLINK("http://vk.com/club27863223")</f>
        <v>http://vk.com/club27863223</v>
      </c>
      <c r="Q2715">
        <v>134698</v>
      </c>
      <c r="R2715" t="s">
        <v>124</v>
      </c>
      <c r="S2715" t="s">
        <v>125</v>
      </c>
      <c r="T2715" t="s">
        <v>2521</v>
      </c>
      <c r="U2715" t="s">
        <v>9469</v>
      </c>
      <c r="AM2715" t="s">
        <v>129</v>
      </c>
      <c r="AN2715" t="s">
        <v>130</v>
      </c>
      <c r="AP2715" t="s">
        <v>41</v>
      </c>
      <c r="AU2715" t="s">
        <v>46</v>
      </c>
      <c r="BA2715" t="s">
        <v>52</v>
      </c>
      <c r="BE2715" t="s">
        <v>56</v>
      </c>
    </row>
    <row r="2716" spans="1:89" x14ac:dyDescent="0.2">
      <c r="A2716" t="s">
        <v>9127</v>
      </c>
      <c r="B2716" t="s">
        <v>8716</v>
      </c>
      <c r="C2716" t="s">
        <v>9491</v>
      </c>
      <c r="D2716" t="s">
        <v>8256</v>
      </c>
      <c r="E2716" t="s">
        <v>9492</v>
      </c>
      <c r="F2716" t="s">
        <v>118</v>
      </c>
      <c r="G2716" t="str">
        <f>HYPERLINK("https://vk.com/wall-200120043_2914?reply=2917&amp;thread=2916")</f>
        <v>https://vk.com/wall-200120043_2914?reply=2917&amp;thread=2916</v>
      </c>
      <c r="H2716" t="s">
        <v>119</v>
      </c>
      <c r="I2716" t="s">
        <v>8641</v>
      </c>
      <c r="J2716" t="str">
        <f>HYPERLINK("http://vk.com/id201611797")</f>
        <v>http://vk.com/id201611797</v>
      </c>
      <c r="K2716">
        <v>272</v>
      </c>
      <c r="L2716" t="s">
        <v>151</v>
      </c>
      <c r="N2716" t="s">
        <v>122</v>
      </c>
      <c r="O2716" t="s">
        <v>8259</v>
      </c>
      <c r="P2716" t="str">
        <f>HYPERLINK("http://vk.com/club200120043")</f>
        <v>http://vk.com/club200120043</v>
      </c>
      <c r="Q2716">
        <v>1362</v>
      </c>
      <c r="R2716" t="s">
        <v>124</v>
      </c>
      <c r="S2716" t="s">
        <v>125</v>
      </c>
      <c r="T2716" t="s">
        <v>667</v>
      </c>
      <c r="U2716" t="s">
        <v>4785</v>
      </c>
      <c r="AM2716" t="s">
        <v>129</v>
      </c>
      <c r="AN2716" t="s">
        <v>130</v>
      </c>
      <c r="AP2716" t="s">
        <v>41</v>
      </c>
      <c r="AX2716" t="s">
        <v>49</v>
      </c>
      <c r="AY2716" t="s">
        <v>50</v>
      </c>
      <c r="AZ2716" t="s">
        <v>51</v>
      </c>
      <c r="BB2716" t="s">
        <v>53</v>
      </c>
    </row>
    <row r="2717" spans="1:89" x14ac:dyDescent="0.2">
      <c r="A2717" t="s">
        <v>9127</v>
      </c>
      <c r="B2717" t="s">
        <v>6557</v>
      </c>
      <c r="C2717" t="s">
        <v>9493</v>
      </c>
      <c r="D2717" t="s">
        <v>9494</v>
      </c>
      <c r="E2717" t="s">
        <v>9495</v>
      </c>
      <c r="F2717" t="s">
        <v>118</v>
      </c>
      <c r="G2717" t="str">
        <f>HYPERLINK("https://vk.com/wall-26126255_259408?reply=259642")</f>
        <v>https://vk.com/wall-26126255_259408?reply=259642</v>
      </c>
      <c r="H2717" t="s">
        <v>119</v>
      </c>
      <c r="I2717" t="s">
        <v>9496</v>
      </c>
      <c r="J2717" t="str">
        <f>HYPERLINK("http://vk.com/id657198147")</f>
        <v>http://vk.com/id657198147</v>
      </c>
      <c r="K2717">
        <v>0</v>
      </c>
      <c r="L2717" t="s">
        <v>121</v>
      </c>
      <c r="M2717">
        <v>56</v>
      </c>
      <c r="N2717" t="s">
        <v>122</v>
      </c>
      <c r="O2717" t="s">
        <v>9497</v>
      </c>
      <c r="P2717" t="str">
        <f>HYPERLINK("http://vk.com/club26126255")</f>
        <v>http://vk.com/club26126255</v>
      </c>
      <c r="Q2717">
        <v>11566</v>
      </c>
      <c r="R2717" t="s">
        <v>124</v>
      </c>
      <c r="S2717" t="s">
        <v>125</v>
      </c>
      <c r="AM2717" t="s">
        <v>129</v>
      </c>
      <c r="AN2717" t="s">
        <v>130</v>
      </c>
      <c r="AP2717" t="s">
        <v>41</v>
      </c>
      <c r="AZ2717" t="s">
        <v>51</v>
      </c>
      <c r="BA2717" t="s">
        <v>52</v>
      </c>
      <c r="BL2717" t="s">
        <v>63</v>
      </c>
      <c r="BM2717" t="s">
        <v>64</v>
      </c>
    </row>
    <row r="2718" spans="1:89" x14ac:dyDescent="0.2">
      <c r="A2718" t="s">
        <v>9127</v>
      </c>
      <c r="B2718" t="s">
        <v>9498</v>
      </c>
      <c r="C2718" t="s">
        <v>9499</v>
      </c>
      <c r="D2718" t="s">
        <v>9500</v>
      </c>
      <c r="E2718" t="s">
        <v>9501</v>
      </c>
      <c r="F2718" t="s">
        <v>118</v>
      </c>
      <c r="G2718" t="str">
        <f>HYPERLINK("https://vk.com/wall-166933588_52188?reply=52208&amp;thread=52196")</f>
        <v>https://vk.com/wall-166933588_52188?reply=52208&amp;thread=52196</v>
      </c>
      <c r="H2718" t="s">
        <v>119</v>
      </c>
      <c r="I2718" t="s">
        <v>6303</v>
      </c>
      <c r="J2718" t="str">
        <f>HYPERLINK("http://vk.com/id1835989")</f>
        <v>http://vk.com/id1835989</v>
      </c>
      <c r="K2718">
        <v>685</v>
      </c>
      <c r="L2718" t="s">
        <v>121</v>
      </c>
      <c r="N2718" t="s">
        <v>122</v>
      </c>
      <c r="O2718" t="s">
        <v>9502</v>
      </c>
      <c r="P2718" t="str">
        <f>HYPERLINK("http://vk.com/club166933588")</f>
        <v>http://vk.com/club166933588</v>
      </c>
      <c r="Q2718">
        <v>18588</v>
      </c>
      <c r="R2718" t="s">
        <v>124</v>
      </c>
      <c r="S2718" t="s">
        <v>125</v>
      </c>
      <c r="T2718" t="s">
        <v>137</v>
      </c>
      <c r="U2718" t="s">
        <v>137</v>
      </c>
      <c r="AM2718" t="s">
        <v>129</v>
      </c>
      <c r="AN2718" t="s">
        <v>130</v>
      </c>
      <c r="AP2718" t="s">
        <v>41</v>
      </c>
      <c r="AZ2718" t="s">
        <v>51</v>
      </c>
      <c r="BB2718" t="s">
        <v>53</v>
      </c>
      <c r="BM2718" t="s">
        <v>64</v>
      </c>
    </row>
    <row r="2719" spans="1:89" x14ac:dyDescent="0.2">
      <c r="A2719" t="s">
        <v>9127</v>
      </c>
      <c r="B2719" t="s">
        <v>9503</v>
      </c>
      <c r="C2719" t="s">
        <v>9504</v>
      </c>
      <c r="D2719" t="s">
        <v>204</v>
      </c>
      <c r="E2719" t="s">
        <v>9505</v>
      </c>
      <c r="F2719" t="s">
        <v>180</v>
      </c>
      <c r="G2719" t="str">
        <f>HYPERLINK("https://play.google.com/store/apps/details?id=ru.iflex.android.a3colortv&amp;reviewId=gp:AOqpTOENxemdzLgOuTob0JXv9uODocMLL1QFNtKQiI8pAEYdnq9krzVPNI-Zf_CZ2cNBWIS8dIqE6n-mbKaTEg")</f>
        <v>https://play.google.com/store/apps/details?id=ru.iflex.android.a3colortv&amp;reviewId=gp:AOqpTOENxemdzLgOuTob0JXv9uODocMLL1QFNtKQiI8pAEYdnq9krzVPNI-Zf_CZ2cNBWIS8dIqE6n-mbKaTEg</v>
      </c>
      <c r="H2719" t="s">
        <v>228</v>
      </c>
      <c r="I2719" t="s">
        <v>9506</v>
      </c>
      <c r="J2719" t="str">
        <f>HYPERLINK("https://plus.google.com/114967503895015406132")</f>
        <v>https://plus.google.com/114967503895015406132</v>
      </c>
      <c r="L2719" t="s">
        <v>121</v>
      </c>
      <c r="N2719" t="s">
        <v>207</v>
      </c>
      <c r="O2719" t="s">
        <v>204</v>
      </c>
      <c r="P2719" t="str">
        <f>HYPERLINK("https://play.google.com/store/apps/details?id=ru.iflex.android.a3colortv&amp;hl=ru")</f>
        <v>https://play.google.com/store/apps/details?id=ru.iflex.android.a3colortv&amp;hl=ru</v>
      </c>
      <c r="R2719" t="s">
        <v>184</v>
      </c>
      <c r="S2719" t="s">
        <v>125</v>
      </c>
      <c r="W2719">
        <v>0</v>
      </c>
      <c r="X2719">
        <v>0</v>
      </c>
      <c r="AH2719">
        <v>1</v>
      </c>
      <c r="AM2719" t="s">
        <v>129</v>
      </c>
      <c r="AN2719" t="s">
        <v>130</v>
      </c>
      <c r="AP2719" t="s">
        <v>41</v>
      </c>
      <c r="AZ2719" t="s">
        <v>51</v>
      </c>
      <c r="BA2719" t="s">
        <v>52</v>
      </c>
      <c r="BQ2719" t="s">
        <v>68</v>
      </c>
    </row>
    <row r="2720" spans="1:89" x14ac:dyDescent="0.2">
      <c r="A2720" t="s">
        <v>9507</v>
      </c>
      <c r="B2720" t="s">
        <v>1238</v>
      </c>
      <c r="C2720" t="s">
        <v>9508</v>
      </c>
      <c r="D2720" t="s">
        <v>8256</v>
      </c>
      <c r="E2720" t="s">
        <v>9509</v>
      </c>
      <c r="F2720" t="s">
        <v>118</v>
      </c>
      <c r="G2720" t="str">
        <f>HYPERLINK("https://vk.com/wall-200120043_2914?reply=2916")</f>
        <v>https://vk.com/wall-200120043_2914?reply=2916</v>
      </c>
      <c r="H2720" t="s">
        <v>119</v>
      </c>
      <c r="I2720" t="s">
        <v>9461</v>
      </c>
      <c r="J2720" t="str">
        <f>HYPERLINK("http://vk.com/id138766275")</f>
        <v>http://vk.com/id138766275</v>
      </c>
      <c r="K2720">
        <v>357</v>
      </c>
      <c r="L2720" t="s">
        <v>151</v>
      </c>
      <c r="M2720">
        <v>54</v>
      </c>
      <c r="N2720" t="s">
        <v>122</v>
      </c>
      <c r="O2720" t="s">
        <v>8259</v>
      </c>
      <c r="P2720" t="str">
        <f>HYPERLINK("http://vk.com/club200120043")</f>
        <v>http://vk.com/club200120043</v>
      </c>
      <c r="Q2720">
        <v>1362</v>
      </c>
      <c r="R2720" t="s">
        <v>124</v>
      </c>
      <c r="S2720" t="s">
        <v>125</v>
      </c>
      <c r="T2720" t="s">
        <v>667</v>
      </c>
      <c r="U2720" t="s">
        <v>4785</v>
      </c>
      <c r="AM2720" t="s">
        <v>129</v>
      </c>
      <c r="AN2720" t="s">
        <v>130</v>
      </c>
      <c r="AP2720" t="s">
        <v>41</v>
      </c>
      <c r="AU2720" t="s">
        <v>46</v>
      </c>
      <c r="AX2720" t="s">
        <v>49</v>
      </c>
      <c r="AY2720" t="s">
        <v>50</v>
      </c>
      <c r="AZ2720" t="s">
        <v>51</v>
      </c>
      <c r="BA2720" t="s">
        <v>52</v>
      </c>
    </row>
    <row r="2721" spans="1:89" x14ac:dyDescent="0.2">
      <c r="A2721" t="s">
        <v>9507</v>
      </c>
      <c r="B2721" t="s">
        <v>1261</v>
      </c>
      <c r="C2721" t="s">
        <v>9510</v>
      </c>
      <c r="D2721" t="s">
        <v>129</v>
      </c>
      <c r="E2721" t="s">
        <v>9511</v>
      </c>
      <c r="F2721" t="s">
        <v>118</v>
      </c>
      <c r="G2721" t="str">
        <f>HYPERLINK("https://vk.com/wall-28477986_3966067?reply=3973245")</f>
        <v>https://vk.com/wall-28477986_3966067?reply=3973245</v>
      </c>
      <c r="H2721" t="s">
        <v>119</v>
      </c>
      <c r="I2721" t="s">
        <v>9512</v>
      </c>
      <c r="J2721" t="str">
        <f>HYPERLINK("http://vk.com/id33135710")</f>
        <v>http://vk.com/id33135710</v>
      </c>
      <c r="K2721">
        <v>1258</v>
      </c>
      <c r="L2721" t="s">
        <v>121</v>
      </c>
      <c r="N2721" t="s">
        <v>122</v>
      </c>
      <c r="O2721" t="s">
        <v>9513</v>
      </c>
      <c r="P2721" t="str">
        <f>HYPERLINK("http://vk.com/club28477986")</f>
        <v>http://vk.com/club28477986</v>
      </c>
      <c r="Q2721">
        <v>7021098</v>
      </c>
      <c r="R2721" t="s">
        <v>124</v>
      </c>
      <c r="S2721" t="s">
        <v>125</v>
      </c>
      <c r="AM2721" t="s">
        <v>129</v>
      </c>
      <c r="AN2721" t="s">
        <v>130</v>
      </c>
      <c r="AP2721" t="s">
        <v>41</v>
      </c>
      <c r="AU2721" t="s">
        <v>46</v>
      </c>
      <c r="AZ2721" t="s">
        <v>51</v>
      </c>
      <c r="BA2721" t="s">
        <v>52</v>
      </c>
    </row>
    <row r="2722" spans="1:89" x14ac:dyDescent="0.2">
      <c r="A2722" t="s">
        <v>9507</v>
      </c>
      <c r="B2722" t="s">
        <v>772</v>
      </c>
      <c r="C2722" t="s">
        <v>8447</v>
      </c>
      <c r="D2722" t="s">
        <v>3388</v>
      </c>
      <c r="E2722" t="s">
        <v>9514</v>
      </c>
      <c r="F2722" t="s">
        <v>180</v>
      </c>
      <c r="G2722" t="str">
        <f>HYPERLINK("https://www.wildberries.ru/catalog/25365834/detail.aspx?targetUrl=ES#Comments")</f>
        <v>https://www.wildberries.ru/catalog/25365834/detail.aspx?targetUrl=ES#Comments</v>
      </c>
      <c r="H2722" t="s">
        <v>119</v>
      </c>
      <c r="I2722" t="s">
        <v>7764</v>
      </c>
      <c r="J2722" t="str">
        <f>HYPERLINK("https://www.wildberries.ru/profile/w7TDssOkw7PCu8KzwrTCtcKwwrnCtsKxwrU=")</f>
        <v>https://www.wildberries.ru/profile/w7TDssOkw7PCu8KzwrTCtcKwwrnCtsKxwrU=</v>
      </c>
      <c r="L2722" t="s">
        <v>121</v>
      </c>
      <c r="N2722" t="s">
        <v>534</v>
      </c>
      <c r="O2722" t="s">
        <v>3388</v>
      </c>
      <c r="P2722" t="str">
        <f>HYPERLINK("https://www.wildberries.ru/catalog/18682734/detail.aspx")</f>
        <v>https://www.wildberries.ru/catalog/18682734/detail.aspx</v>
      </c>
      <c r="R2722" t="s">
        <v>184</v>
      </c>
      <c r="S2722" t="s">
        <v>125</v>
      </c>
      <c r="W2722">
        <v>1</v>
      </c>
      <c r="X2722">
        <v>1</v>
      </c>
      <c r="AH2722">
        <v>1</v>
      </c>
      <c r="AM2722" t="s">
        <v>129</v>
      </c>
      <c r="AN2722" t="s">
        <v>130</v>
      </c>
      <c r="AP2722" t="s">
        <v>41</v>
      </c>
      <c r="AT2722" t="s">
        <v>45</v>
      </c>
      <c r="AZ2722" t="s">
        <v>51</v>
      </c>
      <c r="BA2722" t="s">
        <v>52</v>
      </c>
    </row>
    <row r="2723" spans="1:89" x14ac:dyDescent="0.2">
      <c r="A2723" t="s">
        <v>9507</v>
      </c>
      <c r="B2723" t="s">
        <v>2908</v>
      </c>
      <c r="C2723" t="s">
        <v>9515</v>
      </c>
      <c r="D2723" t="s">
        <v>1648</v>
      </c>
      <c r="E2723" t="s">
        <v>9516</v>
      </c>
      <c r="F2723" t="s">
        <v>180</v>
      </c>
      <c r="G2723" t="str">
        <f>HYPERLINK("https://www.wildberries.ru/catalog/26550113/detail.aspx?targetUrl=ES#Comments")</f>
        <v>https://www.wildberries.ru/catalog/26550113/detail.aspx?targetUrl=ES#Comments</v>
      </c>
      <c r="H2723" t="s">
        <v>119</v>
      </c>
      <c r="I2723" t="s">
        <v>5176</v>
      </c>
      <c r="J2723" t="str">
        <f>HYPERLINK("https://www.wildberries.ru/profile/w7TDssOkw7PCu8KzwrLCtMK5wrXCt8K2wrc=")</f>
        <v>https://www.wildberries.ru/profile/w7TDssOkw7PCu8KzwrLCtMK5wrXCt8K2wrc=</v>
      </c>
      <c r="L2723" t="s">
        <v>151</v>
      </c>
      <c r="N2723" t="s">
        <v>534</v>
      </c>
      <c r="O2723" t="s">
        <v>1648</v>
      </c>
      <c r="P2723" t="str">
        <f>HYPERLINK("https://www.wildberries.ru/catalog/19471768/detail.aspx")</f>
        <v>https://www.wildberries.ru/catalog/19471768/detail.aspx</v>
      </c>
      <c r="R2723" t="s">
        <v>184</v>
      </c>
      <c r="S2723" t="s">
        <v>125</v>
      </c>
      <c r="W2723">
        <v>0</v>
      </c>
      <c r="X2723">
        <v>0</v>
      </c>
      <c r="AH2723">
        <v>3</v>
      </c>
      <c r="AM2723" t="s">
        <v>129</v>
      </c>
      <c r="AN2723" t="s">
        <v>130</v>
      </c>
      <c r="AP2723" t="s">
        <v>41</v>
      </c>
      <c r="AT2723" t="s">
        <v>45</v>
      </c>
      <c r="AZ2723" t="s">
        <v>51</v>
      </c>
      <c r="BA2723" t="s">
        <v>52</v>
      </c>
    </row>
    <row r="2724" spans="1:89" x14ac:dyDescent="0.2">
      <c r="A2724" t="s">
        <v>9507</v>
      </c>
      <c r="B2724" t="s">
        <v>2317</v>
      </c>
      <c r="C2724" t="s">
        <v>9517</v>
      </c>
      <c r="D2724" t="s">
        <v>9174</v>
      </c>
      <c r="E2724" t="s">
        <v>9518</v>
      </c>
      <c r="F2724" t="s">
        <v>180</v>
      </c>
      <c r="G2724" t="str">
        <f>HYPERLINK("https://4pda.to/forum/index.php?showtopic=985387&amp;st=300#entry107896986")</f>
        <v>https://4pda.to/forum/index.php?showtopic=985387&amp;st=300#entry107896986</v>
      </c>
      <c r="H2724" t="s">
        <v>119</v>
      </c>
      <c r="I2724" t="s">
        <v>9288</v>
      </c>
      <c r="J2724" t="str">
        <f>HYPERLINK("https://4pda.to/forum/index.php?showuser=951964")</f>
        <v>https://4pda.to/forum/index.php?showuser=951964</v>
      </c>
      <c r="N2724" t="s">
        <v>293</v>
      </c>
      <c r="O2724" t="s">
        <v>7174</v>
      </c>
      <c r="P2724" t="str">
        <f>HYPERLINK("https://4pda.to/forum/index.php?showforum=1076")</f>
        <v>https://4pda.to/forum/index.php?showforum=1076</v>
      </c>
      <c r="R2724" t="s">
        <v>295</v>
      </c>
      <c r="S2724" t="s">
        <v>125</v>
      </c>
      <c r="AM2724" t="s">
        <v>129</v>
      </c>
      <c r="AN2724" t="s">
        <v>130</v>
      </c>
      <c r="AP2724" t="s">
        <v>41</v>
      </c>
      <c r="AZ2724" t="s">
        <v>51</v>
      </c>
      <c r="BA2724" t="s">
        <v>52</v>
      </c>
      <c r="BM2724" t="s">
        <v>64</v>
      </c>
    </row>
    <row r="2725" spans="1:89" x14ac:dyDescent="0.2">
      <c r="A2725" t="s">
        <v>9507</v>
      </c>
      <c r="B2725" t="s">
        <v>1892</v>
      </c>
      <c r="C2725" t="s">
        <v>9517</v>
      </c>
      <c r="D2725" t="s">
        <v>9174</v>
      </c>
      <c r="E2725" t="s">
        <v>9519</v>
      </c>
      <c r="F2725" t="s">
        <v>180</v>
      </c>
      <c r="G2725" t="str">
        <f>HYPERLINK("https://4pda.to/forum/index.php?showtopic=985387&amp;st=300#entry107896959")</f>
        <v>https://4pda.to/forum/index.php?showtopic=985387&amp;st=300#entry107896959</v>
      </c>
      <c r="H2725" t="s">
        <v>119</v>
      </c>
      <c r="I2725" t="s">
        <v>9520</v>
      </c>
      <c r="J2725" t="str">
        <f>HYPERLINK("https://4pda.to/forum/index.php?showuser=7200567")</f>
        <v>https://4pda.to/forum/index.php?showuser=7200567</v>
      </c>
      <c r="N2725" t="s">
        <v>293</v>
      </c>
      <c r="O2725" t="s">
        <v>7174</v>
      </c>
      <c r="P2725" t="str">
        <f>HYPERLINK("https://4pda.to/forum/index.php?showforum=1076")</f>
        <v>https://4pda.to/forum/index.php?showforum=1076</v>
      </c>
      <c r="R2725" t="s">
        <v>295</v>
      </c>
      <c r="S2725" t="s">
        <v>125</v>
      </c>
      <c r="AM2725" t="s">
        <v>129</v>
      </c>
      <c r="AN2725" t="s">
        <v>130</v>
      </c>
      <c r="AP2725" t="s">
        <v>41</v>
      </c>
      <c r="AU2725" t="s">
        <v>46</v>
      </c>
      <c r="AZ2725" t="s">
        <v>51</v>
      </c>
      <c r="BA2725" t="s">
        <v>52</v>
      </c>
      <c r="BM2725" t="s">
        <v>64</v>
      </c>
    </row>
    <row r="2726" spans="1:89" x14ac:dyDescent="0.2">
      <c r="A2726" t="s">
        <v>9507</v>
      </c>
      <c r="B2726" t="s">
        <v>2324</v>
      </c>
      <c r="C2726" t="s">
        <v>9521</v>
      </c>
      <c r="D2726" t="s">
        <v>9058</v>
      </c>
      <c r="E2726" t="s">
        <v>9522</v>
      </c>
      <c r="F2726" t="s">
        <v>118</v>
      </c>
      <c r="G2726" t="str">
        <f>HYPERLINK("https://vk.com/wall-27863223_291571?reply=291572")</f>
        <v>https://vk.com/wall-27863223_291571?reply=291572</v>
      </c>
      <c r="H2726" t="s">
        <v>228</v>
      </c>
      <c r="I2726" t="s">
        <v>9098</v>
      </c>
      <c r="J2726" t="str">
        <f>HYPERLINK("http://vk.com/id247296779")</f>
        <v>http://vk.com/id247296779</v>
      </c>
      <c r="K2726">
        <v>205</v>
      </c>
      <c r="N2726" t="s">
        <v>122</v>
      </c>
      <c r="O2726" t="s">
        <v>175</v>
      </c>
      <c r="P2726" t="str">
        <f>HYPERLINK("http://vk.com/club27863223")</f>
        <v>http://vk.com/club27863223</v>
      </c>
      <c r="Q2726">
        <v>134698</v>
      </c>
      <c r="R2726" t="s">
        <v>124</v>
      </c>
      <c r="S2726" t="s">
        <v>125</v>
      </c>
      <c r="W2726">
        <v>0</v>
      </c>
      <c r="X2726">
        <v>0</v>
      </c>
      <c r="AM2726" t="s">
        <v>129</v>
      </c>
      <c r="AN2726" t="s">
        <v>130</v>
      </c>
      <c r="AP2726" t="s">
        <v>41</v>
      </c>
      <c r="AU2726" t="s">
        <v>46</v>
      </c>
      <c r="BA2726" t="s">
        <v>52</v>
      </c>
      <c r="BE2726" t="s">
        <v>56</v>
      </c>
    </row>
    <row r="2727" spans="1:89" x14ac:dyDescent="0.2">
      <c r="A2727" t="s">
        <v>9507</v>
      </c>
      <c r="B2727" t="s">
        <v>1902</v>
      </c>
      <c r="C2727" t="s">
        <v>9523</v>
      </c>
      <c r="D2727" t="s">
        <v>129</v>
      </c>
      <c r="E2727" t="s">
        <v>9524</v>
      </c>
      <c r="F2727" t="s">
        <v>2808</v>
      </c>
      <c r="G2727" t="str">
        <f>HYPERLINK("https://vk.com/wall140406702_4163")</f>
        <v>https://vk.com/wall140406702_4163</v>
      </c>
      <c r="H2727" t="s">
        <v>228</v>
      </c>
      <c r="I2727" t="s">
        <v>9525</v>
      </c>
      <c r="J2727" t="str">
        <f>HYPERLINK("http://vk.com/id140406702")</f>
        <v>http://vk.com/id140406702</v>
      </c>
      <c r="K2727">
        <v>700</v>
      </c>
      <c r="L2727" t="s">
        <v>121</v>
      </c>
      <c r="M2727">
        <v>29</v>
      </c>
      <c r="N2727" t="s">
        <v>122</v>
      </c>
      <c r="O2727" t="s">
        <v>9525</v>
      </c>
      <c r="P2727" t="str">
        <f>HYPERLINK("http://vk.com/id140406702")</f>
        <v>http://vk.com/id140406702</v>
      </c>
      <c r="Q2727">
        <v>700</v>
      </c>
      <c r="R2727" t="s">
        <v>124</v>
      </c>
      <c r="S2727" t="s">
        <v>125</v>
      </c>
      <c r="T2727" t="s">
        <v>667</v>
      </c>
      <c r="U2727" t="s">
        <v>4785</v>
      </c>
      <c r="W2727">
        <v>0</v>
      </c>
      <c r="X2727">
        <v>0</v>
      </c>
      <c r="AE2727">
        <v>0</v>
      </c>
      <c r="AF2727">
        <v>0</v>
      </c>
      <c r="AG2727">
        <v>6</v>
      </c>
      <c r="AM2727" t="s">
        <v>129</v>
      </c>
      <c r="AN2727" t="s">
        <v>130</v>
      </c>
      <c r="AP2727" t="s">
        <v>41</v>
      </c>
      <c r="AU2727" t="s">
        <v>46</v>
      </c>
      <c r="AX2727" t="s">
        <v>49</v>
      </c>
      <c r="AY2727" t="s">
        <v>50</v>
      </c>
      <c r="BA2727" t="s">
        <v>52</v>
      </c>
      <c r="BF2727" t="s">
        <v>57</v>
      </c>
      <c r="CK2727" t="s">
        <v>88</v>
      </c>
    </row>
    <row r="2728" spans="1:89" x14ac:dyDescent="0.2">
      <c r="A2728" t="s">
        <v>9507</v>
      </c>
      <c r="B2728" t="s">
        <v>6637</v>
      </c>
      <c r="C2728" t="s">
        <v>9526</v>
      </c>
      <c r="D2728" t="s">
        <v>129</v>
      </c>
      <c r="E2728" t="s">
        <v>9524</v>
      </c>
      <c r="F2728" t="s">
        <v>180</v>
      </c>
      <c r="G2728" t="str">
        <f>HYPERLINK("https://vk.com/wall-200120043_2914")</f>
        <v>https://vk.com/wall-200120043_2914</v>
      </c>
      <c r="H2728" t="s">
        <v>228</v>
      </c>
      <c r="I2728" t="s">
        <v>8641</v>
      </c>
      <c r="J2728" t="str">
        <f>HYPERLINK("http://vk.com/id201611797")</f>
        <v>http://vk.com/id201611797</v>
      </c>
      <c r="K2728">
        <v>272</v>
      </c>
      <c r="L2728" t="s">
        <v>151</v>
      </c>
      <c r="N2728" t="s">
        <v>122</v>
      </c>
      <c r="O2728" t="s">
        <v>8259</v>
      </c>
      <c r="P2728" t="str">
        <f>HYPERLINK("http://vk.com/club200120043")</f>
        <v>http://vk.com/club200120043</v>
      </c>
      <c r="Q2728">
        <v>1362</v>
      </c>
      <c r="R2728" t="s">
        <v>124</v>
      </c>
      <c r="S2728" t="s">
        <v>125</v>
      </c>
      <c r="T2728" t="s">
        <v>667</v>
      </c>
      <c r="U2728" t="s">
        <v>4785</v>
      </c>
      <c r="W2728">
        <v>30</v>
      </c>
      <c r="X2728">
        <v>30</v>
      </c>
      <c r="AE2728">
        <v>14</v>
      </c>
      <c r="AF2728">
        <v>6</v>
      </c>
      <c r="AG2728">
        <v>3027</v>
      </c>
      <c r="AM2728" t="s">
        <v>129</v>
      </c>
      <c r="AN2728" t="s">
        <v>130</v>
      </c>
      <c r="AP2728" t="s">
        <v>41</v>
      </c>
      <c r="AU2728" t="s">
        <v>46</v>
      </c>
      <c r="AX2728" t="s">
        <v>49</v>
      </c>
      <c r="AY2728" t="s">
        <v>50</v>
      </c>
      <c r="BA2728" t="s">
        <v>52</v>
      </c>
      <c r="BF2728" t="s">
        <v>57</v>
      </c>
      <c r="CK2728" t="s">
        <v>88</v>
      </c>
    </row>
    <row r="2729" spans="1:89" x14ac:dyDescent="0.2">
      <c r="A2729" t="s">
        <v>9507</v>
      </c>
      <c r="B2729" t="s">
        <v>196</v>
      </c>
      <c r="C2729" t="s">
        <v>9527</v>
      </c>
      <c r="D2729" t="s">
        <v>6224</v>
      </c>
      <c r="E2729" t="s">
        <v>9528</v>
      </c>
      <c r="F2729" t="s">
        <v>118</v>
      </c>
      <c r="G2729" t="str">
        <f>HYPERLINK("https://www.youtube.com/watch?v=cuBcZGF3Yzc&amp;lc=Ugxzkghee3xjTquNL9J4AaABAg")</f>
        <v>https://www.youtube.com/watch?v=cuBcZGF3Yzc&amp;lc=Ugxzkghee3xjTquNL9J4AaABAg</v>
      </c>
      <c r="H2729" t="s">
        <v>119</v>
      </c>
      <c r="I2729" t="s">
        <v>9529</v>
      </c>
      <c r="J2729" t="str">
        <f>HYPERLINK("https://www.youtube.com/channel/UCgaTn9l1Pad6X1PN2_Xu_gQ")</f>
        <v>https://www.youtube.com/channel/UCgaTn9l1Pad6X1PN2_Xu_gQ</v>
      </c>
      <c r="K2729">
        <v>0</v>
      </c>
      <c r="L2729" t="s">
        <v>121</v>
      </c>
      <c r="N2729" t="s">
        <v>248</v>
      </c>
      <c r="O2729" t="s">
        <v>6227</v>
      </c>
      <c r="P2729" t="str">
        <f>HYPERLINK("https://www.youtube.com/channel/UCRP4EhX1Op-jL7D87PB3qhQ")</f>
        <v>https://www.youtube.com/channel/UCRP4EhX1Op-jL7D87PB3qhQ</v>
      </c>
      <c r="Q2729">
        <v>2820000</v>
      </c>
      <c r="R2729" t="s">
        <v>124</v>
      </c>
      <c r="S2729" t="s">
        <v>125</v>
      </c>
      <c r="W2729">
        <v>0</v>
      </c>
      <c r="X2729">
        <v>0</v>
      </c>
      <c r="AE2729">
        <v>0</v>
      </c>
      <c r="AM2729" t="s">
        <v>129</v>
      </c>
      <c r="AN2729" t="s">
        <v>130</v>
      </c>
      <c r="AP2729" t="s">
        <v>41</v>
      </c>
      <c r="AY2729" t="s">
        <v>50</v>
      </c>
      <c r="AZ2729" t="s">
        <v>51</v>
      </c>
      <c r="BB2729" t="s">
        <v>53</v>
      </c>
      <c r="BM2729" t="s">
        <v>64</v>
      </c>
    </row>
    <row r="2730" spans="1:89" x14ac:dyDescent="0.2">
      <c r="A2730" t="s">
        <v>9507</v>
      </c>
      <c r="B2730" t="s">
        <v>198</v>
      </c>
      <c r="C2730" t="s">
        <v>8196</v>
      </c>
      <c r="D2730" t="s">
        <v>1211</v>
      </c>
      <c r="E2730" t="s">
        <v>9530</v>
      </c>
      <c r="F2730" t="s">
        <v>180</v>
      </c>
      <c r="G2730" t="str">
        <f>HYPERLINK("https://www.ozon.ru/context/detail/id/254490633/#58384456")</f>
        <v>https://www.ozon.ru/context/detail/id/254490633/#58384456</v>
      </c>
      <c r="H2730" t="s">
        <v>181</v>
      </c>
      <c r="I2730" t="s">
        <v>9531</v>
      </c>
      <c r="J2730" t="str">
        <f>HYPERLINK("https://www.ozon.ru/context/client_opinion/ClientGuid/2f70727e-10a1-46c6-af81-2be6940553d1/")</f>
        <v>https://www.ozon.ru/context/client_opinion/ClientGuid/2f70727e-10a1-46c6-af81-2be6940553d1/</v>
      </c>
      <c r="L2730" t="s">
        <v>121</v>
      </c>
      <c r="N2730" t="s">
        <v>183</v>
      </c>
      <c r="O2730" t="s">
        <v>1211</v>
      </c>
      <c r="P2730" t="str">
        <f>HYPERLINK("https://www.ozon.ru/context/detail/id/254490633/")</f>
        <v>https://www.ozon.ru/context/detail/id/254490633/</v>
      </c>
      <c r="R2730" t="s">
        <v>184</v>
      </c>
      <c r="S2730" t="s">
        <v>125</v>
      </c>
      <c r="W2730">
        <v>0</v>
      </c>
      <c r="X2730">
        <v>0</v>
      </c>
      <c r="AH2730">
        <v>5</v>
      </c>
      <c r="AJ2730" t="s">
        <v>9532</v>
      </c>
      <c r="AK2730" t="s">
        <v>129</v>
      </c>
      <c r="AL2730" t="str">
        <f>HYPERLINK("https://cdn1.ozone.ru/s3/rp-photo-2/0ee677db-83b3-49f7-9d22-6ee8761bbf4a.jpeg")</f>
        <v>https://cdn1.ozone.ru/s3/rp-photo-2/0ee677db-83b3-49f7-9d22-6ee8761bbf4a.jpeg</v>
      </c>
      <c r="AM2730" t="s">
        <v>129</v>
      </c>
      <c r="AN2730" t="s">
        <v>130</v>
      </c>
      <c r="AP2730" t="s">
        <v>41</v>
      </c>
      <c r="AT2730" t="s">
        <v>45</v>
      </c>
      <c r="AZ2730" t="s">
        <v>51</v>
      </c>
      <c r="BA2730" t="s">
        <v>52</v>
      </c>
      <c r="BL2730" t="s">
        <v>63</v>
      </c>
    </row>
    <row r="2731" spans="1:89" x14ac:dyDescent="0.2">
      <c r="A2731" t="s">
        <v>9507</v>
      </c>
      <c r="B2731" t="s">
        <v>8822</v>
      </c>
      <c r="C2731" t="s">
        <v>9533</v>
      </c>
      <c r="D2731" t="s">
        <v>1697</v>
      </c>
      <c r="E2731" t="s">
        <v>9534</v>
      </c>
      <c r="F2731" t="s">
        <v>180</v>
      </c>
      <c r="G2731" t="str">
        <f>HYPERLINK("https://apps.apple.com/ru/app/мой-триколор/id1204321194#7557929782")</f>
        <v>https://apps.apple.com/ru/app/мой-триколор/id1204321194#7557929782</v>
      </c>
      <c r="H2731" t="s">
        <v>181</v>
      </c>
      <c r="I2731" t="s">
        <v>9535</v>
      </c>
      <c r="J2731" t="str">
        <f>HYPERLINK("https://itunes.apple.com/reviews?userProfileId=826202332")</f>
        <v>https://itunes.apple.com/reviews?userProfileId=826202332</v>
      </c>
      <c r="L2731" t="s">
        <v>121</v>
      </c>
      <c r="N2731" t="s">
        <v>1411</v>
      </c>
      <c r="O2731" t="s">
        <v>1697</v>
      </c>
      <c r="P2731" t="str">
        <f>HYPERLINK("https://apps.apple.com/ru/app/мой-триколор/id1204321194")</f>
        <v>https://apps.apple.com/ru/app/мой-триколор/id1204321194</v>
      </c>
      <c r="R2731" t="s">
        <v>184</v>
      </c>
      <c r="S2731" t="s">
        <v>125</v>
      </c>
      <c r="AH2731">
        <v>5</v>
      </c>
      <c r="AM2731" t="s">
        <v>129</v>
      </c>
      <c r="AN2731" t="s">
        <v>130</v>
      </c>
      <c r="AP2731" t="s">
        <v>41</v>
      </c>
      <c r="AZ2731" t="s">
        <v>51</v>
      </c>
      <c r="BA2731" t="s">
        <v>52</v>
      </c>
      <c r="BQ2731" t="s">
        <v>68</v>
      </c>
    </row>
    <row r="2732" spans="1:89" x14ac:dyDescent="0.2">
      <c r="A2732" t="s">
        <v>9507</v>
      </c>
      <c r="B2732" t="s">
        <v>800</v>
      </c>
      <c r="C2732" t="s">
        <v>9536</v>
      </c>
      <c r="D2732" t="s">
        <v>9537</v>
      </c>
      <c r="E2732" t="s">
        <v>9538</v>
      </c>
      <c r="F2732" t="s">
        <v>118</v>
      </c>
      <c r="G2732" t="str">
        <f>HYPERLINK("https://vk.com/wall-22935147_368228?w=wall-22935147_368228_r368267")</f>
        <v>https://vk.com/wall-22935147_368228?w=wall-22935147_368228_r368267</v>
      </c>
      <c r="H2732" t="s">
        <v>119</v>
      </c>
      <c r="I2732" t="s">
        <v>9539</v>
      </c>
      <c r="J2732" t="str">
        <f>HYPERLINK("http://vk.com/id142992750")</f>
        <v>http://vk.com/id142992750</v>
      </c>
      <c r="K2732">
        <v>400</v>
      </c>
      <c r="L2732" t="s">
        <v>121</v>
      </c>
      <c r="M2732">
        <v>45</v>
      </c>
      <c r="N2732" t="s">
        <v>122</v>
      </c>
      <c r="O2732" t="s">
        <v>1093</v>
      </c>
      <c r="P2732" t="str">
        <f>HYPERLINK("http://vk.com/club22935147")</f>
        <v>http://vk.com/club22935147</v>
      </c>
      <c r="Q2732">
        <v>8943</v>
      </c>
      <c r="R2732" t="s">
        <v>124</v>
      </c>
      <c r="S2732" t="s">
        <v>125</v>
      </c>
      <c r="T2732" t="s">
        <v>1027</v>
      </c>
      <c r="U2732" t="s">
        <v>1028</v>
      </c>
      <c r="W2732">
        <v>0</v>
      </c>
      <c r="X2732">
        <v>0</v>
      </c>
      <c r="AM2732" t="s">
        <v>129</v>
      </c>
      <c r="AN2732" t="s">
        <v>130</v>
      </c>
      <c r="AP2732" t="s">
        <v>41</v>
      </c>
      <c r="AU2732" t="s">
        <v>46</v>
      </c>
      <c r="AZ2732" t="s">
        <v>51</v>
      </c>
      <c r="BA2732" t="s">
        <v>52</v>
      </c>
    </row>
    <row r="2733" spans="1:89" x14ac:dyDescent="0.2">
      <c r="A2733" t="s">
        <v>9507</v>
      </c>
      <c r="B2733" t="s">
        <v>4135</v>
      </c>
      <c r="C2733" t="s">
        <v>9540</v>
      </c>
      <c r="D2733" t="s">
        <v>907</v>
      </c>
      <c r="E2733" t="s">
        <v>9541</v>
      </c>
      <c r="F2733" t="s">
        <v>180</v>
      </c>
      <c r="G2733" t="str">
        <f>HYPERLINK("https://telesputnik.ru/forum/viewtopic.php?f=36&amp;t=42382&amp;start=37780#p2480063")</f>
        <v>https://telesputnik.ru/forum/viewtopic.php?f=36&amp;t=42382&amp;start=37780#p2480063</v>
      </c>
      <c r="H2733" t="s">
        <v>119</v>
      </c>
      <c r="I2733" t="s">
        <v>334</v>
      </c>
      <c r="J2733" t="str">
        <f>HYPERLINK("https://telesputnik.ru/forum/memberlist.php?mode=viewprofile&amp;u=330723")</f>
        <v>https://telesputnik.ru/forum/memberlist.php?mode=viewprofile&amp;u=330723</v>
      </c>
      <c r="N2733" t="s">
        <v>335</v>
      </c>
      <c r="O2733" t="s">
        <v>909</v>
      </c>
      <c r="P2733" t="str">
        <f>HYPERLINK("https://telesputnik.ru/forum/viewforum.php?f=36")</f>
        <v>https://telesputnik.ru/forum/viewforum.php?f=36</v>
      </c>
      <c r="R2733" t="s">
        <v>295</v>
      </c>
      <c r="S2733" t="s">
        <v>125</v>
      </c>
      <c r="AM2733" t="s">
        <v>129</v>
      </c>
      <c r="AN2733" t="s">
        <v>130</v>
      </c>
      <c r="AP2733" t="s">
        <v>41</v>
      </c>
      <c r="AU2733" t="s">
        <v>46</v>
      </c>
      <c r="AZ2733" t="s">
        <v>51</v>
      </c>
      <c r="BA2733" t="s">
        <v>52</v>
      </c>
    </row>
    <row r="2734" spans="1:89" x14ac:dyDescent="0.2">
      <c r="A2734" t="s">
        <v>9507</v>
      </c>
      <c r="B2734" t="s">
        <v>239</v>
      </c>
      <c r="C2734" t="s">
        <v>9542</v>
      </c>
      <c r="D2734" t="s">
        <v>9543</v>
      </c>
      <c r="E2734" t="s">
        <v>9544</v>
      </c>
      <c r="F2734" t="s">
        <v>118</v>
      </c>
      <c r="G2734" t="str">
        <f>HYPERLINK("https://vk.com/wall-46607051_134582?reply=134612")</f>
        <v>https://vk.com/wall-46607051_134582?reply=134612</v>
      </c>
      <c r="H2734" t="s">
        <v>119</v>
      </c>
      <c r="I2734" t="s">
        <v>9545</v>
      </c>
      <c r="J2734" t="str">
        <f>HYPERLINK("http://vk.com/id179920921")</f>
        <v>http://vk.com/id179920921</v>
      </c>
      <c r="K2734">
        <v>107</v>
      </c>
      <c r="L2734" t="s">
        <v>121</v>
      </c>
      <c r="M2734">
        <v>14</v>
      </c>
      <c r="N2734" t="s">
        <v>122</v>
      </c>
      <c r="O2734" t="s">
        <v>9546</v>
      </c>
      <c r="P2734" t="str">
        <f>HYPERLINK("http://vk.com/club46607051")</f>
        <v>http://vk.com/club46607051</v>
      </c>
      <c r="Q2734">
        <v>21089</v>
      </c>
      <c r="R2734" t="s">
        <v>124</v>
      </c>
      <c r="S2734" t="s">
        <v>125</v>
      </c>
      <c r="T2734" t="s">
        <v>667</v>
      </c>
      <c r="U2734" t="s">
        <v>668</v>
      </c>
      <c r="AM2734" t="s">
        <v>129</v>
      </c>
      <c r="AN2734" t="s">
        <v>130</v>
      </c>
      <c r="AP2734" t="s">
        <v>41</v>
      </c>
      <c r="AU2734" t="s">
        <v>46</v>
      </c>
      <c r="BA2734" t="s">
        <v>52</v>
      </c>
      <c r="BE2734" t="s">
        <v>56</v>
      </c>
    </row>
    <row r="2735" spans="1:89" x14ac:dyDescent="0.2">
      <c r="A2735" t="s">
        <v>9507</v>
      </c>
      <c r="B2735" t="s">
        <v>5064</v>
      </c>
      <c r="C2735" t="s">
        <v>9547</v>
      </c>
      <c r="D2735" t="s">
        <v>129</v>
      </c>
      <c r="E2735" t="s">
        <v>9548</v>
      </c>
      <c r="F2735" t="s">
        <v>180</v>
      </c>
      <c r="G2735" t="str">
        <f>HYPERLINK("https://telegram.me/www1923dm/199075")</f>
        <v>https://telegram.me/www1923dm/199075</v>
      </c>
      <c r="H2735" t="s">
        <v>119</v>
      </c>
      <c r="I2735" t="s">
        <v>9549</v>
      </c>
      <c r="J2735" t="str">
        <f>HYPERLINK("https://telegram.me/www1923dm")</f>
        <v>https://telegram.me/www1923dm</v>
      </c>
      <c r="K2735">
        <v>206</v>
      </c>
      <c r="L2735" t="s">
        <v>340</v>
      </c>
      <c r="N2735" t="s">
        <v>143</v>
      </c>
      <c r="O2735" t="s">
        <v>9549</v>
      </c>
      <c r="P2735" t="str">
        <f>HYPERLINK("https://telegram.me/www1923dm")</f>
        <v>https://telegram.me/www1923dm</v>
      </c>
      <c r="Q2735">
        <v>206</v>
      </c>
      <c r="R2735" t="s">
        <v>145</v>
      </c>
      <c r="AG2735">
        <v>60</v>
      </c>
      <c r="AM2735" t="s">
        <v>129</v>
      </c>
      <c r="AN2735" t="s">
        <v>130</v>
      </c>
      <c r="AP2735" t="s">
        <v>41</v>
      </c>
      <c r="AU2735" t="s">
        <v>46</v>
      </c>
      <c r="AZ2735" t="s">
        <v>51</v>
      </c>
      <c r="BA2735" t="s">
        <v>52</v>
      </c>
    </row>
    <row r="2736" spans="1:89" x14ac:dyDescent="0.2">
      <c r="A2736" t="s">
        <v>9507</v>
      </c>
      <c r="B2736" t="s">
        <v>4632</v>
      </c>
      <c r="C2736" t="s">
        <v>9550</v>
      </c>
      <c r="D2736" t="s">
        <v>8507</v>
      </c>
      <c r="E2736" t="s">
        <v>9551</v>
      </c>
      <c r="F2736" t="s">
        <v>118</v>
      </c>
      <c r="G2736" t="str">
        <f>HYPERLINK("https://vk.com/wall-168095006_2365?reply=2376&amp;thread=2367")</f>
        <v>https://vk.com/wall-168095006_2365?reply=2376&amp;thread=2367</v>
      </c>
      <c r="H2736" t="s">
        <v>119</v>
      </c>
      <c r="I2736" t="s">
        <v>9552</v>
      </c>
      <c r="J2736" t="str">
        <f>HYPERLINK("http://vk.com/id391479")</f>
        <v>http://vk.com/id391479</v>
      </c>
      <c r="K2736">
        <v>2381</v>
      </c>
      <c r="L2736" t="s">
        <v>151</v>
      </c>
      <c r="N2736" t="s">
        <v>122</v>
      </c>
      <c r="O2736" t="s">
        <v>8510</v>
      </c>
      <c r="P2736" t="str">
        <f>HYPERLINK("http://vk.com/club168095006")</f>
        <v>http://vk.com/club168095006</v>
      </c>
      <c r="Q2736">
        <v>1372</v>
      </c>
      <c r="R2736" t="s">
        <v>124</v>
      </c>
      <c r="S2736" t="s">
        <v>125</v>
      </c>
      <c r="T2736" t="s">
        <v>137</v>
      </c>
      <c r="U2736" t="s">
        <v>137</v>
      </c>
      <c r="AM2736" t="s">
        <v>129</v>
      </c>
      <c r="AN2736" t="s">
        <v>130</v>
      </c>
      <c r="AP2736" t="s">
        <v>41</v>
      </c>
      <c r="AZ2736" t="s">
        <v>51</v>
      </c>
      <c r="BB2736" t="s">
        <v>53</v>
      </c>
    </row>
    <row r="2737" spans="1:69" x14ac:dyDescent="0.2">
      <c r="A2737" t="s">
        <v>9507</v>
      </c>
      <c r="B2737" t="s">
        <v>2941</v>
      </c>
      <c r="C2737" t="s">
        <v>9553</v>
      </c>
      <c r="D2737" t="s">
        <v>8507</v>
      </c>
      <c r="E2737" t="s">
        <v>9554</v>
      </c>
      <c r="F2737" t="s">
        <v>118</v>
      </c>
      <c r="G2737" t="str">
        <f>HYPERLINK("https://vk.com/wall-168095006_2365?reply=2375&amp;thread=2367")</f>
        <v>https://vk.com/wall-168095006_2365?reply=2375&amp;thread=2367</v>
      </c>
      <c r="H2737" t="s">
        <v>228</v>
      </c>
      <c r="I2737" t="s">
        <v>9555</v>
      </c>
      <c r="J2737" t="str">
        <f>HYPERLINK("http://vk.com/id15142047")</f>
        <v>http://vk.com/id15142047</v>
      </c>
      <c r="K2737">
        <v>126</v>
      </c>
      <c r="L2737" t="s">
        <v>151</v>
      </c>
      <c r="M2737">
        <v>47</v>
      </c>
      <c r="N2737" t="s">
        <v>122</v>
      </c>
      <c r="O2737" t="s">
        <v>8510</v>
      </c>
      <c r="P2737" t="str">
        <f>HYPERLINK("http://vk.com/club168095006")</f>
        <v>http://vk.com/club168095006</v>
      </c>
      <c r="Q2737">
        <v>1372</v>
      </c>
      <c r="R2737" t="s">
        <v>124</v>
      </c>
      <c r="S2737" t="s">
        <v>125</v>
      </c>
      <c r="T2737" t="s">
        <v>137</v>
      </c>
      <c r="U2737" t="s">
        <v>137</v>
      </c>
      <c r="AM2737" t="s">
        <v>129</v>
      </c>
      <c r="AN2737" t="s">
        <v>130</v>
      </c>
      <c r="AP2737" t="s">
        <v>41</v>
      </c>
      <c r="AW2737" t="s">
        <v>48</v>
      </c>
      <c r="AZ2737" t="s">
        <v>51</v>
      </c>
      <c r="BA2737" t="s">
        <v>52</v>
      </c>
    </row>
    <row r="2738" spans="1:69" x14ac:dyDescent="0.2">
      <c r="A2738" t="s">
        <v>9507</v>
      </c>
      <c r="B2738" t="s">
        <v>1359</v>
      </c>
      <c r="C2738" t="s">
        <v>9556</v>
      </c>
      <c r="D2738" t="s">
        <v>204</v>
      </c>
      <c r="E2738" t="s">
        <v>2044</v>
      </c>
      <c r="F2738" t="s">
        <v>180</v>
      </c>
      <c r="G2738" t="str">
        <f>HYPERLINK("https://play.google.com/store/apps/details?id=ru.iflex.android.a3colortv&amp;reviewId=gp:AOqpTOGTP_BURxti-VrrYqZzKgav71NcKQFOb-apTAH51H01ToxLISVTNfzX2Brrc6LUlLHLrosFCU4vbmr5Dg")</f>
        <v>https://play.google.com/store/apps/details?id=ru.iflex.android.a3colortv&amp;reviewId=gp:AOqpTOGTP_BURxti-VrrYqZzKgav71NcKQFOb-apTAH51H01ToxLISVTNfzX2Brrc6LUlLHLrosFCU4vbmr5Dg</v>
      </c>
      <c r="H2738" t="s">
        <v>181</v>
      </c>
      <c r="I2738" t="s">
        <v>9557</v>
      </c>
      <c r="J2738" t="str">
        <f>HYPERLINK("https://plus.google.com/118206700943486070206")</f>
        <v>https://plus.google.com/118206700943486070206</v>
      </c>
      <c r="L2738" t="s">
        <v>121</v>
      </c>
      <c r="N2738" t="s">
        <v>207</v>
      </c>
      <c r="O2738" t="s">
        <v>204</v>
      </c>
      <c r="P2738" t="str">
        <f>HYPERLINK("https://play.google.com/store/apps/details?id=ru.iflex.android.a3colortv&amp;hl=ru")</f>
        <v>https://play.google.com/store/apps/details?id=ru.iflex.android.a3colortv&amp;hl=ru</v>
      </c>
      <c r="R2738" t="s">
        <v>184</v>
      </c>
      <c r="S2738" t="s">
        <v>125</v>
      </c>
      <c r="W2738">
        <v>0</v>
      </c>
      <c r="X2738">
        <v>0</v>
      </c>
      <c r="AH2738">
        <v>5</v>
      </c>
      <c r="AM2738" t="s">
        <v>129</v>
      </c>
      <c r="AN2738" t="s">
        <v>130</v>
      </c>
      <c r="AP2738" t="s">
        <v>41</v>
      </c>
      <c r="AZ2738" t="s">
        <v>51</v>
      </c>
      <c r="BA2738" t="s">
        <v>52</v>
      </c>
      <c r="BQ2738" t="s">
        <v>68</v>
      </c>
    </row>
    <row r="2739" spans="1:69" x14ac:dyDescent="0.2">
      <c r="A2739" t="s">
        <v>9507</v>
      </c>
      <c r="B2739" t="s">
        <v>8842</v>
      </c>
      <c r="C2739" t="s">
        <v>9558</v>
      </c>
      <c r="D2739" t="s">
        <v>8507</v>
      </c>
      <c r="E2739" t="s">
        <v>9559</v>
      </c>
      <c r="F2739" t="s">
        <v>118</v>
      </c>
      <c r="G2739" t="str">
        <f>HYPERLINK("https://vk.com/wall-168095006_2365?reply=2371&amp;thread=2367")</f>
        <v>https://vk.com/wall-168095006_2365?reply=2371&amp;thread=2367</v>
      </c>
      <c r="H2739" t="s">
        <v>119</v>
      </c>
      <c r="I2739" t="s">
        <v>9555</v>
      </c>
      <c r="J2739" t="str">
        <f>HYPERLINK("http://vk.com/id15142047")</f>
        <v>http://vk.com/id15142047</v>
      </c>
      <c r="K2739">
        <v>126</v>
      </c>
      <c r="L2739" t="s">
        <v>151</v>
      </c>
      <c r="M2739">
        <v>47</v>
      </c>
      <c r="N2739" t="s">
        <v>122</v>
      </c>
      <c r="O2739" t="s">
        <v>8510</v>
      </c>
      <c r="P2739" t="str">
        <f>HYPERLINK("http://vk.com/club168095006")</f>
        <v>http://vk.com/club168095006</v>
      </c>
      <c r="Q2739">
        <v>1372</v>
      </c>
      <c r="R2739" t="s">
        <v>124</v>
      </c>
      <c r="S2739" t="s">
        <v>125</v>
      </c>
      <c r="T2739" t="s">
        <v>137</v>
      </c>
      <c r="U2739" t="s">
        <v>137</v>
      </c>
      <c r="AM2739" t="s">
        <v>129</v>
      </c>
      <c r="AN2739" t="s">
        <v>130</v>
      </c>
      <c r="AP2739" t="s">
        <v>41</v>
      </c>
      <c r="AZ2739" t="s">
        <v>51</v>
      </c>
      <c r="BA2739" t="s">
        <v>52</v>
      </c>
      <c r="BM2739" t="s">
        <v>64</v>
      </c>
    </row>
    <row r="2740" spans="1:69" x14ac:dyDescent="0.2">
      <c r="A2740" t="s">
        <v>9507</v>
      </c>
      <c r="B2740" t="s">
        <v>838</v>
      </c>
      <c r="C2740" t="s">
        <v>9560</v>
      </c>
      <c r="D2740" t="s">
        <v>9561</v>
      </c>
      <c r="E2740" t="s">
        <v>9562</v>
      </c>
      <c r="F2740" t="s">
        <v>118</v>
      </c>
      <c r="G2740" t="str">
        <f>HYPERLINK("https://vk.com/wall-65170749_559516?reply=559529")</f>
        <v>https://vk.com/wall-65170749_559516?reply=559529</v>
      </c>
      <c r="H2740" t="s">
        <v>119</v>
      </c>
      <c r="I2740" t="s">
        <v>9563</v>
      </c>
      <c r="J2740" t="str">
        <f>HYPERLINK("http://vk.com/id28737391")</f>
        <v>http://vk.com/id28737391</v>
      </c>
      <c r="K2740">
        <v>1679</v>
      </c>
      <c r="L2740" t="s">
        <v>151</v>
      </c>
      <c r="N2740" t="s">
        <v>122</v>
      </c>
      <c r="O2740" t="s">
        <v>8942</v>
      </c>
      <c r="P2740" t="str">
        <f>HYPERLINK("http://vk.com/club65170749")</f>
        <v>http://vk.com/club65170749</v>
      </c>
      <c r="Q2740">
        <v>24291</v>
      </c>
      <c r="R2740" t="s">
        <v>124</v>
      </c>
      <c r="S2740" t="s">
        <v>125</v>
      </c>
      <c r="T2740" t="s">
        <v>137</v>
      </c>
      <c r="U2740" t="s">
        <v>137</v>
      </c>
      <c r="AM2740" t="s">
        <v>129</v>
      </c>
      <c r="AN2740" t="s">
        <v>130</v>
      </c>
      <c r="AP2740" t="s">
        <v>41</v>
      </c>
      <c r="AW2740" t="s">
        <v>48</v>
      </c>
      <c r="AZ2740" t="s">
        <v>51</v>
      </c>
      <c r="BA2740" t="s">
        <v>52</v>
      </c>
      <c r="BM2740" t="s">
        <v>64</v>
      </c>
    </row>
    <row r="2741" spans="1:69" x14ac:dyDescent="0.2">
      <c r="A2741" t="s">
        <v>9507</v>
      </c>
      <c r="B2741" t="s">
        <v>1385</v>
      </c>
      <c r="C2741" t="s">
        <v>9564</v>
      </c>
      <c r="D2741" t="s">
        <v>9565</v>
      </c>
      <c r="E2741" t="s">
        <v>9566</v>
      </c>
      <c r="F2741" t="s">
        <v>180</v>
      </c>
      <c r="G2741" t="str">
        <f>HYPERLINK("https://www.ozon.ru/context/detail/id/169859745/#58366949")</f>
        <v>https://www.ozon.ru/context/detail/id/169859745/#58366949</v>
      </c>
      <c r="H2741" t="s">
        <v>181</v>
      </c>
      <c r="I2741" t="s">
        <v>9567</v>
      </c>
      <c r="J2741" t="str">
        <f>HYPERLINK("https://www.ozon.ru/context/client_opinion/ClientGuid/3c1117d3-2119-4fbc-9309-b9cfa99179f9/")</f>
        <v>https://www.ozon.ru/context/client_opinion/ClientGuid/3c1117d3-2119-4fbc-9309-b9cfa99179f9/</v>
      </c>
      <c r="L2741" t="s">
        <v>151</v>
      </c>
      <c r="N2741" t="s">
        <v>183</v>
      </c>
      <c r="O2741" t="s">
        <v>9565</v>
      </c>
      <c r="P2741" t="str">
        <f>HYPERLINK("https://www.ozon.ru/context/detail/id/169859745/")</f>
        <v>https://www.ozon.ru/context/detail/id/169859745/</v>
      </c>
      <c r="R2741" t="s">
        <v>184</v>
      </c>
      <c r="S2741" t="s">
        <v>125</v>
      </c>
      <c r="W2741">
        <v>0</v>
      </c>
      <c r="X2741">
        <v>0</v>
      </c>
      <c r="AH2741">
        <v>5</v>
      </c>
      <c r="AM2741" t="s">
        <v>129</v>
      </c>
      <c r="AN2741" t="s">
        <v>130</v>
      </c>
      <c r="AP2741" t="s">
        <v>41</v>
      </c>
      <c r="AT2741" t="s">
        <v>45</v>
      </c>
      <c r="AZ2741" t="s">
        <v>51</v>
      </c>
      <c r="BA2741" t="s">
        <v>52</v>
      </c>
      <c r="BL2741" t="s">
        <v>63</v>
      </c>
    </row>
    <row r="2742" spans="1:69" x14ac:dyDescent="0.2">
      <c r="A2742" t="s">
        <v>9507</v>
      </c>
      <c r="B2742" t="s">
        <v>9568</v>
      </c>
      <c r="C2742" t="s">
        <v>3515</v>
      </c>
      <c r="D2742" t="s">
        <v>178</v>
      </c>
      <c r="E2742" t="s">
        <v>9569</v>
      </c>
      <c r="F2742" t="s">
        <v>180</v>
      </c>
      <c r="G2742" t="str">
        <f>HYPERLINK("https://www.ozon.ru/context/detail/id/267765014/#58366663")</f>
        <v>https://www.ozon.ru/context/detail/id/267765014/#58366663</v>
      </c>
      <c r="H2742" t="s">
        <v>181</v>
      </c>
      <c r="I2742" t="s">
        <v>9567</v>
      </c>
      <c r="J2742" t="str">
        <f>HYPERLINK("https://www.ozon.ru/context/client_opinion/ClientGuid/3c1117d3-2119-4fbc-9309-b9cfa99179f9/")</f>
        <v>https://www.ozon.ru/context/client_opinion/ClientGuid/3c1117d3-2119-4fbc-9309-b9cfa99179f9/</v>
      </c>
      <c r="L2742" t="s">
        <v>151</v>
      </c>
      <c r="N2742" t="s">
        <v>183</v>
      </c>
      <c r="O2742" t="s">
        <v>178</v>
      </c>
      <c r="P2742" t="str">
        <f>HYPERLINK("https://www.ozon.ru/context/detail/id/267765014/")</f>
        <v>https://www.ozon.ru/context/detail/id/267765014/</v>
      </c>
      <c r="R2742" t="s">
        <v>184</v>
      </c>
      <c r="S2742" t="s">
        <v>125</v>
      </c>
      <c r="W2742">
        <v>0</v>
      </c>
      <c r="X2742">
        <v>0</v>
      </c>
      <c r="AH2742">
        <v>5</v>
      </c>
      <c r="AM2742" t="s">
        <v>129</v>
      </c>
      <c r="AN2742" t="s">
        <v>130</v>
      </c>
      <c r="AP2742" t="s">
        <v>41</v>
      </c>
      <c r="AT2742" t="s">
        <v>45</v>
      </c>
      <c r="AZ2742" t="s">
        <v>51</v>
      </c>
      <c r="BA2742" t="s">
        <v>52</v>
      </c>
    </row>
    <row r="2743" spans="1:69" x14ac:dyDescent="0.2">
      <c r="A2743" t="s">
        <v>9507</v>
      </c>
      <c r="B2743" t="s">
        <v>9568</v>
      </c>
      <c r="C2743" t="s">
        <v>9570</v>
      </c>
      <c r="D2743" t="s">
        <v>9345</v>
      </c>
      <c r="E2743" t="s">
        <v>9571</v>
      </c>
      <c r="F2743" t="s">
        <v>118</v>
      </c>
      <c r="G2743" t="str">
        <f>HYPERLINK("https://ok.ru/group/55870820515875/topic/154057674247459#MTYyNTg0OTE0NDMzNjotNzIxMToxNjI1ODQ5MTQ0MzM2OjE1NDA1NzY3NDI0NzQ1OTox")</f>
        <v>https://ok.ru/group/55870820515875/topic/154057674247459#MTYyNTg0OTE0NDMzNjotNzIxMToxNjI1ODQ5MTQ0MzM2OjE1NDA1NzY3NDI0NzQ1OTox</v>
      </c>
      <c r="H2743" t="s">
        <v>181</v>
      </c>
      <c r="I2743" t="s">
        <v>9572</v>
      </c>
      <c r="J2743" t="str">
        <f>HYPERLINK("https://ok.ru/profile/556155784339")</f>
        <v>https://ok.ru/profile/556155784339</v>
      </c>
      <c r="K2743">
        <v>68</v>
      </c>
      <c r="L2743" t="s">
        <v>121</v>
      </c>
      <c r="M2743">
        <v>36</v>
      </c>
      <c r="N2743" t="s">
        <v>347</v>
      </c>
      <c r="O2743" t="s">
        <v>9348</v>
      </c>
      <c r="P2743" t="str">
        <f>HYPERLINK("https://ok.ru/group/55870820515875")</f>
        <v>https://ok.ru/group/55870820515875</v>
      </c>
      <c r="Q2743">
        <v>9755</v>
      </c>
      <c r="R2743" t="s">
        <v>124</v>
      </c>
      <c r="S2743" t="s">
        <v>125</v>
      </c>
      <c r="W2743">
        <v>0</v>
      </c>
      <c r="X2743">
        <v>0</v>
      </c>
      <c r="AM2743" t="s">
        <v>129</v>
      </c>
      <c r="AN2743" t="s">
        <v>130</v>
      </c>
      <c r="AP2743" t="s">
        <v>41</v>
      </c>
      <c r="AT2743" t="s">
        <v>45</v>
      </c>
      <c r="AZ2743" t="s">
        <v>51</v>
      </c>
      <c r="BB2743" t="s">
        <v>53</v>
      </c>
    </row>
    <row r="2744" spans="1:69" x14ac:dyDescent="0.2">
      <c r="A2744" t="s">
        <v>9507</v>
      </c>
      <c r="B2744" t="s">
        <v>9568</v>
      </c>
      <c r="C2744" t="s">
        <v>9573</v>
      </c>
      <c r="D2744" t="s">
        <v>129</v>
      </c>
      <c r="E2744" t="s">
        <v>9574</v>
      </c>
      <c r="F2744" t="s">
        <v>180</v>
      </c>
      <c r="G2744" t="str">
        <f>HYPERLINK("https://vk.com/wall-65170749_559516")</f>
        <v>https://vk.com/wall-65170749_559516</v>
      </c>
      <c r="H2744" t="s">
        <v>119</v>
      </c>
      <c r="I2744" t="s">
        <v>9575</v>
      </c>
      <c r="J2744" t="str">
        <f>HYPERLINK("http://vk.com/id624319773")</f>
        <v>http://vk.com/id624319773</v>
      </c>
      <c r="K2744">
        <v>31</v>
      </c>
      <c r="L2744" t="s">
        <v>121</v>
      </c>
      <c r="M2744">
        <v>55</v>
      </c>
      <c r="N2744" t="s">
        <v>122</v>
      </c>
      <c r="O2744" t="s">
        <v>8942</v>
      </c>
      <c r="P2744" t="str">
        <f>HYPERLINK("http://vk.com/club65170749")</f>
        <v>http://vk.com/club65170749</v>
      </c>
      <c r="Q2744">
        <v>24291</v>
      </c>
      <c r="R2744" t="s">
        <v>124</v>
      </c>
      <c r="S2744" t="s">
        <v>125</v>
      </c>
      <c r="T2744" t="s">
        <v>137</v>
      </c>
      <c r="U2744" t="s">
        <v>137</v>
      </c>
      <c r="W2744">
        <v>2</v>
      </c>
      <c r="X2744">
        <v>2</v>
      </c>
      <c r="AE2744">
        <v>2</v>
      </c>
      <c r="AF2744">
        <v>0</v>
      </c>
      <c r="AG2744">
        <v>2371</v>
      </c>
      <c r="AM2744" t="s">
        <v>129</v>
      </c>
      <c r="AN2744" t="s">
        <v>130</v>
      </c>
      <c r="AP2744" t="s">
        <v>41</v>
      </c>
      <c r="AW2744" t="s">
        <v>48</v>
      </c>
      <c r="AZ2744" t="s">
        <v>51</v>
      </c>
      <c r="BA2744" t="s">
        <v>52</v>
      </c>
      <c r="BM2744" t="s">
        <v>64</v>
      </c>
    </row>
    <row r="2745" spans="1:69" x14ac:dyDescent="0.2">
      <c r="A2745" t="s">
        <v>9507</v>
      </c>
      <c r="B2745" t="s">
        <v>9576</v>
      </c>
      <c r="C2745" t="s">
        <v>9577</v>
      </c>
      <c r="D2745" t="s">
        <v>9537</v>
      </c>
      <c r="E2745" t="s">
        <v>9578</v>
      </c>
      <c r="F2745" t="s">
        <v>118</v>
      </c>
      <c r="G2745" t="str">
        <f>HYPERLINK("https://vk.com/wall-22935147_368228?reply=368266&amp;thread=368229")</f>
        <v>https://vk.com/wall-22935147_368228?reply=368266&amp;thread=368229</v>
      </c>
      <c r="H2745" t="s">
        <v>119</v>
      </c>
      <c r="I2745" t="s">
        <v>2279</v>
      </c>
      <c r="J2745" t="str">
        <f>HYPERLINK("http://vk.com/id445160085")</f>
        <v>http://vk.com/id445160085</v>
      </c>
      <c r="K2745">
        <v>115</v>
      </c>
      <c r="L2745" t="s">
        <v>121</v>
      </c>
      <c r="M2745">
        <v>23</v>
      </c>
      <c r="N2745" t="s">
        <v>122</v>
      </c>
      <c r="O2745" t="s">
        <v>1093</v>
      </c>
      <c r="P2745" t="str">
        <f>HYPERLINK("http://vk.com/club22935147")</f>
        <v>http://vk.com/club22935147</v>
      </c>
      <c r="Q2745">
        <v>8943</v>
      </c>
      <c r="R2745" t="s">
        <v>124</v>
      </c>
      <c r="S2745" t="s">
        <v>125</v>
      </c>
      <c r="T2745" t="s">
        <v>494</v>
      </c>
      <c r="U2745" t="s">
        <v>2280</v>
      </c>
      <c r="AM2745" t="s">
        <v>129</v>
      </c>
      <c r="AN2745" t="s">
        <v>130</v>
      </c>
      <c r="AP2745" t="s">
        <v>41</v>
      </c>
      <c r="AU2745" t="s">
        <v>46</v>
      </c>
      <c r="AZ2745" t="s">
        <v>51</v>
      </c>
      <c r="BB2745" t="s">
        <v>53</v>
      </c>
    </row>
    <row r="2746" spans="1:69" x14ac:dyDescent="0.2">
      <c r="A2746" t="s">
        <v>9507</v>
      </c>
      <c r="B2746" t="s">
        <v>1406</v>
      </c>
      <c r="C2746" t="s">
        <v>9558</v>
      </c>
      <c r="D2746" t="s">
        <v>204</v>
      </c>
      <c r="E2746" t="s">
        <v>9579</v>
      </c>
      <c r="F2746" t="s">
        <v>180</v>
      </c>
      <c r="G2746" t="str">
        <f>HYPERLINK("https://play.google.com/store/apps/details?id=ru.iflex.android.a3colortv&amp;reviewId=gp:AOqpTOGriS6zqU5_jsvIB6-Qxjfca25q4omHXzl1Ur8RgrYtGdko4yxPcIM-Ej4AQSDsvGLF-lC971Hg4CgNlw")</f>
        <v>https://play.google.com/store/apps/details?id=ru.iflex.android.a3colortv&amp;reviewId=gp:AOqpTOGriS6zqU5_jsvIB6-Qxjfca25q4omHXzl1Ur8RgrYtGdko4yxPcIM-Ej4AQSDsvGLF-lC971Hg4CgNlw</v>
      </c>
      <c r="H2746" t="s">
        <v>181</v>
      </c>
      <c r="I2746" t="s">
        <v>9580</v>
      </c>
      <c r="J2746" t="str">
        <f>HYPERLINK("https://plus.google.com/105651277067119949216")</f>
        <v>https://plus.google.com/105651277067119949216</v>
      </c>
      <c r="L2746" t="s">
        <v>121</v>
      </c>
      <c r="N2746" t="s">
        <v>207</v>
      </c>
      <c r="O2746" t="s">
        <v>204</v>
      </c>
      <c r="P2746" t="str">
        <f>HYPERLINK("https://play.google.com/store/apps/details?id=ru.iflex.android.a3colortv&amp;hl=ru")</f>
        <v>https://play.google.com/store/apps/details?id=ru.iflex.android.a3colortv&amp;hl=ru</v>
      </c>
      <c r="R2746" t="s">
        <v>184</v>
      </c>
      <c r="S2746" t="s">
        <v>125</v>
      </c>
      <c r="W2746">
        <v>0</v>
      </c>
      <c r="X2746">
        <v>0</v>
      </c>
      <c r="AH2746">
        <v>5</v>
      </c>
      <c r="AM2746" t="s">
        <v>129</v>
      </c>
      <c r="AN2746" t="s">
        <v>130</v>
      </c>
      <c r="AP2746" t="s">
        <v>41</v>
      </c>
      <c r="AZ2746" t="s">
        <v>51</v>
      </c>
      <c r="BA2746" t="s">
        <v>52</v>
      </c>
      <c r="BP2746" t="s">
        <v>67</v>
      </c>
      <c r="BQ2746" t="s">
        <v>68</v>
      </c>
    </row>
    <row r="2747" spans="1:69" x14ac:dyDescent="0.2">
      <c r="A2747" t="s">
        <v>9507</v>
      </c>
      <c r="B2747" t="s">
        <v>2433</v>
      </c>
      <c r="C2747" t="s">
        <v>9581</v>
      </c>
      <c r="D2747" t="s">
        <v>9582</v>
      </c>
      <c r="E2747" t="s">
        <v>9583</v>
      </c>
      <c r="F2747" t="s">
        <v>118</v>
      </c>
      <c r="G2747" t="str">
        <f>HYPERLINK("https://vk.com/wall-132869462_180137?reply=180175&amp;thread=180152")</f>
        <v>https://vk.com/wall-132869462_180137?reply=180175&amp;thread=180152</v>
      </c>
      <c r="H2747" t="s">
        <v>119</v>
      </c>
      <c r="I2747" t="s">
        <v>9584</v>
      </c>
      <c r="J2747" t="str">
        <f>HYPERLINK("http://vk.com/id155678499")</f>
        <v>http://vk.com/id155678499</v>
      </c>
      <c r="K2747">
        <v>69</v>
      </c>
      <c r="L2747" t="s">
        <v>121</v>
      </c>
      <c r="N2747" t="s">
        <v>122</v>
      </c>
      <c r="O2747" t="s">
        <v>843</v>
      </c>
      <c r="P2747" t="str">
        <f>HYPERLINK("http://vk.com/club132869462")</f>
        <v>http://vk.com/club132869462</v>
      </c>
      <c r="Q2747">
        <v>14644</v>
      </c>
      <c r="R2747" t="s">
        <v>124</v>
      </c>
      <c r="S2747" t="s">
        <v>125</v>
      </c>
      <c r="T2747" t="s">
        <v>314</v>
      </c>
      <c r="U2747" t="s">
        <v>315</v>
      </c>
      <c r="AM2747" t="s">
        <v>129</v>
      </c>
      <c r="AN2747" t="s">
        <v>130</v>
      </c>
      <c r="AP2747" t="s">
        <v>41</v>
      </c>
      <c r="AU2747" t="s">
        <v>46</v>
      </c>
      <c r="AZ2747" t="s">
        <v>51</v>
      </c>
      <c r="BA2747" t="s">
        <v>52</v>
      </c>
    </row>
    <row r="2748" spans="1:69" x14ac:dyDescent="0.2">
      <c r="A2748" t="s">
        <v>9507</v>
      </c>
      <c r="B2748" t="s">
        <v>3684</v>
      </c>
      <c r="C2748" t="s">
        <v>9558</v>
      </c>
      <c r="D2748" t="s">
        <v>204</v>
      </c>
      <c r="E2748" t="s">
        <v>9585</v>
      </c>
      <c r="F2748" t="s">
        <v>180</v>
      </c>
      <c r="G2748" t="str">
        <f>HYPERLINK("https://play.google.com/store/apps/details?id=ru.iflex.android.a3colortv&amp;reviewId=gp:AOqpTOH1jOu51EfwLjG2KYASbS9e77VsE-j8L-5CwlFqqRfJdaMDEkbyXs1AzrQsfmcNJsigDJNAO7NskGov4Q")</f>
        <v>https://play.google.com/store/apps/details?id=ru.iflex.android.a3colortv&amp;reviewId=gp:AOqpTOH1jOu51EfwLjG2KYASbS9e77VsE-j8L-5CwlFqqRfJdaMDEkbyXs1AzrQsfmcNJsigDJNAO7NskGov4Q</v>
      </c>
      <c r="H2748" t="s">
        <v>119</v>
      </c>
      <c r="I2748" t="s">
        <v>9586</v>
      </c>
      <c r="J2748" t="str">
        <f>HYPERLINK("https://plus.google.com/113027740898312959310")</f>
        <v>https://plus.google.com/113027740898312959310</v>
      </c>
      <c r="L2748" t="s">
        <v>151</v>
      </c>
      <c r="N2748" t="s">
        <v>207</v>
      </c>
      <c r="O2748" t="s">
        <v>204</v>
      </c>
      <c r="P2748" t="str">
        <f>HYPERLINK("https://play.google.com/store/apps/details?id=ru.iflex.android.a3colortv&amp;hl=ru")</f>
        <v>https://play.google.com/store/apps/details?id=ru.iflex.android.a3colortv&amp;hl=ru</v>
      </c>
      <c r="R2748" t="s">
        <v>184</v>
      </c>
      <c r="S2748" t="s">
        <v>125</v>
      </c>
      <c r="W2748">
        <v>0</v>
      </c>
      <c r="X2748">
        <v>0</v>
      </c>
      <c r="AH2748">
        <v>4</v>
      </c>
      <c r="AM2748" t="s">
        <v>129</v>
      </c>
      <c r="AN2748" t="s">
        <v>130</v>
      </c>
      <c r="AP2748" t="s">
        <v>41</v>
      </c>
      <c r="AZ2748" t="s">
        <v>51</v>
      </c>
      <c r="BA2748" t="s">
        <v>52</v>
      </c>
      <c r="BQ2748" t="s">
        <v>68</v>
      </c>
    </row>
    <row r="2749" spans="1:69" x14ac:dyDescent="0.2">
      <c r="A2749" t="s">
        <v>9507</v>
      </c>
      <c r="B2749" t="s">
        <v>858</v>
      </c>
      <c r="C2749" t="s">
        <v>9587</v>
      </c>
      <c r="D2749" t="s">
        <v>8507</v>
      </c>
      <c r="E2749" t="s">
        <v>9588</v>
      </c>
      <c r="F2749" t="s">
        <v>118</v>
      </c>
      <c r="G2749" t="str">
        <f>HYPERLINK("https://vk.com/wall-168095006_2365?reply=2367")</f>
        <v>https://vk.com/wall-168095006_2365?reply=2367</v>
      </c>
      <c r="H2749" t="s">
        <v>119</v>
      </c>
      <c r="I2749" t="s">
        <v>9552</v>
      </c>
      <c r="J2749" t="str">
        <f>HYPERLINK("http://vk.com/id391479")</f>
        <v>http://vk.com/id391479</v>
      </c>
      <c r="K2749">
        <v>2381</v>
      </c>
      <c r="L2749" t="s">
        <v>151</v>
      </c>
      <c r="N2749" t="s">
        <v>122</v>
      </c>
      <c r="O2749" t="s">
        <v>8510</v>
      </c>
      <c r="P2749" t="str">
        <f>HYPERLINK("http://vk.com/club168095006")</f>
        <v>http://vk.com/club168095006</v>
      </c>
      <c r="Q2749">
        <v>1372</v>
      </c>
      <c r="R2749" t="s">
        <v>124</v>
      </c>
      <c r="S2749" t="s">
        <v>125</v>
      </c>
      <c r="T2749" t="s">
        <v>137</v>
      </c>
      <c r="U2749" t="s">
        <v>137</v>
      </c>
      <c r="AM2749" t="s">
        <v>129</v>
      </c>
      <c r="AN2749" t="s">
        <v>130</v>
      </c>
      <c r="AP2749" t="s">
        <v>41</v>
      </c>
      <c r="AU2749" t="s">
        <v>46</v>
      </c>
      <c r="AZ2749" t="s">
        <v>51</v>
      </c>
      <c r="BA2749" t="s">
        <v>52</v>
      </c>
    </row>
    <row r="2750" spans="1:69" x14ac:dyDescent="0.2">
      <c r="A2750" t="s">
        <v>9507</v>
      </c>
      <c r="B2750" t="s">
        <v>8453</v>
      </c>
      <c r="C2750" t="s">
        <v>9589</v>
      </c>
      <c r="D2750" t="s">
        <v>8311</v>
      </c>
      <c r="E2750" t="s">
        <v>9590</v>
      </c>
      <c r="F2750" t="s">
        <v>118</v>
      </c>
      <c r="G2750" t="str">
        <f>HYPERLINK("https://vk.com/wall-61354357_78030?reply=78044")</f>
        <v>https://vk.com/wall-61354357_78030?reply=78044</v>
      </c>
      <c r="H2750" t="s">
        <v>119</v>
      </c>
      <c r="I2750" t="s">
        <v>9591</v>
      </c>
      <c r="J2750" t="str">
        <f>HYPERLINK("http://vk.com/id9402333")</f>
        <v>http://vk.com/id9402333</v>
      </c>
      <c r="K2750">
        <v>813</v>
      </c>
      <c r="L2750" t="s">
        <v>151</v>
      </c>
      <c r="N2750" t="s">
        <v>122</v>
      </c>
      <c r="O2750" t="s">
        <v>8314</v>
      </c>
      <c r="P2750" t="str">
        <f>HYPERLINK("http://vk.com/club61354357")</f>
        <v>http://vk.com/club61354357</v>
      </c>
      <c r="Q2750">
        <v>10947</v>
      </c>
      <c r="R2750" t="s">
        <v>124</v>
      </c>
      <c r="S2750" t="s">
        <v>125</v>
      </c>
      <c r="AM2750" t="s">
        <v>129</v>
      </c>
      <c r="AN2750" t="s">
        <v>130</v>
      </c>
      <c r="AP2750" t="s">
        <v>41</v>
      </c>
      <c r="AU2750" t="s">
        <v>46</v>
      </c>
      <c r="AW2750" t="s">
        <v>48</v>
      </c>
      <c r="AZ2750" t="s">
        <v>51</v>
      </c>
      <c r="BA2750" t="s">
        <v>52</v>
      </c>
      <c r="BL2750" t="s">
        <v>63</v>
      </c>
    </row>
    <row r="2751" spans="1:69" x14ac:dyDescent="0.2">
      <c r="A2751" t="s">
        <v>9507</v>
      </c>
      <c r="B2751" t="s">
        <v>7696</v>
      </c>
      <c r="C2751" t="s">
        <v>6454</v>
      </c>
      <c r="D2751" t="s">
        <v>1350</v>
      </c>
      <c r="E2751" t="s">
        <v>9592</v>
      </c>
      <c r="F2751" t="s">
        <v>180</v>
      </c>
      <c r="G2751" t="str">
        <f>HYPERLINK("https://www.ozon.ru/context/detail/id/231618666/#58358352")</f>
        <v>https://www.ozon.ru/context/detail/id/231618666/#58358352</v>
      </c>
      <c r="H2751" t="s">
        <v>228</v>
      </c>
      <c r="I2751" t="s">
        <v>9593</v>
      </c>
      <c r="J2751" t="str">
        <f>HYPERLINK("https://www.ozon.ru/context/client_opinion/ClientGuid/0e199be5-8aed-41f7-8b68-790058de3308/")</f>
        <v>https://www.ozon.ru/context/client_opinion/ClientGuid/0e199be5-8aed-41f7-8b68-790058de3308/</v>
      </c>
      <c r="L2751" t="s">
        <v>121</v>
      </c>
      <c r="N2751" t="s">
        <v>183</v>
      </c>
      <c r="O2751" t="s">
        <v>1350</v>
      </c>
      <c r="P2751" t="str">
        <f>HYPERLINK("https://www.ozon.ru/context/detail/id/231618666/")</f>
        <v>https://www.ozon.ru/context/detail/id/231618666/</v>
      </c>
      <c r="R2751" t="s">
        <v>184</v>
      </c>
      <c r="S2751" t="s">
        <v>125</v>
      </c>
      <c r="W2751">
        <v>0</v>
      </c>
      <c r="X2751">
        <v>0</v>
      </c>
      <c r="AH2751">
        <v>2</v>
      </c>
      <c r="AM2751" t="s">
        <v>129</v>
      </c>
      <c r="AN2751" t="s">
        <v>130</v>
      </c>
      <c r="AP2751" t="s">
        <v>41</v>
      </c>
      <c r="AZ2751" t="s">
        <v>51</v>
      </c>
      <c r="BA2751" t="s">
        <v>52</v>
      </c>
      <c r="BK2751" t="s">
        <v>62</v>
      </c>
      <c r="BL2751" t="s">
        <v>63</v>
      </c>
    </row>
    <row r="2752" spans="1:69" x14ac:dyDescent="0.2">
      <c r="A2752" t="s">
        <v>9507</v>
      </c>
      <c r="B2752" t="s">
        <v>1967</v>
      </c>
      <c r="C2752" t="s">
        <v>9594</v>
      </c>
      <c r="D2752" t="s">
        <v>9595</v>
      </c>
      <c r="E2752" t="s">
        <v>9596</v>
      </c>
      <c r="F2752" t="s">
        <v>118</v>
      </c>
      <c r="G2752" t="str">
        <f>HYPERLINK("https://vk.com/wall-969759_96317?reply=96354")</f>
        <v>https://vk.com/wall-969759_96317?reply=96354</v>
      </c>
      <c r="H2752" t="s">
        <v>119</v>
      </c>
      <c r="I2752" t="s">
        <v>9597</v>
      </c>
      <c r="J2752" t="str">
        <f>HYPERLINK("http://vk.com/id630649151")</f>
        <v>http://vk.com/id630649151</v>
      </c>
      <c r="K2752">
        <v>9</v>
      </c>
      <c r="L2752" t="s">
        <v>121</v>
      </c>
      <c r="M2752">
        <v>49</v>
      </c>
      <c r="N2752" t="s">
        <v>122</v>
      </c>
      <c r="O2752" t="s">
        <v>9598</v>
      </c>
      <c r="P2752" t="str">
        <f>HYPERLINK("http://vk.com/club969759")</f>
        <v>http://vk.com/club969759</v>
      </c>
      <c r="Q2752">
        <v>17071</v>
      </c>
      <c r="R2752" t="s">
        <v>124</v>
      </c>
      <c r="S2752" t="s">
        <v>125</v>
      </c>
      <c r="T2752" t="s">
        <v>256</v>
      </c>
      <c r="U2752" t="s">
        <v>9599</v>
      </c>
      <c r="AM2752" t="s">
        <v>129</v>
      </c>
      <c r="AN2752" t="s">
        <v>130</v>
      </c>
      <c r="AP2752" t="s">
        <v>41</v>
      </c>
      <c r="AU2752" t="s">
        <v>46</v>
      </c>
      <c r="AZ2752" t="s">
        <v>51</v>
      </c>
      <c r="BA2752" t="s">
        <v>52</v>
      </c>
    </row>
    <row r="2753" spans="1:100" x14ac:dyDescent="0.2">
      <c r="A2753" t="s">
        <v>9507</v>
      </c>
      <c r="B2753" t="s">
        <v>2457</v>
      </c>
      <c r="C2753" t="s">
        <v>9600</v>
      </c>
      <c r="D2753" t="s">
        <v>907</v>
      </c>
      <c r="E2753" t="s">
        <v>9601</v>
      </c>
      <c r="F2753" t="s">
        <v>180</v>
      </c>
      <c r="G2753" t="str">
        <f>HYPERLINK("https://telesputnik.ru/forum/viewtopic.php?f=36&amp;t=42382&amp;start=37780#p2480054")</f>
        <v>https://telesputnik.ru/forum/viewtopic.php?f=36&amp;t=42382&amp;start=37780#p2480054</v>
      </c>
      <c r="H2753" t="s">
        <v>228</v>
      </c>
      <c r="I2753" t="s">
        <v>4652</v>
      </c>
      <c r="J2753" t="str">
        <f>HYPERLINK("https://telesputnik.ru/forum/memberlist.php?mode=viewprofile&amp;u=232979")</f>
        <v>https://telesputnik.ru/forum/memberlist.php?mode=viewprofile&amp;u=232979</v>
      </c>
      <c r="N2753" t="s">
        <v>335</v>
      </c>
      <c r="O2753" t="s">
        <v>909</v>
      </c>
      <c r="P2753" t="str">
        <f>HYPERLINK("https://telesputnik.ru/forum/viewforum.php?f=36")</f>
        <v>https://telesputnik.ru/forum/viewforum.php?f=36</v>
      </c>
      <c r="R2753" t="s">
        <v>295</v>
      </c>
      <c r="S2753" t="s">
        <v>125</v>
      </c>
      <c r="AM2753" t="s">
        <v>129</v>
      </c>
      <c r="AN2753" t="s">
        <v>130</v>
      </c>
      <c r="AP2753" t="s">
        <v>41</v>
      </c>
      <c r="AZ2753" t="s">
        <v>51</v>
      </c>
      <c r="BA2753" t="s">
        <v>52</v>
      </c>
    </row>
    <row r="2754" spans="1:100" x14ac:dyDescent="0.2">
      <c r="A2754" t="s">
        <v>9507</v>
      </c>
      <c r="B2754" t="s">
        <v>2977</v>
      </c>
      <c r="C2754" t="s">
        <v>9602</v>
      </c>
      <c r="D2754" t="s">
        <v>9603</v>
      </c>
      <c r="E2754" t="s">
        <v>9604</v>
      </c>
      <c r="F2754" t="s">
        <v>180</v>
      </c>
      <c r="G2754" t="str">
        <f>HYPERLINK("https://irecommend.ru/content/indiiskii-odin-doma-ili-chto-eto-bylo")</f>
        <v>https://irecommend.ru/content/indiiskii-odin-doma-ili-chto-eto-bylo</v>
      </c>
      <c r="H2754" t="s">
        <v>119</v>
      </c>
      <c r="I2754" t="s">
        <v>3782</v>
      </c>
      <c r="J2754" t="str">
        <f>HYPERLINK("https://irecommend.ru/users/nasaveryanova")</f>
        <v>https://irecommend.ru/users/nasaveryanova</v>
      </c>
      <c r="N2754" t="s">
        <v>1571</v>
      </c>
      <c r="O2754" t="s">
        <v>9603</v>
      </c>
      <c r="P2754" t="str">
        <f>HYPERLINK("https://irecommend.ru/content/khari-puttar-komediya-uzhasovhari-puttar-comedy-terrors-2008-film")</f>
        <v>https://irecommend.ru/content/khari-puttar-komediya-uzhasovhari-puttar-comedy-terrors-2008-film</v>
      </c>
      <c r="R2754" t="s">
        <v>184</v>
      </c>
      <c r="S2754" t="s">
        <v>125</v>
      </c>
      <c r="AE2754">
        <v>2</v>
      </c>
      <c r="AH2754">
        <v>1</v>
      </c>
      <c r="AJ2754" t="s">
        <v>9605</v>
      </c>
      <c r="AK2754" t="s">
        <v>9606</v>
      </c>
      <c r="AL2754" t="str">
        <f>HYPERLINK("https://cdn-irec.r-99.com/sites/default/files/imagecache/copyright1/user-images/1727974/hKsxhYpJfFPOXcYIq7zUew.jpg")</f>
        <v>https://cdn-irec.r-99.com/sites/default/files/imagecache/copyright1/user-images/1727974/hKsxhYpJfFPOXcYIq7zUew.jpg</v>
      </c>
      <c r="AM2754" t="s">
        <v>129</v>
      </c>
      <c r="AN2754" t="s">
        <v>130</v>
      </c>
      <c r="AP2754" t="s">
        <v>41</v>
      </c>
      <c r="AU2754" t="s">
        <v>46</v>
      </c>
      <c r="AZ2754" t="s">
        <v>51</v>
      </c>
      <c r="BA2754" t="s">
        <v>52</v>
      </c>
    </row>
    <row r="2755" spans="1:100" x14ac:dyDescent="0.2">
      <c r="A2755" t="s">
        <v>9507</v>
      </c>
      <c r="B2755" t="s">
        <v>4713</v>
      </c>
      <c r="C2755" t="s">
        <v>9607</v>
      </c>
      <c r="D2755" t="s">
        <v>129</v>
      </c>
      <c r="E2755" t="s">
        <v>8507</v>
      </c>
      <c r="F2755" t="s">
        <v>180</v>
      </c>
      <c r="G2755" t="str">
        <f>HYPERLINK("https://vk.com/wall-168095006_2365")</f>
        <v>https://vk.com/wall-168095006_2365</v>
      </c>
      <c r="H2755" t="s">
        <v>119</v>
      </c>
      <c r="I2755" t="s">
        <v>9608</v>
      </c>
      <c r="J2755" t="str">
        <f>HYPERLINK("http://vk.com/id6786121")</f>
        <v>http://vk.com/id6786121</v>
      </c>
      <c r="K2755">
        <v>123</v>
      </c>
      <c r="L2755" t="s">
        <v>151</v>
      </c>
      <c r="N2755" t="s">
        <v>122</v>
      </c>
      <c r="O2755" t="s">
        <v>8510</v>
      </c>
      <c r="P2755" t="str">
        <f>HYPERLINK("http://vk.com/club168095006")</f>
        <v>http://vk.com/club168095006</v>
      </c>
      <c r="Q2755">
        <v>1372</v>
      </c>
      <c r="R2755" t="s">
        <v>124</v>
      </c>
      <c r="S2755" t="s">
        <v>125</v>
      </c>
      <c r="T2755" t="s">
        <v>137</v>
      </c>
      <c r="U2755" t="s">
        <v>137</v>
      </c>
      <c r="W2755">
        <v>0</v>
      </c>
      <c r="X2755">
        <v>0</v>
      </c>
      <c r="AE2755">
        <v>8</v>
      </c>
      <c r="AF2755">
        <v>0</v>
      </c>
      <c r="AM2755" t="s">
        <v>129</v>
      </c>
      <c r="AN2755" t="s">
        <v>130</v>
      </c>
      <c r="AP2755" t="s">
        <v>41</v>
      </c>
      <c r="AW2755" t="s">
        <v>48</v>
      </c>
      <c r="AZ2755" t="s">
        <v>51</v>
      </c>
      <c r="BA2755" t="s">
        <v>52</v>
      </c>
    </row>
    <row r="2756" spans="1:100" x14ac:dyDescent="0.2">
      <c r="A2756" t="s">
        <v>9507</v>
      </c>
      <c r="B2756" t="s">
        <v>6021</v>
      </c>
      <c r="C2756" t="s">
        <v>5345</v>
      </c>
      <c r="D2756" t="s">
        <v>4330</v>
      </c>
      <c r="E2756" t="s">
        <v>9609</v>
      </c>
      <c r="F2756" t="s">
        <v>180</v>
      </c>
      <c r="G2756" t="str">
        <f>HYPERLINK("https://www.ozon.ru/context/detail/id/218706300/#58337252")</f>
        <v>https://www.ozon.ru/context/detail/id/218706300/#58337252</v>
      </c>
      <c r="H2756" t="s">
        <v>181</v>
      </c>
      <c r="I2756" t="s">
        <v>1330</v>
      </c>
      <c r="J2756" t="str">
        <f>HYPERLINK("https://www.ozon.ru/context/client_opinion/ClientGuid/0240fc79-92f8-43a1-9d52-ee583dace8a6/")</f>
        <v>https://www.ozon.ru/context/client_opinion/ClientGuid/0240fc79-92f8-43a1-9d52-ee583dace8a6/</v>
      </c>
      <c r="L2756" t="s">
        <v>121</v>
      </c>
      <c r="N2756" t="s">
        <v>183</v>
      </c>
      <c r="O2756" t="s">
        <v>4330</v>
      </c>
      <c r="P2756" t="str">
        <f>HYPERLINK("https://www.ozon.ru/context/detail/id/218706300/")</f>
        <v>https://www.ozon.ru/context/detail/id/218706300/</v>
      </c>
      <c r="R2756" t="s">
        <v>184</v>
      </c>
      <c r="S2756" t="s">
        <v>125</v>
      </c>
      <c r="W2756">
        <v>1</v>
      </c>
      <c r="X2756">
        <v>1</v>
      </c>
      <c r="AH2756">
        <v>5</v>
      </c>
      <c r="AM2756" t="s">
        <v>129</v>
      </c>
      <c r="AN2756" t="s">
        <v>130</v>
      </c>
      <c r="AP2756" t="s">
        <v>41</v>
      </c>
      <c r="AZ2756" t="s">
        <v>51</v>
      </c>
      <c r="BA2756" t="s">
        <v>52</v>
      </c>
      <c r="BL2756" t="s">
        <v>63</v>
      </c>
    </row>
    <row r="2757" spans="1:100" x14ac:dyDescent="0.2">
      <c r="A2757" t="s">
        <v>9507</v>
      </c>
      <c r="B2757" t="s">
        <v>1490</v>
      </c>
      <c r="C2757" t="s">
        <v>9610</v>
      </c>
      <c r="D2757" t="s">
        <v>175</v>
      </c>
      <c r="E2757" t="s">
        <v>9611</v>
      </c>
      <c r="F2757" t="s">
        <v>180</v>
      </c>
      <c r="G2757" t="str">
        <f>HYPERLINK("https://yandex.ru/maps/org/37770733586#m1Y1qoM-XDuIsLRZeX7IzY2NnV09LY7")</f>
        <v>https://yandex.ru/maps/org/37770733586#m1Y1qoM-XDuIsLRZeX7IzY2NnV09LY7</v>
      </c>
      <c r="H2757" t="s">
        <v>181</v>
      </c>
      <c r="I2757" t="s">
        <v>9612</v>
      </c>
      <c r="J2757" t="str">
        <f>HYPERLINK("https://yandex.ru/user/6njeubtwkhh1ytptmu8bfv9268")</f>
        <v>https://yandex.ru/user/6njeubtwkhh1ytptmu8bfv9268</v>
      </c>
      <c r="L2757" t="s">
        <v>121</v>
      </c>
      <c r="N2757" t="s">
        <v>236</v>
      </c>
      <c r="O2757" t="s">
        <v>175</v>
      </c>
      <c r="P2757" t="str">
        <f>HYPERLINK("https://yandex.ru/maps/org/37770733586")</f>
        <v>https://yandex.ru/maps/org/37770733586</v>
      </c>
      <c r="R2757" t="s">
        <v>184</v>
      </c>
      <c r="S2757" t="s">
        <v>125</v>
      </c>
      <c r="T2757" t="s">
        <v>153</v>
      </c>
      <c r="U2757" t="s">
        <v>517</v>
      </c>
      <c r="W2757">
        <v>0</v>
      </c>
      <c r="X2757">
        <v>0</v>
      </c>
      <c r="AH2757">
        <v>5</v>
      </c>
      <c r="AM2757" t="s">
        <v>129</v>
      </c>
      <c r="AN2757" t="s">
        <v>130</v>
      </c>
      <c r="AP2757" t="s">
        <v>41</v>
      </c>
      <c r="AX2757" t="s">
        <v>49</v>
      </c>
      <c r="AZ2757" t="s">
        <v>51</v>
      </c>
      <c r="BD2757" t="s">
        <v>55</v>
      </c>
    </row>
    <row r="2758" spans="1:100" x14ac:dyDescent="0.2">
      <c r="A2758" t="s">
        <v>9507</v>
      </c>
      <c r="B2758" t="s">
        <v>392</v>
      </c>
      <c r="C2758" t="s">
        <v>9613</v>
      </c>
      <c r="D2758" t="s">
        <v>9614</v>
      </c>
      <c r="E2758" t="s">
        <v>9615</v>
      </c>
      <c r="F2758" t="s">
        <v>118</v>
      </c>
      <c r="G2758" t="str">
        <f>HYPERLINK("https://vk.com/wall-2290850_663485?reply=664068")</f>
        <v>https://vk.com/wall-2290850_663485?reply=664068</v>
      </c>
      <c r="H2758" t="s">
        <v>228</v>
      </c>
      <c r="I2758" t="s">
        <v>9616</v>
      </c>
      <c r="J2758" t="str">
        <f>HYPERLINK("http://vk.com/id381014036")</f>
        <v>http://vk.com/id381014036</v>
      </c>
      <c r="K2758">
        <v>6</v>
      </c>
      <c r="L2758" t="s">
        <v>151</v>
      </c>
      <c r="M2758">
        <v>60</v>
      </c>
      <c r="N2758" t="s">
        <v>122</v>
      </c>
      <c r="O2758" t="s">
        <v>136</v>
      </c>
      <c r="P2758" t="str">
        <f>HYPERLINK("http://vk.com/club2290850")</f>
        <v>http://vk.com/club2290850</v>
      </c>
      <c r="Q2758">
        <v>14544</v>
      </c>
      <c r="R2758" t="s">
        <v>124</v>
      </c>
      <c r="S2758" t="s">
        <v>125</v>
      </c>
      <c r="AM2758" t="s">
        <v>129</v>
      </c>
      <c r="AN2758" t="s">
        <v>130</v>
      </c>
      <c r="AP2758" t="s">
        <v>41</v>
      </c>
      <c r="AT2758" t="s">
        <v>45</v>
      </c>
      <c r="AW2758" t="s">
        <v>48</v>
      </c>
      <c r="AY2758" t="s">
        <v>50</v>
      </c>
      <c r="AZ2758" t="s">
        <v>51</v>
      </c>
      <c r="BA2758" t="s">
        <v>52</v>
      </c>
      <c r="CV2758" t="s">
        <v>99</v>
      </c>
    </row>
    <row r="2759" spans="1:100" x14ac:dyDescent="0.2">
      <c r="A2759" t="s">
        <v>9507</v>
      </c>
      <c r="B2759" t="s">
        <v>3041</v>
      </c>
      <c r="C2759" t="s">
        <v>9617</v>
      </c>
      <c r="D2759" t="s">
        <v>2326</v>
      </c>
      <c r="E2759" t="s">
        <v>9618</v>
      </c>
      <c r="F2759" t="s">
        <v>118</v>
      </c>
      <c r="G2759" t="str">
        <f>HYPERLINK("https://vk.com/topic-27863223_35421989?post=115859")</f>
        <v>https://vk.com/topic-27863223_35421989?post=115859</v>
      </c>
      <c r="H2759" t="s">
        <v>228</v>
      </c>
      <c r="I2759" t="s">
        <v>6749</v>
      </c>
      <c r="J2759" t="str">
        <f>HYPERLINK("http://vk.com/id488082610")</f>
        <v>http://vk.com/id488082610</v>
      </c>
      <c r="K2759">
        <v>10</v>
      </c>
      <c r="L2759" t="s">
        <v>121</v>
      </c>
      <c r="M2759">
        <v>31</v>
      </c>
      <c r="N2759" t="s">
        <v>122</v>
      </c>
      <c r="O2759" t="s">
        <v>175</v>
      </c>
      <c r="P2759" t="str">
        <f>HYPERLINK("http://vk.com/club27863223")</f>
        <v>http://vk.com/club27863223</v>
      </c>
      <c r="Q2759">
        <v>134698</v>
      </c>
      <c r="R2759" t="s">
        <v>124</v>
      </c>
      <c r="S2759" t="s">
        <v>125</v>
      </c>
      <c r="T2759" t="s">
        <v>494</v>
      </c>
      <c r="U2759" t="s">
        <v>6750</v>
      </c>
      <c r="AM2759" t="s">
        <v>129</v>
      </c>
      <c r="AN2759" t="s">
        <v>130</v>
      </c>
      <c r="AP2759" t="s">
        <v>41</v>
      </c>
      <c r="AU2759" t="s">
        <v>46</v>
      </c>
      <c r="AZ2759" t="s">
        <v>51</v>
      </c>
      <c r="BA2759" t="s">
        <v>52</v>
      </c>
    </row>
    <row r="2760" spans="1:100" x14ac:dyDescent="0.2">
      <c r="A2760" t="s">
        <v>9507</v>
      </c>
      <c r="B2760" t="s">
        <v>3791</v>
      </c>
      <c r="C2760" t="s">
        <v>9619</v>
      </c>
      <c r="D2760" t="s">
        <v>2326</v>
      </c>
      <c r="E2760" t="s">
        <v>9620</v>
      </c>
      <c r="F2760" t="s">
        <v>118</v>
      </c>
      <c r="G2760" t="str">
        <f>HYPERLINK("https://vk.com/topic-27863223_35421989?post=115857")</f>
        <v>https://vk.com/topic-27863223_35421989?post=115857</v>
      </c>
      <c r="H2760" t="s">
        <v>119</v>
      </c>
      <c r="I2760" t="s">
        <v>6749</v>
      </c>
      <c r="J2760" t="str">
        <f>HYPERLINK("http://vk.com/id488082610")</f>
        <v>http://vk.com/id488082610</v>
      </c>
      <c r="K2760">
        <v>10</v>
      </c>
      <c r="L2760" t="s">
        <v>121</v>
      </c>
      <c r="M2760">
        <v>31</v>
      </c>
      <c r="N2760" t="s">
        <v>122</v>
      </c>
      <c r="O2760" t="s">
        <v>175</v>
      </c>
      <c r="P2760" t="str">
        <f>HYPERLINK("http://vk.com/club27863223")</f>
        <v>http://vk.com/club27863223</v>
      </c>
      <c r="Q2760">
        <v>134698</v>
      </c>
      <c r="R2760" t="s">
        <v>124</v>
      </c>
      <c r="S2760" t="s">
        <v>125</v>
      </c>
      <c r="T2760" t="s">
        <v>494</v>
      </c>
      <c r="U2760" t="s">
        <v>6750</v>
      </c>
      <c r="AM2760" t="s">
        <v>129</v>
      </c>
      <c r="AN2760" t="s">
        <v>130</v>
      </c>
      <c r="AP2760" t="s">
        <v>41</v>
      </c>
      <c r="AU2760" t="s">
        <v>46</v>
      </c>
      <c r="AZ2760" t="s">
        <v>51</v>
      </c>
      <c r="BA2760" t="s">
        <v>52</v>
      </c>
    </row>
    <row r="2761" spans="1:100" x14ac:dyDescent="0.2">
      <c r="A2761" t="s">
        <v>9507</v>
      </c>
      <c r="B2761" t="s">
        <v>3059</v>
      </c>
      <c r="C2761" t="s">
        <v>9621</v>
      </c>
      <c r="D2761" t="s">
        <v>9622</v>
      </c>
      <c r="E2761" t="s">
        <v>9623</v>
      </c>
      <c r="F2761" t="s">
        <v>118</v>
      </c>
      <c r="G2761" t="str">
        <f>HYPERLINK("https://www.youtube.com/watch?v=XwDotKVCXcE&amp;lc=UgzOA37kVk3KZ4lh8CV4AaABAg")</f>
        <v>https://www.youtube.com/watch?v=XwDotKVCXcE&amp;lc=UgzOA37kVk3KZ4lh8CV4AaABAg</v>
      </c>
      <c r="H2761" t="s">
        <v>119</v>
      </c>
      <c r="I2761" t="s">
        <v>9624</v>
      </c>
      <c r="J2761" t="str">
        <f>HYPERLINK("https://www.youtube.com/channel/UCDYFvHr6cxp3acZlcWPQXEg")</f>
        <v>https://www.youtube.com/channel/UCDYFvHr6cxp3acZlcWPQXEg</v>
      </c>
      <c r="K2761">
        <v>131</v>
      </c>
      <c r="L2761" t="s">
        <v>121</v>
      </c>
      <c r="N2761" t="s">
        <v>248</v>
      </c>
      <c r="O2761" t="s">
        <v>1910</v>
      </c>
      <c r="P2761" t="str">
        <f>HYPERLINK("https://www.youtube.com/channel/UCQgd9Ks9oBckRf9hadmZFdA")</f>
        <v>https://www.youtube.com/channel/UCQgd9Ks9oBckRf9hadmZFdA</v>
      </c>
      <c r="Q2761">
        <v>66700</v>
      </c>
      <c r="R2761" t="s">
        <v>124</v>
      </c>
      <c r="S2761" t="s">
        <v>125</v>
      </c>
      <c r="W2761">
        <v>0</v>
      </c>
      <c r="X2761">
        <v>0</v>
      </c>
      <c r="AE2761">
        <v>0</v>
      </c>
      <c r="AM2761" t="s">
        <v>129</v>
      </c>
      <c r="AN2761" t="s">
        <v>130</v>
      </c>
      <c r="AP2761" t="s">
        <v>41</v>
      </c>
      <c r="AZ2761" t="s">
        <v>51</v>
      </c>
      <c r="BA2761" t="s">
        <v>52</v>
      </c>
      <c r="BL2761" t="s">
        <v>63</v>
      </c>
      <c r="BO2761" t="s">
        <v>66</v>
      </c>
    </row>
    <row r="2762" spans="1:100" x14ac:dyDescent="0.2">
      <c r="A2762" t="s">
        <v>9507</v>
      </c>
      <c r="B2762" t="s">
        <v>4277</v>
      </c>
      <c r="C2762" t="s">
        <v>9625</v>
      </c>
      <c r="D2762" t="s">
        <v>8311</v>
      </c>
      <c r="E2762" t="s">
        <v>9626</v>
      </c>
      <c r="F2762" t="s">
        <v>118</v>
      </c>
      <c r="G2762" t="str">
        <f>HYPERLINK("https://vk.com/wall-61354357_78030?reply=78040")</f>
        <v>https://vk.com/wall-61354357_78030?reply=78040</v>
      </c>
      <c r="H2762" t="s">
        <v>119</v>
      </c>
      <c r="I2762" t="s">
        <v>9627</v>
      </c>
      <c r="J2762" t="str">
        <f>HYPERLINK("http://vk.com/id545469956")</f>
        <v>http://vk.com/id545469956</v>
      </c>
      <c r="K2762">
        <v>43</v>
      </c>
      <c r="L2762" t="s">
        <v>151</v>
      </c>
      <c r="N2762" t="s">
        <v>122</v>
      </c>
      <c r="O2762" t="s">
        <v>8314</v>
      </c>
      <c r="P2762" t="str">
        <f>HYPERLINK("http://vk.com/club61354357")</f>
        <v>http://vk.com/club61354357</v>
      </c>
      <c r="Q2762">
        <v>10947</v>
      </c>
      <c r="R2762" t="s">
        <v>124</v>
      </c>
      <c r="S2762" t="s">
        <v>125</v>
      </c>
      <c r="T2762" t="s">
        <v>137</v>
      </c>
      <c r="U2762" t="s">
        <v>137</v>
      </c>
      <c r="AM2762" t="s">
        <v>129</v>
      </c>
      <c r="AN2762" t="s">
        <v>130</v>
      </c>
      <c r="AP2762" t="s">
        <v>41</v>
      </c>
      <c r="AT2762" t="s">
        <v>45</v>
      </c>
      <c r="AZ2762" t="s">
        <v>51</v>
      </c>
      <c r="BA2762" t="s">
        <v>52</v>
      </c>
      <c r="BM2762" t="s">
        <v>64</v>
      </c>
    </row>
    <row r="2763" spans="1:100" x14ac:dyDescent="0.2">
      <c r="A2763" t="s">
        <v>9507</v>
      </c>
      <c r="B2763" t="s">
        <v>936</v>
      </c>
      <c r="C2763" t="s">
        <v>9619</v>
      </c>
      <c r="D2763" t="s">
        <v>9628</v>
      </c>
      <c r="E2763" t="s">
        <v>9629</v>
      </c>
      <c r="F2763" t="s">
        <v>118</v>
      </c>
      <c r="G2763" t="str">
        <f>HYPERLINK("https://vk.com/wall-22935147_368246?w=wall-22935147_368246_r368265")</f>
        <v>https://vk.com/wall-22935147_368246?w=wall-22935147_368246_r368265</v>
      </c>
      <c r="H2763" t="s">
        <v>119</v>
      </c>
      <c r="I2763" t="s">
        <v>1071</v>
      </c>
      <c r="J2763" t="str">
        <f>HYPERLINK("http://vk.com/id500804292")</f>
        <v>http://vk.com/id500804292</v>
      </c>
      <c r="K2763">
        <v>182</v>
      </c>
      <c r="L2763" t="s">
        <v>121</v>
      </c>
      <c r="N2763" t="s">
        <v>122</v>
      </c>
      <c r="O2763" t="s">
        <v>1093</v>
      </c>
      <c r="P2763" t="str">
        <f>HYPERLINK("http://vk.com/club22935147")</f>
        <v>http://vk.com/club22935147</v>
      </c>
      <c r="Q2763">
        <v>8943</v>
      </c>
      <c r="R2763" t="s">
        <v>124</v>
      </c>
      <c r="S2763" t="s">
        <v>125</v>
      </c>
      <c r="W2763">
        <v>0</v>
      </c>
      <c r="X2763">
        <v>0</v>
      </c>
      <c r="AM2763" t="s">
        <v>129</v>
      </c>
      <c r="AN2763" t="s">
        <v>130</v>
      </c>
      <c r="AP2763" t="s">
        <v>41</v>
      </c>
      <c r="AW2763" t="s">
        <v>48</v>
      </c>
      <c r="AZ2763" t="s">
        <v>51</v>
      </c>
      <c r="BA2763" t="s">
        <v>52</v>
      </c>
      <c r="BL2763" t="s">
        <v>63</v>
      </c>
      <c r="BM2763" t="s">
        <v>64</v>
      </c>
    </row>
    <row r="2764" spans="1:100" x14ac:dyDescent="0.2">
      <c r="A2764" t="s">
        <v>9507</v>
      </c>
      <c r="B2764" t="s">
        <v>9630</v>
      </c>
      <c r="C2764" t="s">
        <v>3481</v>
      </c>
      <c r="D2764" t="s">
        <v>3482</v>
      </c>
      <c r="E2764" t="s">
        <v>9631</v>
      </c>
      <c r="F2764" t="s">
        <v>180</v>
      </c>
      <c r="G2764" t="str">
        <f>HYPERLINK("https://www.ozon.ru/context/detail/id/177839081/#58329150")</f>
        <v>https://www.ozon.ru/context/detail/id/177839081/#58329150</v>
      </c>
      <c r="H2764" t="s">
        <v>181</v>
      </c>
      <c r="I2764" t="s">
        <v>9632</v>
      </c>
      <c r="J2764" t="str">
        <f>HYPERLINK("https://www.ozon.ru/context/client_opinion/ClientGuid/026cf55e-407f-4db2-b2fb-62a7f4f51c13/")</f>
        <v>https://www.ozon.ru/context/client_opinion/ClientGuid/026cf55e-407f-4db2-b2fb-62a7f4f51c13/</v>
      </c>
      <c r="L2764" t="s">
        <v>121</v>
      </c>
      <c r="N2764" t="s">
        <v>183</v>
      </c>
      <c r="O2764" t="s">
        <v>3482</v>
      </c>
      <c r="P2764" t="str">
        <f>HYPERLINK("https://www.ozon.ru/context/detail/id/177839081/")</f>
        <v>https://www.ozon.ru/context/detail/id/177839081/</v>
      </c>
      <c r="R2764" t="s">
        <v>184</v>
      </c>
      <c r="S2764" t="s">
        <v>125</v>
      </c>
      <c r="W2764">
        <v>0</v>
      </c>
      <c r="X2764">
        <v>0</v>
      </c>
      <c r="AH2764">
        <v>5</v>
      </c>
      <c r="AM2764" t="s">
        <v>129</v>
      </c>
      <c r="AN2764" t="s">
        <v>130</v>
      </c>
      <c r="AP2764" t="s">
        <v>41</v>
      </c>
      <c r="AT2764" t="s">
        <v>45</v>
      </c>
      <c r="AZ2764" t="s">
        <v>51</v>
      </c>
      <c r="BA2764" t="s">
        <v>52</v>
      </c>
    </row>
    <row r="2765" spans="1:100" x14ac:dyDescent="0.2">
      <c r="A2765" t="s">
        <v>9507</v>
      </c>
      <c r="B2765" t="s">
        <v>948</v>
      </c>
      <c r="C2765" t="s">
        <v>9633</v>
      </c>
      <c r="D2765" t="s">
        <v>955</v>
      </c>
      <c r="E2765" t="s">
        <v>9634</v>
      </c>
      <c r="F2765" t="s">
        <v>180</v>
      </c>
      <c r="G2765" t="str">
        <f>HYPERLINK("https://www.wildberries.ru/catalog/16559824/detail.aspx?targetUrl=ES#Comments")</f>
        <v>https://www.wildberries.ru/catalog/16559824/detail.aspx?targetUrl=ES#Comments</v>
      </c>
      <c r="H2765" t="s">
        <v>181</v>
      </c>
      <c r="I2765" t="s">
        <v>4389</v>
      </c>
      <c r="J2765" t="str">
        <f>HYPERLINK("https://www.wildberries.ru/profile/w7TDssOkw7PCu8KzwrDCsMKxwrDCuMKywrM=")</f>
        <v>https://www.wildberries.ru/profile/w7TDssOkw7PCu8KzwrDCsMKxwrDCuMKywrM=</v>
      </c>
      <c r="L2765" t="s">
        <v>151</v>
      </c>
      <c r="N2765" t="s">
        <v>534</v>
      </c>
      <c r="O2765" t="s">
        <v>955</v>
      </c>
      <c r="P2765" t="str">
        <f>HYPERLINK("https://www.wildberries.ru/catalog/12339622/detail.aspx")</f>
        <v>https://www.wildberries.ru/catalog/12339622/detail.aspx</v>
      </c>
      <c r="R2765" t="s">
        <v>184</v>
      </c>
      <c r="S2765" t="s">
        <v>125</v>
      </c>
      <c r="W2765">
        <v>0</v>
      </c>
      <c r="X2765">
        <v>0</v>
      </c>
      <c r="AH2765">
        <v>5</v>
      </c>
      <c r="AM2765" t="s">
        <v>129</v>
      </c>
      <c r="AN2765" t="s">
        <v>130</v>
      </c>
      <c r="AP2765" t="s">
        <v>41</v>
      </c>
      <c r="AT2765" t="s">
        <v>45</v>
      </c>
      <c r="AZ2765" t="s">
        <v>51</v>
      </c>
      <c r="BA2765" t="s">
        <v>52</v>
      </c>
    </row>
    <row r="2766" spans="1:100" x14ac:dyDescent="0.2">
      <c r="A2766" t="s">
        <v>9507</v>
      </c>
      <c r="B2766" t="s">
        <v>2525</v>
      </c>
      <c r="C2766" t="s">
        <v>8009</v>
      </c>
      <c r="D2766" t="s">
        <v>3261</v>
      </c>
      <c r="E2766" t="s">
        <v>9634</v>
      </c>
      <c r="F2766" t="s">
        <v>180</v>
      </c>
      <c r="G2766" t="str">
        <f>HYPERLINK("https://www.wildberries.ru/catalog/5691258/detail.aspx?targetUrl=ES#Comments")</f>
        <v>https://www.wildberries.ru/catalog/5691258/detail.aspx?targetUrl=ES#Comments</v>
      </c>
      <c r="H2766" t="s">
        <v>181</v>
      </c>
      <c r="I2766" t="s">
        <v>4389</v>
      </c>
      <c r="J2766" t="str">
        <f>HYPERLINK("https://www.wildberries.ru/profile/w7TDssOkw7PCu8KzwrDCsMKxwrDCuMKywrM=")</f>
        <v>https://www.wildberries.ru/profile/w7TDssOkw7PCu8KzwrDCsMKxwrDCuMKywrM=</v>
      </c>
      <c r="L2766" t="s">
        <v>151</v>
      </c>
      <c r="N2766" t="s">
        <v>534</v>
      </c>
      <c r="O2766" t="s">
        <v>3261</v>
      </c>
      <c r="P2766" t="str">
        <f>HYPERLINK("https://www.wildberries.ru/catalog/4570035/detail.aspx")</f>
        <v>https://www.wildberries.ru/catalog/4570035/detail.aspx</v>
      </c>
      <c r="R2766" t="s">
        <v>184</v>
      </c>
      <c r="S2766" t="s">
        <v>125</v>
      </c>
      <c r="W2766">
        <v>0</v>
      </c>
      <c r="X2766">
        <v>0</v>
      </c>
      <c r="AH2766">
        <v>5</v>
      </c>
      <c r="AM2766" t="s">
        <v>129</v>
      </c>
      <c r="AN2766" t="s">
        <v>130</v>
      </c>
      <c r="AP2766" t="s">
        <v>41</v>
      </c>
      <c r="AZ2766" t="s">
        <v>51</v>
      </c>
      <c r="BA2766" t="s">
        <v>52</v>
      </c>
      <c r="BK2766" t="s">
        <v>62</v>
      </c>
      <c r="BL2766" t="s">
        <v>63</v>
      </c>
    </row>
    <row r="2767" spans="1:100" x14ac:dyDescent="0.2">
      <c r="A2767" t="s">
        <v>9507</v>
      </c>
      <c r="B2767" t="s">
        <v>953</v>
      </c>
      <c r="C2767" t="s">
        <v>9635</v>
      </c>
      <c r="D2767" t="s">
        <v>3620</v>
      </c>
      <c r="E2767" t="s">
        <v>9636</v>
      </c>
      <c r="F2767" t="s">
        <v>118</v>
      </c>
      <c r="G2767" t="str">
        <f>HYPERLINK("https://www.youtube.com/watch?v=_D3BAuRnOHk&amp;lc=UgxuVEpARQH_khoRyDV4AaABAg")</f>
        <v>https://www.youtube.com/watch?v=_D3BAuRnOHk&amp;lc=UgxuVEpARQH_khoRyDV4AaABAg</v>
      </c>
      <c r="H2767" t="s">
        <v>119</v>
      </c>
      <c r="I2767" t="s">
        <v>3622</v>
      </c>
      <c r="J2767" t="str">
        <f>HYPERLINK("https://www.youtube.com/channel/UC52dIELJ9nX-M3_e68VeI9w")</f>
        <v>https://www.youtube.com/channel/UC52dIELJ9nX-M3_e68VeI9w</v>
      </c>
      <c r="K2767">
        <v>0</v>
      </c>
      <c r="L2767" t="s">
        <v>121</v>
      </c>
      <c r="N2767" t="s">
        <v>248</v>
      </c>
      <c r="O2767" t="s">
        <v>3623</v>
      </c>
      <c r="P2767" t="str">
        <f>HYPERLINK("https://www.youtube.com/channel/UCu4f9p4p18Gc0z70fbu5ajQ")</f>
        <v>https://www.youtube.com/channel/UCu4f9p4p18Gc0z70fbu5ajQ</v>
      </c>
      <c r="Q2767">
        <v>1250</v>
      </c>
      <c r="R2767" t="s">
        <v>124</v>
      </c>
      <c r="S2767" t="s">
        <v>125</v>
      </c>
      <c r="W2767">
        <v>0</v>
      </c>
      <c r="X2767">
        <v>0</v>
      </c>
      <c r="AE2767">
        <v>0</v>
      </c>
      <c r="AM2767" t="s">
        <v>129</v>
      </c>
      <c r="AN2767" t="s">
        <v>130</v>
      </c>
      <c r="AP2767" t="s">
        <v>41</v>
      </c>
      <c r="AZ2767" t="s">
        <v>51</v>
      </c>
      <c r="BA2767" t="s">
        <v>52</v>
      </c>
      <c r="BL2767" t="s">
        <v>63</v>
      </c>
    </row>
    <row r="2768" spans="1:100" x14ac:dyDescent="0.2">
      <c r="A2768" t="s">
        <v>9507</v>
      </c>
      <c r="B2768" t="s">
        <v>958</v>
      </c>
      <c r="C2768" t="s">
        <v>9637</v>
      </c>
      <c r="D2768" t="s">
        <v>9582</v>
      </c>
      <c r="E2768" t="s">
        <v>9638</v>
      </c>
      <c r="F2768" t="s">
        <v>118</v>
      </c>
      <c r="G2768" t="str">
        <f>HYPERLINK("https://vk.com/wall-132869462_180137?reply=180150&amp;thread=180145")</f>
        <v>https://vk.com/wall-132869462_180137?reply=180150&amp;thread=180145</v>
      </c>
      <c r="H2768" t="s">
        <v>119</v>
      </c>
      <c r="I2768" t="s">
        <v>842</v>
      </c>
      <c r="J2768" t="str">
        <f>HYPERLINK("http://vk.com/id10778594")</f>
        <v>http://vk.com/id10778594</v>
      </c>
      <c r="K2768">
        <v>848</v>
      </c>
      <c r="L2768" t="s">
        <v>121</v>
      </c>
      <c r="M2768">
        <v>49</v>
      </c>
      <c r="N2768" t="s">
        <v>122</v>
      </c>
      <c r="O2768" t="s">
        <v>843</v>
      </c>
      <c r="P2768" t="str">
        <f>HYPERLINK("http://vk.com/club132869462")</f>
        <v>http://vk.com/club132869462</v>
      </c>
      <c r="Q2768">
        <v>14644</v>
      </c>
      <c r="R2768" t="s">
        <v>124</v>
      </c>
      <c r="S2768" t="s">
        <v>125</v>
      </c>
      <c r="T2768" t="s">
        <v>314</v>
      </c>
      <c r="U2768" t="s">
        <v>315</v>
      </c>
      <c r="AM2768" t="s">
        <v>129</v>
      </c>
      <c r="AN2768" t="s">
        <v>130</v>
      </c>
      <c r="AP2768" t="s">
        <v>41</v>
      </c>
      <c r="AU2768" t="s">
        <v>46</v>
      </c>
      <c r="AZ2768" t="s">
        <v>51</v>
      </c>
      <c r="BA2768" t="s">
        <v>52</v>
      </c>
    </row>
    <row r="2769" spans="1:65" x14ac:dyDescent="0.2">
      <c r="A2769" t="s">
        <v>9507</v>
      </c>
      <c r="B2769" t="s">
        <v>9639</v>
      </c>
      <c r="C2769" t="s">
        <v>9640</v>
      </c>
      <c r="D2769" t="s">
        <v>9641</v>
      </c>
      <c r="E2769" t="s">
        <v>9642</v>
      </c>
      <c r="F2769" t="s">
        <v>180</v>
      </c>
      <c r="G2769" t="str">
        <f>HYPERLINK("https://market.yandex.ru/product/386961059/reviews?id=134282304")</f>
        <v>https://market.yandex.ru/product/386961059/reviews?id=134282304</v>
      </c>
      <c r="H2769" t="s">
        <v>181</v>
      </c>
      <c r="I2769" t="s">
        <v>9643</v>
      </c>
      <c r="J2769" t="str">
        <f>HYPERLINK("https://market.yandex.ru/user/x0885fdptaghkvdmkjpcq110mc/reviews")</f>
        <v>https://market.yandex.ru/user/x0885fdptaghkvdmkjpcq110mc/reviews</v>
      </c>
      <c r="L2769" t="s">
        <v>151</v>
      </c>
      <c r="N2769" t="s">
        <v>611</v>
      </c>
      <c r="O2769" t="s">
        <v>9641</v>
      </c>
      <c r="P2769" t="str">
        <f>HYPERLINK("https://market.yandex.ru/product/386961059")</f>
        <v>https://market.yandex.ru/product/386961059</v>
      </c>
      <c r="R2769" t="s">
        <v>184</v>
      </c>
      <c r="S2769" t="s">
        <v>125</v>
      </c>
      <c r="T2769" t="s">
        <v>169</v>
      </c>
      <c r="U2769" t="s">
        <v>169</v>
      </c>
      <c r="W2769">
        <v>0</v>
      </c>
      <c r="X2769">
        <v>0</v>
      </c>
      <c r="AH2769">
        <v>5</v>
      </c>
      <c r="AJ2769" t="s">
        <v>129</v>
      </c>
      <c r="AK2769" t="s">
        <v>129</v>
      </c>
      <c r="AL2769" t="str">
        <f>HYPERLINK("https://avatars.mds.yandex.net/get-market-ugc/2369747/2a0000017a8b69f6af2affd6ae40c426204b/1920-1920")</f>
        <v>https://avatars.mds.yandex.net/get-market-ugc/2369747/2a0000017a8b69f6af2affd6ae40c426204b/1920-1920</v>
      </c>
      <c r="AM2769" t="s">
        <v>129</v>
      </c>
      <c r="AN2769" t="s">
        <v>130</v>
      </c>
      <c r="AP2769" t="s">
        <v>41</v>
      </c>
      <c r="AZ2769" t="s">
        <v>51</v>
      </c>
      <c r="BA2769" t="s">
        <v>52</v>
      </c>
      <c r="BK2769" t="s">
        <v>62</v>
      </c>
      <c r="BL2769" t="s">
        <v>63</v>
      </c>
    </row>
    <row r="2770" spans="1:65" x14ac:dyDescent="0.2">
      <c r="A2770" t="s">
        <v>9507</v>
      </c>
      <c r="B2770" t="s">
        <v>3445</v>
      </c>
      <c r="C2770" t="s">
        <v>9644</v>
      </c>
      <c r="D2770" t="s">
        <v>9645</v>
      </c>
      <c r="E2770" t="s">
        <v>9646</v>
      </c>
      <c r="F2770" t="s">
        <v>180</v>
      </c>
      <c r="G2770" t="str">
        <f>HYPERLINK("https://www.wildberries.ru/catalog/28143891/detail.aspx?targetUrl=ES#Comments")</f>
        <v>https://www.wildberries.ru/catalog/28143891/detail.aspx?targetUrl=ES#Comments</v>
      </c>
      <c r="H2770" t="s">
        <v>181</v>
      </c>
      <c r="I2770" t="s">
        <v>3082</v>
      </c>
      <c r="J2770" t="str">
        <f>HYPERLINK("https://www.wildberries.ru/profile/w7TDssOkw7PCu8KwwrjCs8K5wrHCuMKxwrE=")</f>
        <v>https://www.wildberries.ru/profile/w7TDssOkw7PCu8KwwrjCs8K5wrHCuMKxwrE=</v>
      </c>
      <c r="L2770" t="s">
        <v>151</v>
      </c>
      <c r="N2770" t="s">
        <v>534</v>
      </c>
      <c r="O2770" t="s">
        <v>9645</v>
      </c>
      <c r="P2770" t="str">
        <f>HYPERLINK("https://www.wildberries.ru/catalog/20660391/detail.aspx")</f>
        <v>https://www.wildberries.ru/catalog/20660391/detail.aspx</v>
      </c>
      <c r="R2770" t="s">
        <v>184</v>
      </c>
      <c r="S2770" t="s">
        <v>125</v>
      </c>
      <c r="W2770">
        <v>0</v>
      </c>
      <c r="X2770">
        <v>0</v>
      </c>
      <c r="AH2770">
        <v>5</v>
      </c>
      <c r="AM2770" t="s">
        <v>129</v>
      </c>
      <c r="AN2770" t="s">
        <v>130</v>
      </c>
      <c r="AP2770" t="s">
        <v>41</v>
      </c>
      <c r="AZ2770" t="s">
        <v>51</v>
      </c>
      <c r="BA2770" t="s">
        <v>52</v>
      </c>
      <c r="BK2770" t="s">
        <v>62</v>
      </c>
      <c r="BL2770" t="s">
        <v>63</v>
      </c>
    </row>
    <row r="2771" spans="1:65" x14ac:dyDescent="0.2">
      <c r="A2771" t="s">
        <v>9507</v>
      </c>
      <c r="B2771" t="s">
        <v>3088</v>
      </c>
      <c r="C2771" t="s">
        <v>9647</v>
      </c>
      <c r="D2771" t="s">
        <v>9648</v>
      </c>
      <c r="E2771" t="s">
        <v>9649</v>
      </c>
      <c r="F2771" t="s">
        <v>118</v>
      </c>
      <c r="G2771" t="str">
        <f>HYPERLINK("https://www.youtube.com/watch?v=_dWy-k5kH-c&amp;lc=UgzNWL7BB_Inv7eF5QF4AaABAg")</f>
        <v>https://www.youtube.com/watch?v=_dWy-k5kH-c&amp;lc=UgzNWL7BB_Inv7eF5QF4AaABAg</v>
      </c>
      <c r="H2771" t="s">
        <v>181</v>
      </c>
      <c r="I2771" t="s">
        <v>9650</v>
      </c>
      <c r="J2771" t="str">
        <f>HYPERLINK("https://www.youtube.com/channel/UCt8y2R-JC_zNLZllQKBvwGg")</f>
        <v>https://www.youtube.com/channel/UCt8y2R-JC_zNLZllQKBvwGg</v>
      </c>
      <c r="K2771">
        <v>0</v>
      </c>
      <c r="N2771" t="s">
        <v>248</v>
      </c>
      <c r="O2771" t="s">
        <v>9651</v>
      </c>
      <c r="P2771" t="str">
        <f>HYPERLINK("https://www.youtube.com/channel/UC61C1e9F_XXg4TAReTBJhrw")</f>
        <v>https://www.youtube.com/channel/UC61C1e9F_XXg4TAReTBJhrw</v>
      </c>
      <c r="Q2771">
        <v>3310</v>
      </c>
      <c r="R2771" t="s">
        <v>124</v>
      </c>
      <c r="S2771" t="s">
        <v>125</v>
      </c>
      <c r="W2771">
        <v>1</v>
      </c>
      <c r="X2771">
        <v>1</v>
      </c>
      <c r="AE2771">
        <v>0</v>
      </c>
      <c r="AM2771" t="s">
        <v>129</v>
      </c>
      <c r="AN2771" t="s">
        <v>130</v>
      </c>
      <c r="AP2771" t="s">
        <v>41</v>
      </c>
      <c r="AY2771" t="s">
        <v>50</v>
      </c>
      <c r="AZ2771" t="s">
        <v>51</v>
      </c>
      <c r="BA2771" t="s">
        <v>52</v>
      </c>
      <c r="BL2771" t="s">
        <v>63</v>
      </c>
    </row>
    <row r="2772" spans="1:65" x14ac:dyDescent="0.2">
      <c r="A2772" t="s">
        <v>9507</v>
      </c>
      <c r="B2772" t="s">
        <v>3812</v>
      </c>
      <c r="C2772" t="s">
        <v>9652</v>
      </c>
      <c r="D2772" t="s">
        <v>9653</v>
      </c>
      <c r="E2772" t="s">
        <v>9654</v>
      </c>
      <c r="F2772" t="s">
        <v>118</v>
      </c>
      <c r="G2772" t="str">
        <f>HYPERLINK("https://www.facebook.com/story.php?story_fbid=4326245620743812&amp;id=100000752518661&amp;comment_id=4327034963998211")</f>
        <v>https://www.facebook.com/story.php?story_fbid=4326245620743812&amp;id=100000752518661&amp;comment_id=4327034963998211</v>
      </c>
      <c r="H2772" t="s">
        <v>119</v>
      </c>
      <c r="I2772" t="s">
        <v>9655</v>
      </c>
      <c r="J2772" t="str">
        <f>HYPERLINK("https://www.facebook.com/100002609577219")</f>
        <v>https://www.facebook.com/100002609577219</v>
      </c>
      <c r="K2772">
        <v>5476</v>
      </c>
      <c r="L2772" t="s">
        <v>121</v>
      </c>
      <c r="N2772" t="s">
        <v>305</v>
      </c>
      <c r="O2772" t="s">
        <v>9656</v>
      </c>
      <c r="P2772" t="str">
        <f>HYPERLINK("https://www.facebook.com/100000752518661")</f>
        <v>https://www.facebook.com/100000752518661</v>
      </c>
      <c r="Q2772">
        <v>20587</v>
      </c>
      <c r="R2772" t="s">
        <v>124</v>
      </c>
      <c r="W2772">
        <v>0</v>
      </c>
      <c r="X2772">
        <v>0</v>
      </c>
      <c r="AE2772">
        <v>0</v>
      </c>
      <c r="AM2772" t="s">
        <v>129</v>
      </c>
      <c r="AN2772" t="s">
        <v>130</v>
      </c>
      <c r="AP2772" t="s">
        <v>41</v>
      </c>
      <c r="AZ2772" t="s">
        <v>51</v>
      </c>
      <c r="BA2772" t="s">
        <v>52</v>
      </c>
      <c r="BM2772" t="s">
        <v>64</v>
      </c>
    </row>
    <row r="2773" spans="1:65" x14ac:dyDescent="0.2">
      <c r="A2773" t="s">
        <v>9507</v>
      </c>
      <c r="B2773" t="s">
        <v>9657</v>
      </c>
      <c r="C2773" t="s">
        <v>9658</v>
      </c>
      <c r="D2773" t="s">
        <v>9659</v>
      </c>
      <c r="E2773" t="s">
        <v>9660</v>
      </c>
      <c r="F2773" t="s">
        <v>118</v>
      </c>
      <c r="G2773" t="str">
        <f>HYPERLINK("http://forum.ixbt.com/topic.cgi?id=62:23411-4#post16")</f>
        <v>http://forum.ixbt.com/topic.cgi?id=62:23411-4#post16</v>
      </c>
      <c r="H2773" t="s">
        <v>119</v>
      </c>
      <c r="I2773" t="s">
        <v>9661</v>
      </c>
      <c r="J2773" t="str">
        <f>HYPERLINK("http://forum.ixbt.com/topic.cgi?id=62:23411-4#post16")</f>
        <v>http://forum.ixbt.com/topic.cgi?id=62:23411-4#post16</v>
      </c>
      <c r="N2773" t="s">
        <v>1763</v>
      </c>
      <c r="O2773" t="s">
        <v>9662</v>
      </c>
      <c r="P2773" t="str">
        <f>HYPERLINK("https://forum.ixbt.com/?id=62")</f>
        <v>https://forum.ixbt.com/?id=62</v>
      </c>
      <c r="R2773" t="s">
        <v>295</v>
      </c>
      <c r="S2773" t="s">
        <v>125</v>
      </c>
      <c r="AM2773" t="s">
        <v>129</v>
      </c>
      <c r="AN2773" t="s">
        <v>130</v>
      </c>
      <c r="AP2773" t="s">
        <v>41</v>
      </c>
      <c r="AU2773" t="s">
        <v>46</v>
      </c>
      <c r="AZ2773" t="s">
        <v>51</v>
      </c>
      <c r="BA2773" t="s">
        <v>52</v>
      </c>
    </row>
    <row r="2774" spans="1:65" x14ac:dyDescent="0.2">
      <c r="A2774" t="s">
        <v>9507</v>
      </c>
      <c r="B2774" t="s">
        <v>449</v>
      </c>
      <c r="C2774" t="s">
        <v>9663</v>
      </c>
      <c r="D2774" t="s">
        <v>9664</v>
      </c>
      <c r="E2774" t="s">
        <v>9665</v>
      </c>
      <c r="F2774" t="s">
        <v>180</v>
      </c>
      <c r="G2774" t="str">
        <f>HYPERLINK("https://www.ozon.ru/context/detail/id/267271438/#58309637")</f>
        <v>https://www.ozon.ru/context/detail/id/267271438/#58309637</v>
      </c>
      <c r="H2774" t="s">
        <v>181</v>
      </c>
      <c r="I2774" t="s">
        <v>9666</v>
      </c>
      <c r="J2774" t="str">
        <f>HYPERLINK("https://www.ozon.ru/context/client_opinion/ClientGuid/911fceae-ace0-4d83-9135-e82e089af6e8/")</f>
        <v>https://www.ozon.ru/context/client_opinion/ClientGuid/911fceae-ace0-4d83-9135-e82e089af6e8/</v>
      </c>
      <c r="L2774" t="s">
        <v>121</v>
      </c>
      <c r="N2774" t="s">
        <v>183</v>
      </c>
      <c r="O2774" t="s">
        <v>9664</v>
      </c>
      <c r="P2774" t="str">
        <f>HYPERLINK("https://www.ozon.ru/context/detail/id/267271438/")</f>
        <v>https://www.ozon.ru/context/detail/id/267271438/</v>
      </c>
      <c r="R2774" t="s">
        <v>184</v>
      </c>
      <c r="S2774" t="s">
        <v>125</v>
      </c>
      <c r="W2774">
        <v>0</v>
      </c>
      <c r="X2774">
        <v>0</v>
      </c>
      <c r="AH2774">
        <v>5</v>
      </c>
      <c r="AJ2774" t="s">
        <v>9667</v>
      </c>
      <c r="AK2774" t="s">
        <v>5961</v>
      </c>
      <c r="AL2774" t="str">
        <f>HYPERLINK("https://cdn1.ozone.ru/s3/rp-photo-5/10414093-c3c5-4d42-bc42-0848f4924837.jpeg")</f>
        <v>https://cdn1.ozone.ru/s3/rp-photo-5/10414093-c3c5-4d42-bc42-0848f4924837.jpeg</v>
      </c>
      <c r="AM2774" t="s">
        <v>129</v>
      </c>
      <c r="AN2774" t="s">
        <v>130</v>
      </c>
      <c r="AP2774" t="s">
        <v>41</v>
      </c>
      <c r="AZ2774" t="s">
        <v>51</v>
      </c>
      <c r="BA2774" t="s">
        <v>52</v>
      </c>
      <c r="BL2774" t="s">
        <v>63</v>
      </c>
    </row>
    <row r="2775" spans="1:65" x14ac:dyDescent="0.2">
      <c r="A2775" t="s">
        <v>9507</v>
      </c>
      <c r="B2775" t="s">
        <v>456</v>
      </c>
      <c r="C2775" t="s">
        <v>9668</v>
      </c>
      <c r="D2775" t="s">
        <v>9669</v>
      </c>
      <c r="E2775" t="s">
        <v>9670</v>
      </c>
      <c r="F2775" t="s">
        <v>118</v>
      </c>
      <c r="G2775" t="str">
        <f>HYPERLINK("https://vk.com/wall-173159214_777556?reply=777607&amp;thread=777578")</f>
        <v>https://vk.com/wall-173159214_777556?reply=777607&amp;thread=777578</v>
      </c>
      <c r="H2775" t="s">
        <v>181</v>
      </c>
      <c r="I2775" t="s">
        <v>9671</v>
      </c>
      <c r="J2775" t="str">
        <f>HYPERLINK("http://vk.com/id414540597")</f>
        <v>http://vk.com/id414540597</v>
      </c>
      <c r="K2775">
        <v>86</v>
      </c>
      <c r="L2775" t="s">
        <v>121</v>
      </c>
      <c r="N2775" t="s">
        <v>122</v>
      </c>
      <c r="O2775" t="s">
        <v>9672</v>
      </c>
      <c r="P2775" t="str">
        <f>HYPERLINK("http://vk.com/club173159214")</f>
        <v>http://vk.com/club173159214</v>
      </c>
      <c r="Q2775">
        <v>53942</v>
      </c>
      <c r="R2775" t="s">
        <v>124</v>
      </c>
      <c r="S2775" t="s">
        <v>125</v>
      </c>
      <c r="AM2775" t="s">
        <v>129</v>
      </c>
      <c r="AN2775" t="s">
        <v>130</v>
      </c>
      <c r="AP2775" t="s">
        <v>41</v>
      </c>
      <c r="AU2775" t="s">
        <v>46</v>
      </c>
      <c r="AZ2775" t="s">
        <v>51</v>
      </c>
      <c r="BA2775" t="s">
        <v>52</v>
      </c>
    </row>
    <row r="2776" spans="1:65" x14ac:dyDescent="0.2">
      <c r="A2776" t="s">
        <v>9507</v>
      </c>
      <c r="B2776" t="s">
        <v>1588</v>
      </c>
      <c r="C2776" t="s">
        <v>9312</v>
      </c>
      <c r="D2776" t="s">
        <v>9313</v>
      </c>
      <c r="E2776" t="s">
        <v>9673</v>
      </c>
      <c r="F2776" t="s">
        <v>180</v>
      </c>
      <c r="G2776" t="str">
        <f>HYPERLINK("https://www.wildberries.ru/catalog/14967643/detail.aspx?targetUrl=ES#Comments")</f>
        <v>https://www.wildberries.ru/catalog/14967643/detail.aspx?targetUrl=ES#Comments</v>
      </c>
      <c r="H2776" t="s">
        <v>181</v>
      </c>
      <c r="I2776" t="s">
        <v>5187</v>
      </c>
      <c r="J2776" t="str">
        <f>HYPERLINK("https://www.wildberries.ru/profile/w7TDssOkw7PCu8KzwrDCuMKywrXCtMK0wrk=")</f>
        <v>https://www.wildberries.ru/profile/w7TDssOkw7PCu8KzwrDCuMKywrXCtMK0wrk=</v>
      </c>
      <c r="L2776" t="s">
        <v>151</v>
      </c>
      <c r="N2776" t="s">
        <v>534</v>
      </c>
      <c r="O2776" t="s">
        <v>9313</v>
      </c>
      <c r="P2776" t="str">
        <f>HYPERLINK("https://www.wildberries.ru/catalog/11194495/detail.aspx")</f>
        <v>https://www.wildberries.ru/catalog/11194495/detail.aspx</v>
      </c>
      <c r="R2776" t="s">
        <v>184</v>
      </c>
      <c r="S2776" t="s">
        <v>125</v>
      </c>
      <c r="W2776">
        <v>0</v>
      </c>
      <c r="X2776">
        <v>0</v>
      </c>
      <c r="AH2776">
        <v>5</v>
      </c>
      <c r="AJ2776" t="s">
        <v>9674</v>
      </c>
      <c r="AK2776" t="s">
        <v>129</v>
      </c>
      <c r="AL2776" t="str">
        <f>HYPERLINK("http://feedbackphotos.wbstatic.net/feedbacks/1119/11194495/0c19815e-0cea-42ab-89fc-7eebd9ea6a07_fs.jpg")</f>
        <v>http://feedbackphotos.wbstatic.net/feedbacks/1119/11194495/0c19815e-0cea-42ab-89fc-7eebd9ea6a07_fs.jpg</v>
      </c>
      <c r="AM2776" t="s">
        <v>129</v>
      </c>
      <c r="AN2776" t="s">
        <v>130</v>
      </c>
      <c r="AP2776" t="s">
        <v>41</v>
      </c>
      <c r="AZ2776" t="s">
        <v>51</v>
      </c>
      <c r="BA2776" t="s">
        <v>52</v>
      </c>
      <c r="BK2776" t="s">
        <v>62</v>
      </c>
      <c r="BL2776" t="s">
        <v>63</v>
      </c>
    </row>
    <row r="2777" spans="1:65" x14ac:dyDescent="0.2">
      <c r="A2777" t="s">
        <v>9507</v>
      </c>
      <c r="B2777" t="s">
        <v>3131</v>
      </c>
      <c r="C2777" t="s">
        <v>9312</v>
      </c>
      <c r="D2777" t="s">
        <v>9313</v>
      </c>
      <c r="E2777" t="s">
        <v>9675</v>
      </c>
      <c r="F2777" t="s">
        <v>180</v>
      </c>
      <c r="G2777" t="str">
        <f>HYPERLINK("https://www.wildberries.ru/catalog/14967643/detail.aspx?targetUrl=ES#Comments")</f>
        <v>https://www.wildberries.ru/catalog/14967643/detail.aspx?targetUrl=ES#Comments</v>
      </c>
      <c r="H2777" t="s">
        <v>181</v>
      </c>
      <c r="I2777" t="s">
        <v>1781</v>
      </c>
      <c r="J2777" t="str">
        <f>HYPERLINK("https://www.wildberries.ru/profile/w7TDssOkw7PCu8KwwrTCtsK1wrDCtMK2wrc=")</f>
        <v>https://www.wildberries.ru/profile/w7TDssOkw7PCu8KwwrTCtsK1wrDCtMK2wrc=</v>
      </c>
      <c r="L2777" t="s">
        <v>151</v>
      </c>
      <c r="N2777" t="s">
        <v>534</v>
      </c>
      <c r="O2777" t="s">
        <v>9313</v>
      </c>
      <c r="P2777" t="str">
        <f>HYPERLINK("https://www.wildberries.ru/catalog/11194495/detail.aspx")</f>
        <v>https://www.wildberries.ru/catalog/11194495/detail.aspx</v>
      </c>
      <c r="R2777" t="s">
        <v>184</v>
      </c>
      <c r="S2777" t="s">
        <v>125</v>
      </c>
      <c r="W2777">
        <v>0</v>
      </c>
      <c r="X2777">
        <v>0</v>
      </c>
      <c r="AH2777">
        <v>5</v>
      </c>
      <c r="AM2777" t="s">
        <v>129</v>
      </c>
      <c r="AN2777" t="s">
        <v>130</v>
      </c>
      <c r="AP2777" t="s">
        <v>41</v>
      </c>
      <c r="AZ2777" t="s">
        <v>51</v>
      </c>
      <c r="BA2777" t="s">
        <v>52</v>
      </c>
      <c r="BK2777" t="s">
        <v>62</v>
      </c>
      <c r="BL2777" t="s">
        <v>63</v>
      </c>
    </row>
    <row r="2778" spans="1:65" x14ac:dyDescent="0.2">
      <c r="A2778" t="s">
        <v>9507</v>
      </c>
      <c r="B2778" t="s">
        <v>479</v>
      </c>
      <c r="C2778" t="s">
        <v>5334</v>
      </c>
      <c r="D2778" t="s">
        <v>5335</v>
      </c>
      <c r="E2778" t="s">
        <v>9676</v>
      </c>
      <c r="F2778" t="s">
        <v>180</v>
      </c>
      <c r="G2778" t="str">
        <f>HYPERLINK("https://www.ozon.ru/context/detail/id/273955759/#58291204")</f>
        <v>https://www.ozon.ru/context/detail/id/273955759/#58291204</v>
      </c>
      <c r="H2778" t="s">
        <v>181</v>
      </c>
      <c r="I2778" t="s">
        <v>512</v>
      </c>
      <c r="J2778" t="str">
        <f>HYPERLINK("https://www.ozon.ru/context/client_opinion/ClientGuid//")</f>
        <v>https://www.ozon.ru/context/client_opinion/ClientGuid//</v>
      </c>
      <c r="N2778" t="s">
        <v>183</v>
      </c>
      <c r="O2778" t="s">
        <v>5335</v>
      </c>
      <c r="P2778" t="str">
        <f>HYPERLINK("https://www.ozon.ru/context/detail/id/273955759/")</f>
        <v>https://www.ozon.ru/context/detail/id/273955759/</v>
      </c>
      <c r="R2778" t="s">
        <v>184</v>
      </c>
      <c r="S2778" t="s">
        <v>125</v>
      </c>
      <c r="W2778">
        <v>0</v>
      </c>
      <c r="X2778">
        <v>0</v>
      </c>
      <c r="AH2778">
        <v>5</v>
      </c>
      <c r="AM2778" t="s">
        <v>129</v>
      </c>
      <c r="AN2778" t="s">
        <v>130</v>
      </c>
      <c r="AP2778" t="s">
        <v>41</v>
      </c>
      <c r="AT2778" t="s">
        <v>45</v>
      </c>
      <c r="AZ2778" t="s">
        <v>51</v>
      </c>
      <c r="BA2778" t="s">
        <v>52</v>
      </c>
      <c r="BL2778" t="s">
        <v>63</v>
      </c>
    </row>
    <row r="2779" spans="1:65" x14ac:dyDescent="0.2">
      <c r="A2779" t="s">
        <v>9507</v>
      </c>
      <c r="B2779" t="s">
        <v>2633</v>
      </c>
      <c r="C2779" t="s">
        <v>9677</v>
      </c>
      <c r="D2779" t="s">
        <v>9678</v>
      </c>
      <c r="E2779" t="s">
        <v>9679</v>
      </c>
      <c r="F2779" t="s">
        <v>118</v>
      </c>
      <c r="G2779" t="str">
        <f>HYPERLINK("https://vk.com/wall-135778904_163522?reply=163545&amp;thread=163534")</f>
        <v>https://vk.com/wall-135778904_163522?reply=163545&amp;thread=163534</v>
      </c>
      <c r="H2779" t="s">
        <v>119</v>
      </c>
      <c r="I2779" t="s">
        <v>9680</v>
      </c>
      <c r="J2779" t="str">
        <f>HYPERLINK("http://vk.com/id627001033")</f>
        <v>http://vk.com/id627001033</v>
      </c>
      <c r="K2779">
        <v>109</v>
      </c>
      <c r="L2779" t="s">
        <v>121</v>
      </c>
      <c r="M2779">
        <v>51</v>
      </c>
      <c r="N2779" t="s">
        <v>122</v>
      </c>
      <c r="O2779" t="s">
        <v>9681</v>
      </c>
      <c r="P2779" t="str">
        <f>HYPERLINK("http://vk.com/club135778904")</f>
        <v>http://vk.com/club135778904</v>
      </c>
      <c r="Q2779">
        <v>19608</v>
      </c>
      <c r="R2779" t="s">
        <v>124</v>
      </c>
      <c r="S2779" t="s">
        <v>125</v>
      </c>
      <c r="T2779" t="s">
        <v>169</v>
      </c>
      <c r="U2779" t="s">
        <v>169</v>
      </c>
      <c r="AM2779" t="s">
        <v>129</v>
      </c>
      <c r="AN2779" t="s">
        <v>130</v>
      </c>
      <c r="AP2779" t="s">
        <v>41</v>
      </c>
      <c r="AU2779" t="s">
        <v>46</v>
      </c>
      <c r="AW2779" t="s">
        <v>48</v>
      </c>
      <c r="AZ2779" t="s">
        <v>51</v>
      </c>
      <c r="BA2779" t="s">
        <v>52</v>
      </c>
    </row>
    <row r="2780" spans="1:65" x14ac:dyDescent="0.2">
      <c r="A2780" t="s">
        <v>9507</v>
      </c>
      <c r="B2780" t="s">
        <v>5273</v>
      </c>
      <c r="C2780" t="s">
        <v>9682</v>
      </c>
      <c r="D2780" t="s">
        <v>9683</v>
      </c>
      <c r="E2780" t="s">
        <v>9684</v>
      </c>
      <c r="F2780" t="s">
        <v>118</v>
      </c>
      <c r="G2780" t="str">
        <f>HYPERLINK("https://vk.com/wall-35536285_249191?reply=249195")</f>
        <v>https://vk.com/wall-35536285_249191?reply=249195</v>
      </c>
      <c r="H2780" t="s">
        <v>181</v>
      </c>
      <c r="I2780" t="s">
        <v>9685</v>
      </c>
      <c r="J2780" t="str">
        <f>HYPERLINK("http://vk.com/id591820726")</f>
        <v>http://vk.com/id591820726</v>
      </c>
      <c r="L2780" t="s">
        <v>151</v>
      </c>
      <c r="M2780">
        <v>33</v>
      </c>
      <c r="N2780" t="s">
        <v>122</v>
      </c>
      <c r="O2780" t="s">
        <v>9686</v>
      </c>
      <c r="P2780" t="str">
        <f>HYPERLINK("http://vk.com/club35536285")</f>
        <v>http://vk.com/club35536285</v>
      </c>
      <c r="Q2780">
        <v>14197</v>
      </c>
      <c r="R2780" t="s">
        <v>124</v>
      </c>
      <c r="S2780" t="s">
        <v>125</v>
      </c>
      <c r="T2780" t="s">
        <v>1027</v>
      </c>
      <c r="U2780" t="s">
        <v>9687</v>
      </c>
      <c r="AM2780" t="s">
        <v>129</v>
      </c>
      <c r="AN2780" t="s">
        <v>130</v>
      </c>
      <c r="AP2780" t="s">
        <v>41</v>
      </c>
      <c r="AZ2780" t="s">
        <v>51</v>
      </c>
      <c r="BA2780" t="s">
        <v>52</v>
      </c>
    </row>
    <row r="2781" spans="1:65" x14ac:dyDescent="0.2">
      <c r="A2781" t="s">
        <v>9507</v>
      </c>
      <c r="B2781" t="s">
        <v>5803</v>
      </c>
      <c r="C2781" t="s">
        <v>9688</v>
      </c>
      <c r="D2781" t="s">
        <v>9689</v>
      </c>
      <c r="E2781" t="s">
        <v>9690</v>
      </c>
      <c r="F2781" t="s">
        <v>118</v>
      </c>
      <c r="G2781" t="str">
        <f>HYPERLINK("https://www.wildberries.ru/catalog/19450719/detail.aspx?targetUrl=ES#Comments")</f>
        <v>https://www.wildberries.ru/catalog/19450719/detail.aspx?targetUrl=ES#Comments</v>
      </c>
      <c r="H2781" t="s">
        <v>119</v>
      </c>
      <c r="I2781" t="s">
        <v>3023</v>
      </c>
      <c r="J2781" t="str">
        <f>HYPERLINK("https://www.wildberries.ru/brands/trikolor")</f>
        <v>https://www.wildberries.ru/brands/trikolor</v>
      </c>
      <c r="L2781" t="s">
        <v>340</v>
      </c>
      <c r="N2781" t="s">
        <v>534</v>
      </c>
      <c r="O2781" t="s">
        <v>9689</v>
      </c>
      <c r="P2781" t="str">
        <f>HYPERLINK("https://www.wildberries.ru/catalog/14429331/detail.aspx")</f>
        <v>https://www.wildberries.ru/catalog/14429331/detail.aspx</v>
      </c>
      <c r="R2781" t="s">
        <v>184</v>
      </c>
      <c r="S2781" t="s">
        <v>125</v>
      </c>
      <c r="AM2781" t="s">
        <v>129</v>
      </c>
      <c r="AN2781" t="s">
        <v>130</v>
      </c>
      <c r="BI2781" t="s">
        <v>60</v>
      </c>
    </row>
    <row r="2782" spans="1:65" x14ac:dyDescent="0.2">
      <c r="A2782" t="s">
        <v>9507</v>
      </c>
      <c r="B2782" t="s">
        <v>5803</v>
      </c>
      <c r="C2782" t="s">
        <v>9688</v>
      </c>
      <c r="D2782" t="s">
        <v>9689</v>
      </c>
      <c r="E2782" t="s">
        <v>9691</v>
      </c>
      <c r="F2782" t="s">
        <v>180</v>
      </c>
      <c r="G2782" t="str">
        <f>HYPERLINK("https://www.wildberries.ru/catalog/19450719/detail.aspx?targetUrl=ES#Comments")</f>
        <v>https://www.wildberries.ru/catalog/19450719/detail.aspx?targetUrl=ES#Comments</v>
      </c>
      <c r="H2782" t="s">
        <v>181</v>
      </c>
      <c r="I2782" t="s">
        <v>924</v>
      </c>
      <c r="J2782" t="str">
        <f>HYPERLINK("https://www.wildberries.ru/profile/w7TDssOkw7PCu8KwwrfCtcKxwrfCt8K5wrY=")</f>
        <v>https://www.wildberries.ru/profile/w7TDssOkw7PCu8KwwrfCtcKxwrfCt8K5wrY=</v>
      </c>
      <c r="L2782" t="s">
        <v>121</v>
      </c>
      <c r="N2782" t="s">
        <v>534</v>
      </c>
      <c r="O2782" t="s">
        <v>9689</v>
      </c>
      <c r="P2782" t="str">
        <f>HYPERLINK("https://www.wildberries.ru/catalog/14429331/detail.aspx")</f>
        <v>https://www.wildberries.ru/catalog/14429331/detail.aspx</v>
      </c>
      <c r="R2782" t="s">
        <v>184</v>
      </c>
      <c r="S2782" t="s">
        <v>125</v>
      </c>
      <c r="W2782">
        <v>0</v>
      </c>
      <c r="X2782">
        <v>0</v>
      </c>
      <c r="AH2782">
        <v>5</v>
      </c>
      <c r="AM2782" t="s">
        <v>129</v>
      </c>
      <c r="AN2782" t="s">
        <v>130</v>
      </c>
      <c r="AP2782" t="s">
        <v>41</v>
      </c>
      <c r="AT2782" t="s">
        <v>45</v>
      </c>
      <c r="AU2782" t="s">
        <v>46</v>
      </c>
      <c r="AZ2782" t="s">
        <v>51</v>
      </c>
      <c r="BA2782" t="s">
        <v>52</v>
      </c>
    </row>
    <row r="2783" spans="1:65" x14ac:dyDescent="0.2">
      <c r="A2783" t="s">
        <v>9507</v>
      </c>
      <c r="B2783" t="s">
        <v>2693</v>
      </c>
      <c r="C2783" t="s">
        <v>9692</v>
      </c>
      <c r="D2783" t="s">
        <v>9693</v>
      </c>
      <c r="E2783" t="s">
        <v>9694</v>
      </c>
      <c r="F2783" t="s">
        <v>118</v>
      </c>
      <c r="G2783" t="str">
        <f>HYPERLINK("https://vk.com/wall-65420379_55044?reply=55076")</f>
        <v>https://vk.com/wall-65420379_55044?reply=55076</v>
      </c>
      <c r="H2783" t="s">
        <v>119</v>
      </c>
      <c r="I2783" t="s">
        <v>9695</v>
      </c>
      <c r="J2783" t="str">
        <f>HYPERLINK("http://vk.com/id2994054")</f>
        <v>http://vk.com/id2994054</v>
      </c>
      <c r="K2783">
        <v>317</v>
      </c>
      <c r="L2783" t="s">
        <v>121</v>
      </c>
      <c r="N2783" t="s">
        <v>122</v>
      </c>
      <c r="O2783" t="s">
        <v>9696</v>
      </c>
      <c r="P2783" t="str">
        <f>HYPERLINK("http://vk.com/club65420379")</f>
        <v>http://vk.com/club65420379</v>
      </c>
      <c r="Q2783">
        <v>4803</v>
      </c>
      <c r="R2783" t="s">
        <v>124</v>
      </c>
      <c r="S2783" t="s">
        <v>125</v>
      </c>
      <c r="T2783" t="s">
        <v>2388</v>
      </c>
      <c r="U2783" t="s">
        <v>4377</v>
      </c>
      <c r="AM2783" t="s">
        <v>129</v>
      </c>
      <c r="AN2783" t="s">
        <v>130</v>
      </c>
      <c r="AP2783" t="s">
        <v>41</v>
      </c>
      <c r="AT2783" t="s">
        <v>45</v>
      </c>
      <c r="AZ2783" t="s">
        <v>51</v>
      </c>
      <c r="BA2783" t="s">
        <v>52</v>
      </c>
    </row>
    <row r="2784" spans="1:65" x14ac:dyDescent="0.2">
      <c r="A2784" t="s">
        <v>9507</v>
      </c>
      <c r="B2784" t="s">
        <v>1690</v>
      </c>
      <c r="C2784" t="s">
        <v>5594</v>
      </c>
      <c r="D2784" t="s">
        <v>1328</v>
      </c>
      <c r="E2784" t="s">
        <v>9697</v>
      </c>
      <c r="F2784" t="s">
        <v>180</v>
      </c>
      <c r="G2784" t="str">
        <f>HYPERLINK("https://www.ozon.ru/context/detail/id/223365373/#58260693")</f>
        <v>https://www.ozon.ru/context/detail/id/223365373/#58260693</v>
      </c>
      <c r="H2784" t="s">
        <v>181</v>
      </c>
      <c r="I2784" t="s">
        <v>9698</v>
      </c>
      <c r="J2784" t="str">
        <f>HYPERLINK("https://www.ozon.ru/context/client_opinion/ClientGuid/cdfc93c7-d0fe-4983-8def-a81ef3538156/")</f>
        <v>https://www.ozon.ru/context/client_opinion/ClientGuid/cdfc93c7-d0fe-4983-8def-a81ef3538156/</v>
      </c>
      <c r="L2784" t="s">
        <v>121</v>
      </c>
      <c r="N2784" t="s">
        <v>183</v>
      </c>
      <c r="O2784" t="s">
        <v>1328</v>
      </c>
      <c r="P2784" t="str">
        <f>HYPERLINK("https://www.ozon.ru/context/detail/id/223365373/")</f>
        <v>https://www.ozon.ru/context/detail/id/223365373/</v>
      </c>
      <c r="R2784" t="s">
        <v>184</v>
      </c>
      <c r="S2784" t="s">
        <v>125</v>
      </c>
      <c r="W2784">
        <v>0</v>
      </c>
      <c r="X2784">
        <v>0</v>
      </c>
      <c r="AH2784">
        <v>5</v>
      </c>
      <c r="AM2784" t="s">
        <v>129</v>
      </c>
      <c r="AN2784" t="s">
        <v>130</v>
      </c>
      <c r="AP2784" t="s">
        <v>41</v>
      </c>
      <c r="AT2784" t="s">
        <v>45</v>
      </c>
      <c r="AY2784" t="s">
        <v>50</v>
      </c>
      <c r="AZ2784" t="s">
        <v>51</v>
      </c>
      <c r="BA2784" t="s">
        <v>52</v>
      </c>
    </row>
    <row r="2785" spans="1:77" x14ac:dyDescent="0.2">
      <c r="A2785" t="s">
        <v>9507</v>
      </c>
      <c r="B2785" t="s">
        <v>7534</v>
      </c>
      <c r="C2785" t="s">
        <v>5628</v>
      </c>
      <c r="D2785" t="s">
        <v>9699</v>
      </c>
      <c r="E2785" t="s">
        <v>9700</v>
      </c>
      <c r="F2785" t="s">
        <v>180</v>
      </c>
      <c r="G2785" t="str">
        <f>HYPERLINK("https://www.ozon.ru/context/detail/id/234295959/#58255130")</f>
        <v>https://www.ozon.ru/context/detail/id/234295959/#58255130</v>
      </c>
      <c r="H2785" t="s">
        <v>181</v>
      </c>
      <c r="I2785" t="s">
        <v>9701</v>
      </c>
      <c r="J2785" t="str">
        <f>HYPERLINK("https://www.ozon.ru/context/client_opinion/ClientGuid/827abe97-3071-4a13-9570-34ab966d28f8/")</f>
        <v>https://www.ozon.ru/context/client_opinion/ClientGuid/827abe97-3071-4a13-9570-34ab966d28f8/</v>
      </c>
      <c r="L2785" t="s">
        <v>121</v>
      </c>
      <c r="N2785" t="s">
        <v>183</v>
      </c>
      <c r="O2785" t="s">
        <v>9699</v>
      </c>
      <c r="P2785" t="str">
        <f>HYPERLINK("https://www.ozon.ru/context/detail/id/234295959/")</f>
        <v>https://www.ozon.ru/context/detail/id/234295959/</v>
      </c>
      <c r="R2785" t="s">
        <v>184</v>
      </c>
      <c r="S2785" t="s">
        <v>125</v>
      </c>
      <c r="W2785">
        <v>1</v>
      </c>
      <c r="X2785">
        <v>1</v>
      </c>
      <c r="AH2785">
        <v>5</v>
      </c>
      <c r="AM2785" t="s">
        <v>129</v>
      </c>
      <c r="AN2785" t="s">
        <v>130</v>
      </c>
      <c r="AP2785" t="s">
        <v>41</v>
      </c>
      <c r="AT2785" t="s">
        <v>45</v>
      </c>
      <c r="AZ2785" t="s">
        <v>51</v>
      </c>
      <c r="BA2785" t="s">
        <v>52</v>
      </c>
      <c r="BL2785" t="s">
        <v>63</v>
      </c>
    </row>
    <row r="2786" spans="1:77" x14ac:dyDescent="0.2">
      <c r="A2786" t="s">
        <v>9507</v>
      </c>
      <c r="B2786" t="s">
        <v>1725</v>
      </c>
      <c r="C2786" t="s">
        <v>9702</v>
      </c>
      <c r="D2786" t="s">
        <v>9703</v>
      </c>
      <c r="E2786" t="s">
        <v>9704</v>
      </c>
      <c r="F2786" t="s">
        <v>118</v>
      </c>
      <c r="G2786" t="str">
        <f>HYPERLINK("https://vk.com/wall-61101621_254569?reply=254583")</f>
        <v>https://vk.com/wall-61101621_254569?reply=254583</v>
      </c>
      <c r="H2786" t="s">
        <v>119</v>
      </c>
      <c r="I2786" t="s">
        <v>9705</v>
      </c>
      <c r="J2786" t="str">
        <f>HYPERLINK("http://vk.com/id564882186")</f>
        <v>http://vk.com/id564882186</v>
      </c>
      <c r="K2786">
        <v>175</v>
      </c>
      <c r="L2786" t="s">
        <v>151</v>
      </c>
      <c r="M2786">
        <v>28</v>
      </c>
      <c r="N2786" t="s">
        <v>122</v>
      </c>
      <c r="O2786" t="s">
        <v>160</v>
      </c>
      <c r="P2786" t="str">
        <f>HYPERLINK("http://vk.com/club61101621")</f>
        <v>http://vk.com/club61101621</v>
      </c>
      <c r="Q2786">
        <v>21119</v>
      </c>
      <c r="R2786" t="s">
        <v>124</v>
      </c>
      <c r="S2786" t="s">
        <v>125</v>
      </c>
      <c r="T2786" t="s">
        <v>169</v>
      </c>
      <c r="U2786" t="s">
        <v>169</v>
      </c>
      <c r="W2786">
        <v>0</v>
      </c>
      <c r="X2786">
        <v>0</v>
      </c>
      <c r="AM2786" t="s">
        <v>129</v>
      </c>
      <c r="AN2786" t="s">
        <v>130</v>
      </c>
      <c r="AP2786" t="s">
        <v>41</v>
      </c>
      <c r="AU2786" t="s">
        <v>46</v>
      </c>
      <c r="AZ2786" t="s">
        <v>51</v>
      </c>
      <c r="BA2786" t="s">
        <v>52</v>
      </c>
    </row>
    <row r="2787" spans="1:77" x14ac:dyDescent="0.2">
      <c r="A2787" t="s">
        <v>9507</v>
      </c>
      <c r="B2787" t="s">
        <v>1733</v>
      </c>
      <c r="C2787" t="s">
        <v>9499</v>
      </c>
      <c r="D2787" t="s">
        <v>5773</v>
      </c>
      <c r="E2787" t="s">
        <v>9706</v>
      </c>
      <c r="F2787" t="s">
        <v>180</v>
      </c>
      <c r="G2787" t="str">
        <f>HYPERLINK("https://market.yandex.ru/product/902901982/reviews?id=134261843")</f>
        <v>https://market.yandex.ru/product/902901982/reviews?id=134261843</v>
      </c>
      <c r="H2787" t="s">
        <v>181</v>
      </c>
      <c r="I2787" t="s">
        <v>9707</v>
      </c>
      <c r="J2787" t="str">
        <f>HYPERLINK("https://market.yandex.ru/user/yqmdba4u2bnc9pp4p9vzd5dbbc/reviews")</f>
        <v>https://market.yandex.ru/user/yqmdba4u2bnc9pp4p9vzd5dbbc/reviews</v>
      </c>
      <c r="L2787" t="s">
        <v>121</v>
      </c>
      <c r="N2787" t="s">
        <v>611</v>
      </c>
      <c r="O2787" t="s">
        <v>5773</v>
      </c>
      <c r="P2787" t="str">
        <f>HYPERLINK("https://market.yandex.ru/product/902901982")</f>
        <v>https://market.yandex.ru/product/902901982</v>
      </c>
      <c r="R2787" t="s">
        <v>184</v>
      </c>
      <c r="S2787" t="s">
        <v>125</v>
      </c>
      <c r="T2787" t="s">
        <v>169</v>
      </c>
      <c r="U2787" t="s">
        <v>169</v>
      </c>
      <c r="W2787">
        <v>0</v>
      </c>
      <c r="X2787">
        <v>0</v>
      </c>
      <c r="AH2787">
        <v>5</v>
      </c>
      <c r="AM2787" t="s">
        <v>129</v>
      </c>
      <c r="AN2787" t="s">
        <v>130</v>
      </c>
      <c r="AP2787" t="s">
        <v>41</v>
      </c>
      <c r="AZ2787" t="s">
        <v>51</v>
      </c>
      <c r="BA2787" t="s">
        <v>52</v>
      </c>
      <c r="BK2787" t="s">
        <v>62</v>
      </c>
    </row>
    <row r="2788" spans="1:77" x14ac:dyDescent="0.2">
      <c r="A2788" t="s">
        <v>9507</v>
      </c>
      <c r="B2788" t="s">
        <v>635</v>
      </c>
      <c r="C2788" t="s">
        <v>9708</v>
      </c>
      <c r="D2788" t="s">
        <v>9709</v>
      </c>
      <c r="E2788" t="s">
        <v>9710</v>
      </c>
      <c r="F2788" t="s">
        <v>118</v>
      </c>
      <c r="G2788" t="str">
        <f>HYPERLINK("https://telegram.me/kladovka100/19462")</f>
        <v>https://telegram.me/kladovka100/19462</v>
      </c>
      <c r="H2788" t="s">
        <v>119</v>
      </c>
      <c r="I2788" t="s">
        <v>9362</v>
      </c>
      <c r="J2788" t="str">
        <f>HYPERLINK("https://telegram.me/groupanonymousbot")</f>
        <v>https://telegram.me/groupanonymousbot</v>
      </c>
      <c r="N2788" t="s">
        <v>143</v>
      </c>
      <c r="O2788" t="s">
        <v>9711</v>
      </c>
      <c r="P2788" t="str">
        <f>HYPERLINK("https://telegram.me/kladovka100")</f>
        <v>https://telegram.me/kladovka100</v>
      </c>
      <c r="Q2788">
        <v>201</v>
      </c>
      <c r="R2788" t="s">
        <v>145</v>
      </c>
      <c r="AM2788" t="s">
        <v>129</v>
      </c>
      <c r="AN2788" t="s">
        <v>130</v>
      </c>
      <c r="AP2788" t="s">
        <v>41</v>
      </c>
      <c r="AZ2788" t="s">
        <v>51</v>
      </c>
      <c r="BA2788" t="s">
        <v>52</v>
      </c>
      <c r="BM2788" t="s">
        <v>64</v>
      </c>
    </row>
    <row r="2789" spans="1:77" x14ac:dyDescent="0.2">
      <c r="A2789" t="s">
        <v>9507</v>
      </c>
      <c r="B2789" t="s">
        <v>9712</v>
      </c>
      <c r="C2789" t="s">
        <v>9713</v>
      </c>
      <c r="D2789" t="s">
        <v>129</v>
      </c>
      <c r="E2789" t="s">
        <v>9714</v>
      </c>
      <c r="F2789" t="s">
        <v>3653</v>
      </c>
      <c r="G2789" t="str">
        <f>HYPERLINK("https://twitter.com/1218848898518863874/status/1413402740185837570")</f>
        <v>https://twitter.com/1218848898518863874/status/1413402740185837570</v>
      </c>
      <c r="H2789" t="s">
        <v>119</v>
      </c>
      <c r="I2789" t="s">
        <v>9715</v>
      </c>
      <c r="J2789" t="str">
        <f>HYPERLINK("http://twitter.com/mint___ttt")</f>
        <v>http://twitter.com/mint___ttt</v>
      </c>
      <c r="K2789">
        <v>1648</v>
      </c>
      <c r="N2789" t="s">
        <v>350</v>
      </c>
      <c r="R2789" t="s">
        <v>124</v>
      </c>
      <c r="W2789">
        <v>4</v>
      </c>
      <c r="X2789">
        <v>4</v>
      </c>
      <c r="AE2789">
        <v>0</v>
      </c>
      <c r="AF2789">
        <v>0</v>
      </c>
      <c r="AJ2789" t="s">
        <v>588</v>
      </c>
      <c r="AK2789" t="s">
        <v>876</v>
      </c>
      <c r="AL2789" t="str">
        <f>HYPERLINK("https://pbs.twimg.com/media/E51qFzzXsAIBdXo.jpg")</f>
        <v>https://pbs.twimg.com/media/E51qFzzXsAIBdXo.jpg</v>
      </c>
      <c r="AM2789" t="s">
        <v>129</v>
      </c>
      <c r="AN2789" t="s">
        <v>130</v>
      </c>
      <c r="AP2789" t="s">
        <v>41</v>
      </c>
      <c r="AU2789" t="s">
        <v>46</v>
      </c>
      <c r="AZ2789" t="s">
        <v>51</v>
      </c>
      <c r="BA2789" t="s">
        <v>52</v>
      </c>
    </row>
    <row r="2790" spans="1:77" x14ac:dyDescent="0.2">
      <c r="A2790" t="s">
        <v>9507</v>
      </c>
      <c r="B2790" t="s">
        <v>644</v>
      </c>
      <c r="C2790" t="s">
        <v>9708</v>
      </c>
      <c r="D2790" t="s">
        <v>9716</v>
      </c>
      <c r="E2790" t="s">
        <v>9717</v>
      </c>
      <c r="F2790" t="s">
        <v>118</v>
      </c>
      <c r="G2790" t="str">
        <f>HYPERLINK("https://telegram.me/kladovka100/19461")</f>
        <v>https://telegram.me/kladovka100/19461</v>
      </c>
      <c r="H2790" t="s">
        <v>119</v>
      </c>
      <c r="I2790" t="s">
        <v>9718</v>
      </c>
      <c r="J2790" t="str">
        <f>HYPERLINK("https://telegram.me/506394507")</f>
        <v>https://telegram.me/506394507</v>
      </c>
      <c r="L2790" t="s">
        <v>121</v>
      </c>
      <c r="N2790" t="s">
        <v>143</v>
      </c>
      <c r="O2790" t="s">
        <v>9711</v>
      </c>
      <c r="P2790" t="str">
        <f>HYPERLINK("https://telegram.me/kladovka100")</f>
        <v>https://telegram.me/kladovka100</v>
      </c>
      <c r="Q2790">
        <v>201</v>
      </c>
      <c r="R2790" t="s">
        <v>145</v>
      </c>
      <c r="AM2790" t="s">
        <v>129</v>
      </c>
      <c r="AN2790" t="s">
        <v>130</v>
      </c>
      <c r="AP2790" t="s">
        <v>41</v>
      </c>
      <c r="AT2790" t="s">
        <v>45</v>
      </c>
      <c r="AW2790" t="s">
        <v>48</v>
      </c>
      <c r="AY2790" t="s">
        <v>50</v>
      </c>
      <c r="AZ2790" t="s">
        <v>51</v>
      </c>
      <c r="BB2790" t="s">
        <v>53</v>
      </c>
      <c r="BM2790" t="s">
        <v>64</v>
      </c>
    </row>
    <row r="2791" spans="1:77" x14ac:dyDescent="0.2">
      <c r="A2791" t="s">
        <v>9507</v>
      </c>
      <c r="B2791" t="s">
        <v>662</v>
      </c>
      <c r="C2791" t="s">
        <v>9719</v>
      </c>
      <c r="D2791" t="s">
        <v>567</v>
      </c>
      <c r="E2791" t="s">
        <v>9720</v>
      </c>
      <c r="F2791" t="s">
        <v>118</v>
      </c>
      <c r="G2791" t="str">
        <f>HYPERLINK("https://vk.com/topic-27863223_35936941?post=115845")</f>
        <v>https://vk.com/topic-27863223_35936941?post=115845</v>
      </c>
      <c r="H2791" t="s">
        <v>119</v>
      </c>
      <c r="I2791" t="s">
        <v>9721</v>
      </c>
      <c r="J2791" t="str">
        <f>HYPERLINK("http://vk.com/id290422266")</f>
        <v>http://vk.com/id290422266</v>
      </c>
      <c r="K2791">
        <v>1202</v>
      </c>
      <c r="L2791" t="s">
        <v>121</v>
      </c>
      <c r="M2791">
        <v>37</v>
      </c>
      <c r="N2791" t="s">
        <v>122</v>
      </c>
      <c r="O2791" t="s">
        <v>175</v>
      </c>
      <c r="P2791" t="str">
        <f>HYPERLINK("http://vk.com/club27863223")</f>
        <v>http://vk.com/club27863223</v>
      </c>
      <c r="Q2791">
        <v>134698</v>
      </c>
      <c r="R2791" t="s">
        <v>124</v>
      </c>
      <c r="S2791" t="s">
        <v>125</v>
      </c>
      <c r="T2791" t="s">
        <v>137</v>
      </c>
      <c r="U2791" t="s">
        <v>137</v>
      </c>
      <c r="AM2791" t="s">
        <v>129</v>
      </c>
      <c r="AN2791" t="s">
        <v>130</v>
      </c>
      <c r="AP2791" t="s">
        <v>41</v>
      </c>
      <c r="AT2791" t="s">
        <v>45</v>
      </c>
      <c r="AU2791" t="s">
        <v>46</v>
      </c>
      <c r="BA2791" t="s">
        <v>52</v>
      </c>
      <c r="BE2791" t="s">
        <v>56</v>
      </c>
      <c r="BL2791" t="s">
        <v>63</v>
      </c>
      <c r="BY2791" t="s">
        <v>76</v>
      </c>
    </row>
    <row r="2792" spans="1:77" x14ac:dyDescent="0.2">
      <c r="A2792" t="s">
        <v>9507</v>
      </c>
      <c r="B2792" t="s">
        <v>1758</v>
      </c>
      <c r="C2792" t="s">
        <v>9722</v>
      </c>
      <c r="D2792" t="s">
        <v>129</v>
      </c>
      <c r="E2792" t="s">
        <v>9723</v>
      </c>
      <c r="F2792" t="s">
        <v>2808</v>
      </c>
      <c r="G2792" t="str">
        <f>HYPERLINK("https://vk.com/wall-152177279_4553")</f>
        <v>https://vk.com/wall-152177279_4553</v>
      </c>
      <c r="H2792" t="s">
        <v>119</v>
      </c>
      <c r="I2792" t="s">
        <v>9724</v>
      </c>
      <c r="J2792" t="str">
        <f>HYPERLINK("http://vk.com/club152177279")</f>
        <v>http://vk.com/club152177279</v>
      </c>
      <c r="K2792">
        <v>46</v>
      </c>
      <c r="L2792" t="s">
        <v>340</v>
      </c>
      <c r="N2792" t="s">
        <v>122</v>
      </c>
      <c r="O2792" t="s">
        <v>9724</v>
      </c>
      <c r="P2792" t="str">
        <f>HYPERLINK("http://vk.com/club152177279")</f>
        <v>http://vk.com/club152177279</v>
      </c>
      <c r="Q2792">
        <v>46</v>
      </c>
      <c r="R2792" t="s">
        <v>124</v>
      </c>
      <c r="S2792" t="s">
        <v>125</v>
      </c>
      <c r="T2792" t="s">
        <v>570</v>
      </c>
      <c r="U2792" t="s">
        <v>9725</v>
      </c>
      <c r="W2792">
        <v>0</v>
      </c>
      <c r="X2792">
        <v>0</v>
      </c>
      <c r="AE2792">
        <v>0</v>
      </c>
      <c r="AF2792">
        <v>0</v>
      </c>
      <c r="AG2792">
        <v>1</v>
      </c>
      <c r="AM2792" t="s">
        <v>129</v>
      </c>
      <c r="AN2792" t="s">
        <v>130</v>
      </c>
      <c r="AP2792" t="s">
        <v>41</v>
      </c>
      <c r="AT2792" t="s">
        <v>45</v>
      </c>
      <c r="AW2792" t="s">
        <v>48</v>
      </c>
      <c r="AY2792" t="s">
        <v>50</v>
      </c>
      <c r="AZ2792" t="s">
        <v>51</v>
      </c>
      <c r="BB2792" t="s">
        <v>53</v>
      </c>
      <c r="BM2792" t="s">
        <v>64</v>
      </c>
    </row>
    <row r="2793" spans="1:77" x14ac:dyDescent="0.2">
      <c r="A2793" t="s">
        <v>9507</v>
      </c>
      <c r="B2793" t="s">
        <v>2754</v>
      </c>
      <c r="C2793" t="s">
        <v>9726</v>
      </c>
      <c r="D2793" t="s">
        <v>9727</v>
      </c>
      <c r="E2793" t="s">
        <v>9728</v>
      </c>
      <c r="F2793" t="s">
        <v>118</v>
      </c>
      <c r="G2793" t="str">
        <f>HYPERLINK("https://vk.com/wall-196241704_5660?reply=5685&amp;thread=5669")</f>
        <v>https://vk.com/wall-196241704_5660?reply=5685&amp;thread=5669</v>
      </c>
      <c r="H2793" t="s">
        <v>181</v>
      </c>
      <c r="I2793" t="s">
        <v>9729</v>
      </c>
      <c r="J2793" t="str">
        <f>HYPERLINK("http://vk.com/id253230615")</f>
        <v>http://vk.com/id253230615</v>
      </c>
      <c r="K2793">
        <v>1314</v>
      </c>
      <c r="L2793" t="s">
        <v>121</v>
      </c>
      <c r="M2793">
        <v>46</v>
      </c>
      <c r="N2793" t="s">
        <v>122</v>
      </c>
      <c r="O2793" t="s">
        <v>6911</v>
      </c>
      <c r="P2793" t="str">
        <f>HYPERLINK("http://vk.com/club196241704")</f>
        <v>http://vk.com/club196241704</v>
      </c>
      <c r="Q2793">
        <v>2119</v>
      </c>
      <c r="R2793" t="s">
        <v>124</v>
      </c>
      <c r="S2793" t="s">
        <v>125</v>
      </c>
      <c r="T2793" t="s">
        <v>759</v>
      </c>
      <c r="U2793" t="s">
        <v>2080</v>
      </c>
      <c r="AM2793" t="s">
        <v>129</v>
      </c>
      <c r="AN2793" t="s">
        <v>130</v>
      </c>
      <c r="AP2793" t="s">
        <v>41</v>
      </c>
      <c r="AY2793" t="s">
        <v>50</v>
      </c>
      <c r="AZ2793" t="s">
        <v>51</v>
      </c>
      <c r="BA2793" t="s">
        <v>52</v>
      </c>
    </row>
    <row r="2794" spans="1:77" x14ac:dyDescent="0.2">
      <c r="A2794" t="s">
        <v>9507</v>
      </c>
      <c r="B2794" t="s">
        <v>2184</v>
      </c>
      <c r="C2794" t="s">
        <v>9730</v>
      </c>
      <c r="D2794" t="s">
        <v>922</v>
      </c>
      <c r="E2794" t="s">
        <v>9731</v>
      </c>
      <c r="F2794" t="s">
        <v>180</v>
      </c>
      <c r="G2794" t="str">
        <f>HYPERLINK("https://www.wildberries.ru/catalog/21220605/detail.aspx?targetUrl=ES#Comments")</f>
        <v>https://www.wildberries.ru/catalog/21220605/detail.aspx?targetUrl=ES#Comments</v>
      </c>
      <c r="H2794" t="s">
        <v>181</v>
      </c>
      <c r="I2794" t="s">
        <v>3159</v>
      </c>
      <c r="J2794" t="str">
        <f>HYPERLINK("https://www.wildberries.ru/profile/w7TDssOkw7PCu8K1wrfCs8K0wrHCt8Kxwrk=")</f>
        <v>https://www.wildberries.ru/profile/w7TDssOkw7PCu8K1wrfCs8K0wrHCt8Kxwrk=</v>
      </c>
      <c r="L2794" t="s">
        <v>121</v>
      </c>
      <c r="N2794" t="s">
        <v>534</v>
      </c>
      <c r="O2794" t="s">
        <v>922</v>
      </c>
      <c r="P2794" t="str">
        <f>HYPERLINK("https://www.wildberries.ru/catalog/15142010/detail.aspx")</f>
        <v>https://www.wildberries.ru/catalog/15142010/detail.aspx</v>
      </c>
      <c r="R2794" t="s">
        <v>184</v>
      </c>
      <c r="S2794" t="s">
        <v>125</v>
      </c>
      <c r="W2794">
        <v>0</v>
      </c>
      <c r="X2794">
        <v>0</v>
      </c>
      <c r="AH2794">
        <v>5</v>
      </c>
      <c r="AM2794" t="s">
        <v>129</v>
      </c>
      <c r="AN2794" t="s">
        <v>130</v>
      </c>
      <c r="AP2794" t="s">
        <v>41</v>
      </c>
      <c r="AZ2794" t="s">
        <v>51</v>
      </c>
      <c r="BA2794" t="s">
        <v>52</v>
      </c>
      <c r="BK2794" t="s">
        <v>62</v>
      </c>
      <c r="BL2794" t="s">
        <v>63</v>
      </c>
    </row>
    <row r="2795" spans="1:77" x14ac:dyDescent="0.2">
      <c r="A2795" t="s">
        <v>9507</v>
      </c>
      <c r="B2795" t="s">
        <v>2190</v>
      </c>
      <c r="C2795" t="s">
        <v>9732</v>
      </c>
      <c r="D2795" t="s">
        <v>9143</v>
      </c>
      <c r="E2795" t="s">
        <v>9733</v>
      </c>
      <c r="F2795" t="s">
        <v>118</v>
      </c>
      <c r="G2795" t="str">
        <f>HYPERLINK("https://vk.com/wall-41485889_769288?reply=769758&amp;thread=769418")</f>
        <v>https://vk.com/wall-41485889_769288?reply=769758&amp;thread=769418</v>
      </c>
      <c r="H2795" t="s">
        <v>181</v>
      </c>
      <c r="I2795" t="s">
        <v>9734</v>
      </c>
      <c r="J2795" t="str">
        <f>HYPERLINK("http://vk.com/id236114098")</f>
        <v>http://vk.com/id236114098</v>
      </c>
      <c r="K2795">
        <v>142</v>
      </c>
      <c r="L2795" t="s">
        <v>121</v>
      </c>
      <c r="N2795" t="s">
        <v>122</v>
      </c>
      <c r="O2795" t="s">
        <v>9146</v>
      </c>
      <c r="P2795" t="str">
        <f>HYPERLINK("http://vk.com/club41485889")</f>
        <v>http://vk.com/club41485889</v>
      </c>
      <c r="Q2795">
        <v>608853</v>
      </c>
      <c r="R2795" t="s">
        <v>124</v>
      </c>
      <c r="S2795" t="s">
        <v>125</v>
      </c>
      <c r="T2795" t="s">
        <v>137</v>
      </c>
      <c r="U2795" t="s">
        <v>137</v>
      </c>
      <c r="AM2795" t="s">
        <v>129</v>
      </c>
      <c r="AN2795" t="s">
        <v>130</v>
      </c>
      <c r="AP2795" t="s">
        <v>41</v>
      </c>
      <c r="AZ2795" t="s">
        <v>51</v>
      </c>
      <c r="BB2795" t="s">
        <v>53</v>
      </c>
    </row>
    <row r="2796" spans="1:77" x14ac:dyDescent="0.2">
      <c r="A2796" t="s">
        <v>9507</v>
      </c>
      <c r="B2796" t="s">
        <v>675</v>
      </c>
      <c r="C2796" t="s">
        <v>9735</v>
      </c>
      <c r="D2796" t="s">
        <v>9143</v>
      </c>
      <c r="E2796" t="s">
        <v>9736</v>
      </c>
      <c r="F2796" t="s">
        <v>118</v>
      </c>
      <c r="G2796" t="str">
        <f>HYPERLINK("https://vk.com/wall-41485889_769288?reply=769754&amp;thread=769418")</f>
        <v>https://vk.com/wall-41485889_769288?reply=769754&amp;thread=769418</v>
      </c>
      <c r="H2796" t="s">
        <v>181</v>
      </c>
      <c r="I2796" t="s">
        <v>9734</v>
      </c>
      <c r="J2796" t="str">
        <f>HYPERLINK("http://vk.com/id236114098")</f>
        <v>http://vk.com/id236114098</v>
      </c>
      <c r="K2796">
        <v>142</v>
      </c>
      <c r="L2796" t="s">
        <v>121</v>
      </c>
      <c r="N2796" t="s">
        <v>122</v>
      </c>
      <c r="O2796" t="s">
        <v>9146</v>
      </c>
      <c r="P2796" t="str">
        <f>HYPERLINK("http://vk.com/club41485889")</f>
        <v>http://vk.com/club41485889</v>
      </c>
      <c r="Q2796">
        <v>608853</v>
      </c>
      <c r="R2796" t="s">
        <v>124</v>
      </c>
      <c r="S2796" t="s">
        <v>125</v>
      </c>
      <c r="T2796" t="s">
        <v>137</v>
      </c>
      <c r="U2796" t="s">
        <v>137</v>
      </c>
      <c r="AM2796" t="s">
        <v>129</v>
      </c>
      <c r="AN2796" t="s">
        <v>130</v>
      </c>
      <c r="AP2796" t="s">
        <v>41</v>
      </c>
      <c r="AT2796" t="s">
        <v>45</v>
      </c>
      <c r="AW2796" t="s">
        <v>48</v>
      </c>
      <c r="AY2796" t="s">
        <v>50</v>
      </c>
      <c r="AZ2796" t="s">
        <v>51</v>
      </c>
      <c r="BB2796" t="s">
        <v>53</v>
      </c>
    </row>
    <row r="2797" spans="1:77" x14ac:dyDescent="0.2">
      <c r="A2797" t="s">
        <v>9507</v>
      </c>
      <c r="B2797" t="s">
        <v>9737</v>
      </c>
      <c r="C2797" t="s">
        <v>9738</v>
      </c>
      <c r="D2797" t="s">
        <v>8311</v>
      </c>
      <c r="E2797" t="s">
        <v>9739</v>
      </c>
      <c r="F2797" t="s">
        <v>118</v>
      </c>
      <c r="G2797" t="str">
        <f>HYPERLINK("https://vk.com/wall-61354357_78030?reply=78036")</f>
        <v>https://vk.com/wall-61354357_78030?reply=78036</v>
      </c>
      <c r="H2797" t="s">
        <v>119</v>
      </c>
      <c r="I2797" t="s">
        <v>4353</v>
      </c>
      <c r="J2797" t="str">
        <f>HYPERLINK("http://vk.com/id172759424")</f>
        <v>http://vk.com/id172759424</v>
      </c>
      <c r="K2797">
        <v>952</v>
      </c>
      <c r="L2797" t="s">
        <v>121</v>
      </c>
      <c r="M2797">
        <v>41</v>
      </c>
      <c r="N2797" t="s">
        <v>122</v>
      </c>
      <c r="O2797" t="s">
        <v>8314</v>
      </c>
      <c r="P2797" t="str">
        <f>HYPERLINK("http://vk.com/club61354357")</f>
        <v>http://vk.com/club61354357</v>
      </c>
      <c r="Q2797">
        <v>10947</v>
      </c>
      <c r="R2797" t="s">
        <v>124</v>
      </c>
      <c r="S2797" t="s">
        <v>125</v>
      </c>
      <c r="T2797" t="s">
        <v>1283</v>
      </c>
      <c r="U2797" t="s">
        <v>4354</v>
      </c>
      <c r="AM2797" t="s">
        <v>129</v>
      </c>
      <c r="AN2797" t="s">
        <v>130</v>
      </c>
      <c r="AP2797" t="s">
        <v>41</v>
      </c>
      <c r="AT2797" t="s">
        <v>45</v>
      </c>
      <c r="AW2797" t="s">
        <v>48</v>
      </c>
      <c r="AZ2797" t="s">
        <v>51</v>
      </c>
      <c r="BA2797" t="s">
        <v>52</v>
      </c>
      <c r="BL2797" t="s">
        <v>63</v>
      </c>
      <c r="BM2797" t="s">
        <v>64</v>
      </c>
    </row>
    <row r="2798" spans="1:77" x14ac:dyDescent="0.2">
      <c r="A2798" t="s">
        <v>9507</v>
      </c>
      <c r="B2798" t="s">
        <v>9740</v>
      </c>
      <c r="C2798" t="s">
        <v>9741</v>
      </c>
      <c r="D2798" t="s">
        <v>204</v>
      </c>
      <c r="E2798" t="s">
        <v>9742</v>
      </c>
      <c r="F2798" t="s">
        <v>180</v>
      </c>
      <c r="G2798" t="str">
        <f>HYPERLINK("https://play.google.com/store/apps/details?id=ru.iflex.android.a3colortv&amp;reviewId=gp:AOqpTOGVC7eJGSFKE5ztGQhvUmmaAdBZXaMhZcggJYCkU2VTKHVQzNw0xbdmI6yNvp1cxWGc0M0mMfmc1jhELQ")</f>
        <v>https://play.google.com/store/apps/details?id=ru.iflex.android.a3colortv&amp;reviewId=gp:AOqpTOGVC7eJGSFKE5ztGQhvUmmaAdBZXaMhZcggJYCkU2VTKHVQzNw0xbdmI6yNvp1cxWGc0M0mMfmc1jhELQ</v>
      </c>
      <c r="H2798" t="s">
        <v>181</v>
      </c>
      <c r="I2798" t="s">
        <v>7062</v>
      </c>
      <c r="J2798" t="str">
        <f>HYPERLINK("https://plus.google.com/101413774559532925920")</f>
        <v>https://plus.google.com/101413774559532925920</v>
      </c>
      <c r="L2798" t="s">
        <v>121</v>
      </c>
      <c r="N2798" t="s">
        <v>207</v>
      </c>
      <c r="O2798" t="s">
        <v>204</v>
      </c>
      <c r="P2798" t="str">
        <f>HYPERLINK("https://play.google.com/store/apps/details?id=ru.iflex.android.a3colortv&amp;hl=ru")</f>
        <v>https://play.google.com/store/apps/details?id=ru.iflex.android.a3colortv&amp;hl=ru</v>
      </c>
      <c r="R2798" t="s">
        <v>184</v>
      </c>
      <c r="S2798" t="s">
        <v>125</v>
      </c>
      <c r="W2798">
        <v>0</v>
      </c>
      <c r="X2798">
        <v>0</v>
      </c>
      <c r="AH2798">
        <v>5</v>
      </c>
      <c r="AM2798" t="s">
        <v>129</v>
      </c>
      <c r="AN2798" t="s">
        <v>130</v>
      </c>
      <c r="AP2798" t="s">
        <v>41</v>
      </c>
      <c r="AZ2798" t="s">
        <v>51</v>
      </c>
      <c r="BA2798" t="s">
        <v>52</v>
      </c>
      <c r="BP2798" t="s">
        <v>67</v>
      </c>
      <c r="BQ2798" t="s">
        <v>68</v>
      </c>
    </row>
    <row r="2799" spans="1:77" x14ac:dyDescent="0.2">
      <c r="A2799" t="s">
        <v>9507</v>
      </c>
      <c r="B2799" t="s">
        <v>9743</v>
      </c>
      <c r="C2799" t="s">
        <v>9499</v>
      </c>
      <c r="D2799" t="s">
        <v>5773</v>
      </c>
      <c r="E2799" t="s">
        <v>9744</v>
      </c>
      <c r="F2799" t="s">
        <v>180</v>
      </c>
      <c r="G2799" t="str">
        <f>HYPERLINK("https://market.yandex.ru/product/902901982/reviews?id=134255275")</f>
        <v>https://market.yandex.ru/product/902901982/reviews?id=134255275</v>
      </c>
      <c r="H2799" t="s">
        <v>181</v>
      </c>
      <c r="I2799" t="s">
        <v>9745</v>
      </c>
      <c r="J2799" t="str">
        <f>HYPERLINK("https://market.yandex.ru/user/uf8j4jfvna4yfqfham4qqc67hm/reviews")</f>
        <v>https://market.yandex.ru/user/uf8j4jfvna4yfqfham4qqc67hm/reviews</v>
      </c>
      <c r="N2799" t="s">
        <v>611</v>
      </c>
      <c r="O2799" t="s">
        <v>5773</v>
      </c>
      <c r="P2799" t="str">
        <f>HYPERLINK("https://market.yandex.ru/product/902901982")</f>
        <v>https://market.yandex.ru/product/902901982</v>
      </c>
      <c r="R2799" t="s">
        <v>184</v>
      </c>
      <c r="S2799" t="s">
        <v>125</v>
      </c>
      <c r="T2799" t="s">
        <v>169</v>
      </c>
      <c r="U2799" t="s">
        <v>169</v>
      </c>
      <c r="W2799">
        <v>0</v>
      </c>
      <c r="X2799">
        <v>0</v>
      </c>
      <c r="AH2799">
        <v>5</v>
      </c>
      <c r="AM2799" t="s">
        <v>129</v>
      </c>
      <c r="AN2799" t="s">
        <v>130</v>
      </c>
      <c r="AP2799" t="s">
        <v>41</v>
      </c>
      <c r="AZ2799" t="s">
        <v>51</v>
      </c>
      <c r="BA2799" t="s">
        <v>52</v>
      </c>
      <c r="BK2799" t="s">
        <v>62</v>
      </c>
    </row>
    <row r="2800" spans="1:77" x14ac:dyDescent="0.2">
      <c r="A2800" t="s">
        <v>9507</v>
      </c>
      <c r="B2800" t="s">
        <v>2817</v>
      </c>
      <c r="C2800" t="s">
        <v>9746</v>
      </c>
      <c r="D2800" t="s">
        <v>8311</v>
      </c>
      <c r="E2800" t="s">
        <v>9747</v>
      </c>
      <c r="F2800" t="s">
        <v>118</v>
      </c>
      <c r="G2800" t="str">
        <f>HYPERLINK("https://vk.com/wall-61354357_78030?reply=78035")</f>
        <v>https://vk.com/wall-61354357_78030?reply=78035</v>
      </c>
      <c r="H2800" t="s">
        <v>119</v>
      </c>
      <c r="I2800" t="s">
        <v>9748</v>
      </c>
      <c r="J2800" t="str">
        <f>HYPERLINK("http://vk.com/id246666824")</f>
        <v>http://vk.com/id246666824</v>
      </c>
      <c r="K2800">
        <v>324</v>
      </c>
      <c r="L2800" t="s">
        <v>151</v>
      </c>
      <c r="N2800" t="s">
        <v>122</v>
      </c>
      <c r="O2800" t="s">
        <v>8314</v>
      </c>
      <c r="P2800" t="str">
        <f>HYPERLINK("http://vk.com/club61354357")</f>
        <v>http://vk.com/club61354357</v>
      </c>
      <c r="Q2800">
        <v>10947</v>
      </c>
      <c r="R2800" t="s">
        <v>124</v>
      </c>
      <c r="S2800" t="s">
        <v>125</v>
      </c>
      <c r="T2800" t="s">
        <v>1283</v>
      </c>
      <c r="U2800" t="s">
        <v>3811</v>
      </c>
      <c r="AM2800" t="s">
        <v>129</v>
      </c>
      <c r="AN2800" t="s">
        <v>130</v>
      </c>
      <c r="AP2800" t="s">
        <v>41</v>
      </c>
      <c r="AY2800" t="s">
        <v>50</v>
      </c>
      <c r="AZ2800" t="s">
        <v>51</v>
      </c>
      <c r="BA2800" t="s">
        <v>52</v>
      </c>
    </row>
    <row r="2801" spans="1:69" x14ac:dyDescent="0.2">
      <c r="A2801" t="s">
        <v>9507</v>
      </c>
      <c r="B2801" t="s">
        <v>3256</v>
      </c>
      <c r="C2801" t="s">
        <v>9749</v>
      </c>
      <c r="D2801" t="s">
        <v>1697</v>
      </c>
      <c r="E2801" t="s">
        <v>9750</v>
      </c>
      <c r="F2801" t="s">
        <v>180</v>
      </c>
      <c r="G2801" t="str">
        <f>HYPERLINK("https://apps.apple.com/ru/app/мой-триколор/id1204321194#7555727573")</f>
        <v>https://apps.apple.com/ru/app/мой-триколор/id1204321194#7555727573</v>
      </c>
      <c r="H2801" t="s">
        <v>228</v>
      </c>
      <c r="I2801" t="s">
        <v>9751</v>
      </c>
      <c r="J2801" t="str">
        <f>HYPERLINK("https://itunes.apple.com/reviews?userProfileId=627283352")</f>
        <v>https://itunes.apple.com/reviews?userProfileId=627283352</v>
      </c>
      <c r="N2801" t="s">
        <v>1411</v>
      </c>
      <c r="O2801" t="s">
        <v>1697</v>
      </c>
      <c r="P2801" t="str">
        <f>HYPERLINK("https://apps.apple.com/ru/app/мой-триколор/id1204321194")</f>
        <v>https://apps.apple.com/ru/app/мой-триколор/id1204321194</v>
      </c>
      <c r="R2801" t="s">
        <v>184</v>
      </c>
      <c r="S2801" t="s">
        <v>125</v>
      </c>
      <c r="AH2801">
        <v>1</v>
      </c>
      <c r="AM2801" t="s">
        <v>129</v>
      </c>
      <c r="AN2801" t="s">
        <v>130</v>
      </c>
      <c r="AP2801" t="s">
        <v>41</v>
      </c>
      <c r="AU2801" t="s">
        <v>46</v>
      </c>
      <c r="AZ2801" t="s">
        <v>51</v>
      </c>
      <c r="BA2801" t="s">
        <v>52</v>
      </c>
      <c r="BQ2801" t="s">
        <v>68</v>
      </c>
    </row>
    <row r="2802" spans="1:69" x14ac:dyDescent="0.2">
      <c r="A2802" t="s">
        <v>9507</v>
      </c>
      <c r="B2802" t="s">
        <v>4914</v>
      </c>
      <c r="C2802" t="s">
        <v>9752</v>
      </c>
      <c r="D2802" t="s">
        <v>8311</v>
      </c>
      <c r="E2802" t="s">
        <v>9753</v>
      </c>
      <c r="F2802" t="s">
        <v>118</v>
      </c>
      <c r="G2802" t="str">
        <f>HYPERLINK("https://vk.com/wall-61354357_78030?reply=78034&amp;thread=78032")</f>
        <v>https://vk.com/wall-61354357_78030?reply=78034&amp;thread=78032</v>
      </c>
      <c r="H2802" t="s">
        <v>119</v>
      </c>
      <c r="I2802" t="s">
        <v>9754</v>
      </c>
      <c r="J2802" t="str">
        <f>HYPERLINK("http://vk.com/id526849579")</f>
        <v>http://vk.com/id526849579</v>
      </c>
      <c r="K2802">
        <v>5</v>
      </c>
      <c r="L2802" t="s">
        <v>151</v>
      </c>
      <c r="N2802" t="s">
        <v>122</v>
      </c>
      <c r="O2802" t="s">
        <v>8314</v>
      </c>
      <c r="P2802" t="str">
        <f>HYPERLINK("http://vk.com/club61354357")</f>
        <v>http://vk.com/club61354357</v>
      </c>
      <c r="Q2802">
        <v>10947</v>
      </c>
      <c r="R2802" t="s">
        <v>124</v>
      </c>
      <c r="S2802" t="s">
        <v>125</v>
      </c>
      <c r="T2802" t="s">
        <v>1283</v>
      </c>
      <c r="U2802" t="s">
        <v>4354</v>
      </c>
      <c r="AM2802" t="s">
        <v>129</v>
      </c>
      <c r="AN2802" t="s">
        <v>130</v>
      </c>
      <c r="AP2802" t="s">
        <v>41</v>
      </c>
      <c r="AT2802" t="s">
        <v>45</v>
      </c>
      <c r="AZ2802" t="s">
        <v>51</v>
      </c>
      <c r="BA2802" t="s">
        <v>52</v>
      </c>
    </row>
    <row r="2803" spans="1:69" x14ac:dyDescent="0.2">
      <c r="A2803" t="s">
        <v>9507</v>
      </c>
      <c r="B2803" t="s">
        <v>3259</v>
      </c>
      <c r="C2803" t="s">
        <v>9755</v>
      </c>
      <c r="D2803" t="s">
        <v>9703</v>
      </c>
      <c r="E2803" t="s">
        <v>9756</v>
      </c>
      <c r="F2803" t="s">
        <v>118</v>
      </c>
      <c r="G2803" t="str">
        <f>HYPERLINK("https://vk.com/wall-61101621_254569?reply=254582&amp;thread=254576")</f>
        <v>https://vk.com/wall-61101621_254569?reply=254582&amp;thread=254576</v>
      </c>
      <c r="H2803" t="s">
        <v>119</v>
      </c>
      <c r="I2803" t="s">
        <v>9757</v>
      </c>
      <c r="J2803" t="str">
        <f>HYPERLINK("http://vk.com/id371173141")</f>
        <v>http://vk.com/id371173141</v>
      </c>
      <c r="K2803">
        <v>5</v>
      </c>
      <c r="L2803" t="s">
        <v>121</v>
      </c>
      <c r="M2803">
        <v>48</v>
      </c>
      <c r="N2803" t="s">
        <v>122</v>
      </c>
      <c r="O2803" t="s">
        <v>160</v>
      </c>
      <c r="P2803" t="str">
        <f>HYPERLINK("http://vk.com/club61101621")</f>
        <v>http://vk.com/club61101621</v>
      </c>
      <c r="Q2803">
        <v>21119</v>
      </c>
      <c r="R2803" t="s">
        <v>124</v>
      </c>
      <c r="S2803" t="s">
        <v>125</v>
      </c>
      <c r="AM2803" t="s">
        <v>129</v>
      </c>
      <c r="AN2803" t="s">
        <v>130</v>
      </c>
      <c r="AP2803" t="s">
        <v>41</v>
      </c>
      <c r="AU2803" t="s">
        <v>46</v>
      </c>
      <c r="AZ2803" t="s">
        <v>51</v>
      </c>
      <c r="BA2803" t="s">
        <v>52</v>
      </c>
    </row>
    <row r="2804" spans="1:69" x14ac:dyDescent="0.2">
      <c r="A2804" t="s">
        <v>9507</v>
      </c>
      <c r="B2804" t="s">
        <v>9458</v>
      </c>
      <c r="C2804" t="s">
        <v>9758</v>
      </c>
      <c r="D2804" t="s">
        <v>9727</v>
      </c>
      <c r="E2804" t="s">
        <v>9759</v>
      </c>
      <c r="F2804" t="s">
        <v>118</v>
      </c>
      <c r="G2804" t="str">
        <f>HYPERLINK("https://vk.com/wall-196241704_5660?reply=5680&amp;thread=5669")</f>
        <v>https://vk.com/wall-196241704_5660?reply=5680&amp;thread=5669</v>
      </c>
      <c r="H2804" t="s">
        <v>119</v>
      </c>
      <c r="I2804" t="s">
        <v>9729</v>
      </c>
      <c r="J2804" t="str">
        <f>HYPERLINK("http://vk.com/id253230615")</f>
        <v>http://vk.com/id253230615</v>
      </c>
      <c r="K2804">
        <v>1314</v>
      </c>
      <c r="L2804" t="s">
        <v>121</v>
      </c>
      <c r="M2804">
        <v>46</v>
      </c>
      <c r="N2804" t="s">
        <v>122</v>
      </c>
      <c r="O2804" t="s">
        <v>6911</v>
      </c>
      <c r="P2804" t="str">
        <f>HYPERLINK("http://vk.com/club196241704")</f>
        <v>http://vk.com/club196241704</v>
      </c>
      <c r="Q2804">
        <v>2119</v>
      </c>
      <c r="R2804" t="s">
        <v>124</v>
      </c>
      <c r="S2804" t="s">
        <v>125</v>
      </c>
      <c r="T2804" t="s">
        <v>759</v>
      </c>
      <c r="U2804" t="s">
        <v>2080</v>
      </c>
      <c r="AM2804" t="s">
        <v>129</v>
      </c>
      <c r="AN2804" t="s">
        <v>130</v>
      </c>
      <c r="AP2804" t="s">
        <v>41</v>
      </c>
      <c r="AU2804" t="s">
        <v>46</v>
      </c>
      <c r="AZ2804" t="s">
        <v>51</v>
      </c>
      <c r="BA2804" t="s">
        <v>52</v>
      </c>
    </row>
    <row r="2805" spans="1:69" x14ac:dyDescent="0.2">
      <c r="A2805" t="s">
        <v>9507</v>
      </c>
      <c r="B2805" t="s">
        <v>6544</v>
      </c>
      <c r="C2805" t="s">
        <v>9760</v>
      </c>
      <c r="D2805" t="s">
        <v>8311</v>
      </c>
      <c r="E2805" t="s">
        <v>9761</v>
      </c>
      <c r="F2805" t="s">
        <v>118</v>
      </c>
      <c r="G2805" t="str">
        <f>HYPERLINK("https://vk.com/wall-61354357_78030?reply=78032")</f>
        <v>https://vk.com/wall-61354357_78030?reply=78032</v>
      </c>
      <c r="H2805" t="s">
        <v>119</v>
      </c>
      <c r="I2805" t="s">
        <v>9762</v>
      </c>
      <c r="J2805" t="str">
        <f>HYPERLINK("http://vk.com/id52366147")</f>
        <v>http://vk.com/id52366147</v>
      </c>
      <c r="K2805">
        <v>267</v>
      </c>
      <c r="L2805" t="s">
        <v>121</v>
      </c>
      <c r="N2805" t="s">
        <v>122</v>
      </c>
      <c r="O2805" t="s">
        <v>8314</v>
      </c>
      <c r="P2805" t="str">
        <f>HYPERLINK("http://vk.com/club61354357")</f>
        <v>http://vk.com/club61354357</v>
      </c>
      <c r="Q2805">
        <v>10947</v>
      </c>
      <c r="R2805" t="s">
        <v>124</v>
      </c>
      <c r="S2805" t="s">
        <v>125</v>
      </c>
      <c r="AM2805" t="s">
        <v>129</v>
      </c>
      <c r="AN2805" t="s">
        <v>130</v>
      </c>
      <c r="AP2805" t="s">
        <v>41</v>
      </c>
      <c r="AT2805" t="s">
        <v>45</v>
      </c>
      <c r="AZ2805" t="s">
        <v>51</v>
      </c>
      <c r="BA2805" t="s">
        <v>52</v>
      </c>
      <c r="BM2805" t="s">
        <v>64</v>
      </c>
    </row>
    <row r="2806" spans="1:69" x14ac:dyDescent="0.2">
      <c r="A2806" t="s">
        <v>9507</v>
      </c>
      <c r="B2806" t="s">
        <v>9763</v>
      </c>
      <c r="C2806" t="s">
        <v>9764</v>
      </c>
      <c r="D2806" t="s">
        <v>8311</v>
      </c>
      <c r="E2806" t="s">
        <v>9765</v>
      </c>
      <c r="F2806" t="s">
        <v>118</v>
      </c>
      <c r="G2806" t="str">
        <f>HYPERLINK("https://vk.com/wall-61354357_78030?reply=78031")</f>
        <v>https://vk.com/wall-61354357_78030?reply=78031</v>
      </c>
      <c r="H2806" t="s">
        <v>119</v>
      </c>
      <c r="I2806" t="s">
        <v>9766</v>
      </c>
      <c r="J2806" t="str">
        <f>HYPERLINK("http://vk.com/id78334294")</f>
        <v>http://vk.com/id78334294</v>
      </c>
      <c r="K2806">
        <v>184</v>
      </c>
      <c r="L2806" t="s">
        <v>121</v>
      </c>
      <c r="N2806" t="s">
        <v>122</v>
      </c>
      <c r="O2806" t="s">
        <v>8314</v>
      </c>
      <c r="P2806" t="str">
        <f>HYPERLINK("http://vk.com/club61354357")</f>
        <v>http://vk.com/club61354357</v>
      </c>
      <c r="Q2806">
        <v>10947</v>
      </c>
      <c r="R2806" t="s">
        <v>124</v>
      </c>
      <c r="S2806" t="s">
        <v>125</v>
      </c>
      <c r="AM2806" t="s">
        <v>129</v>
      </c>
      <c r="AN2806" t="s">
        <v>130</v>
      </c>
      <c r="AP2806" t="s">
        <v>41</v>
      </c>
      <c r="AZ2806" t="s">
        <v>51</v>
      </c>
      <c r="BA2806" t="s">
        <v>52</v>
      </c>
      <c r="BL2806" t="s">
        <v>63</v>
      </c>
    </row>
    <row r="2807" spans="1:69" x14ac:dyDescent="0.2">
      <c r="A2807" t="s">
        <v>9507</v>
      </c>
      <c r="B2807" t="s">
        <v>9767</v>
      </c>
      <c r="C2807" t="s">
        <v>9768</v>
      </c>
      <c r="D2807" t="s">
        <v>129</v>
      </c>
      <c r="E2807" t="s">
        <v>8311</v>
      </c>
      <c r="F2807" t="s">
        <v>180</v>
      </c>
      <c r="G2807" t="str">
        <f>HYPERLINK("https://vk.com/wall-61354357_78030")</f>
        <v>https://vk.com/wall-61354357_78030</v>
      </c>
      <c r="H2807" t="s">
        <v>119</v>
      </c>
      <c r="I2807" t="s">
        <v>8314</v>
      </c>
      <c r="J2807" t="str">
        <f>HYPERLINK("http://vk.com/club61354357")</f>
        <v>http://vk.com/club61354357</v>
      </c>
      <c r="K2807">
        <v>10947</v>
      </c>
      <c r="L2807" t="s">
        <v>340</v>
      </c>
      <c r="N2807" t="s">
        <v>122</v>
      </c>
      <c r="O2807" t="s">
        <v>8314</v>
      </c>
      <c r="P2807" t="str">
        <f>HYPERLINK("http://vk.com/club61354357")</f>
        <v>http://vk.com/club61354357</v>
      </c>
      <c r="Q2807">
        <v>10947</v>
      </c>
      <c r="R2807" t="s">
        <v>124</v>
      </c>
      <c r="S2807" t="s">
        <v>125</v>
      </c>
      <c r="T2807" t="s">
        <v>1283</v>
      </c>
      <c r="U2807" t="s">
        <v>4354</v>
      </c>
      <c r="W2807">
        <v>0</v>
      </c>
      <c r="X2807">
        <v>0</v>
      </c>
      <c r="AE2807">
        <v>14</v>
      </c>
      <c r="AF2807">
        <v>4</v>
      </c>
      <c r="AG2807">
        <v>4862</v>
      </c>
      <c r="AM2807" t="s">
        <v>129</v>
      </c>
      <c r="AN2807" t="s">
        <v>130</v>
      </c>
      <c r="AP2807" t="s">
        <v>41</v>
      </c>
      <c r="AW2807" t="s">
        <v>48</v>
      </c>
      <c r="AZ2807" t="s">
        <v>51</v>
      </c>
      <c r="BA2807" t="s">
        <v>52</v>
      </c>
    </row>
    <row r="2808" spans="1:69" x14ac:dyDescent="0.2">
      <c r="A2808" t="s">
        <v>9507</v>
      </c>
      <c r="B2808" t="s">
        <v>9769</v>
      </c>
      <c r="C2808" t="s">
        <v>9770</v>
      </c>
      <c r="D2808" t="s">
        <v>175</v>
      </c>
      <c r="E2808" t="s">
        <v>9771</v>
      </c>
      <c r="F2808" t="s">
        <v>180</v>
      </c>
      <c r="G2808" t="str">
        <f>HYPERLINK("https://yandex.ru/maps/org/85940685258#jYRMvbwdfTXwanrw2i7juxaj98-bxmMru")</f>
        <v>https://yandex.ru/maps/org/85940685258#jYRMvbwdfTXwanrw2i7juxaj98-bxmMru</v>
      </c>
      <c r="H2808" t="s">
        <v>181</v>
      </c>
      <c r="I2808" t="s">
        <v>9772</v>
      </c>
      <c r="J2808" t="str">
        <f>HYPERLINK("https://yandex.ru/user/xm3puqkf7nqtzjb1yvhgceww8r")</f>
        <v>https://yandex.ru/user/xm3puqkf7nqtzjb1yvhgceww8r</v>
      </c>
      <c r="L2808" t="s">
        <v>121</v>
      </c>
      <c r="N2808" t="s">
        <v>236</v>
      </c>
      <c r="O2808" t="s">
        <v>175</v>
      </c>
      <c r="P2808" t="str">
        <f>HYPERLINK("https://yandex.ru/maps/org/85940685258")</f>
        <v>https://yandex.ru/maps/org/85940685258</v>
      </c>
      <c r="R2808" t="s">
        <v>184</v>
      </c>
      <c r="S2808" t="s">
        <v>125</v>
      </c>
      <c r="T2808" t="s">
        <v>1295</v>
      </c>
      <c r="U2808" t="s">
        <v>9773</v>
      </c>
      <c r="W2808">
        <v>0</v>
      </c>
      <c r="X2808">
        <v>0</v>
      </c>
      <c r="AH2808">
        <v>5</v>
      </c>
      <c r="AM2808" t="s">
        <v>129</v>
      </c>
      <c r="AN2808" t="s">
        <v>130</v>
      </c>
      <c r="AP2808" t="s">
        <v>41</v>
      </c>
      <c r="AX2808" t="s">
        <v>49</v>
      </c>
      <c r="AZ2808" t="s">
        <v>51</v>
      </c>
      <c r="BD2808" t="s">
        <v>55</v>
      </c>
    </row>
    <row r="2809" spans="1:69" x14ac:dyDescent="0.2">
      <c r="A2809" t="s">
        <v>9507</v>
      </c>
      <c r="B2809" t="s">
        <v>5426</v>
      </c>
      <c r="C2809" t="s">
        <v>9647</v>
      </c>
      <c r="D2809" t="s">
        <v>9774</v>
      </c>
      <c r="E2809" t="s">
        <v>9775</v>
      </c>
      <c r="F2809" t="s">
        <v>118</v>
      </c>
      <c r="G2809" t="str">
        <f>HYPERLINK("https://www.youtube.com/watch?v=_diciVijDCU&amp;lc=UgxjUj0DcFE5fmYZWed4AaABAg")</f>
        <v>https://www.youtube.com/watch?v=_diciVijDCU&amp;lc=UgxjUj0DcFE5fmYZWed4AaABAg</v>
      </c>
      <c r="H2809" t="s">
        <v>119</v>
      </c>
      <c r="I2809" t="s">
        <v>9776</v>
      </c>
      <c r="J2809" t="str">
        <f>HYPERLINK("https://www.youtube.com/channel/UCXYpcmCjr8S3k9aV_Kle7Eg")</f>
        <v>https://www.youtube.com/channel/UCXYpcmCjr8S3k9aV_Kle7Eg</v>
      </c>
      <c r="K2809">
        <v>150</v>
      </c>
      <c r="N2809" t="s">
        <v>248</v>
      </c>
      <c r="O2809" t="s">
        <v>9651</v>
      </c>
      <c r="P2809" t="str">
        <f>HYPERLINK("https://www.youtube.com/channel/UC61C1e9F_XXg4TAReTBJhrw")</f>
        <v>https://www.youtube.com/channel/UC61C1e9F_XXg4TAReTBJhrw</v>
      </c>
      <c r="Q2809">
        <v>3310</v>
      </c>
      <c r="R2809" t="s">
        <v>124</v>
      </c>
      <c r="S2809" t="s">
        <v>125</v>
      </c>
      <c r="W2809">
        <v>12</v>
      </c>
      <c r="X2809">
        <v>12</v>
      </c>
      <c r="AE2809">
        <v>0</v>
      </c>
      <c r="AM2809" t="s">
        <v>129</v>
      </c>
      <c r="AN2809" t="s">
        <v>130</v>
      </c>
      <c r="AP2809" t="s">
        <v>41</v>
      </c>
      <c r="AZ2809" t="s">
        <v>51</v>
      </c>
      <c r="BB2809" t="s">
        <v>53</v>
      </c>
    </row>
    <row r="2810" spans="1:69" x14ac:dyDescent="0.2">
      <c r="A2810" t="s">
        <v>9507</v>
      </c>
      <c r="B2810" t="s">
        <v>9777</v>
      </c>
      <c r="C2810" t="s">
        <v>9778</v>
      </c>
      <c r="D2810" t="s">
        <v>567</v>
      </c>
      <c r="E2810" t="s">
        <v>9779</v>
      </c>
      <c r="F2810" t="s">
        <v>118</v>
      </c>
      <c r="G2810" t="str">
        <f>HYPERLINK("https://vk.com/topic-27863223_35936941?post=115843")</f>
        <v>https://vk.com/topic-27863223_35936941?post=115843</v>
      </c>
      <c r="H2810" t="s">
        <v>119</v>
      </c>
      <c r="I2810" t="s">
        <v>9780</v>
      </c>
      <c r="J2810" t="str">
        <f>HYPERLINK("http://vk.com/id170400")</f>
        <v>http://vk.com/id170400</v>
      </c>
      <c r="K2810">
        <v>574</v>
      </c>
      <c r="L2810" t="s">
        <v>121</v>
      </c>
      <c r="M2810">
        <v>36</v>
      </c>
      <c r="N2810" t="s">
        <v>122</v>
      </c>
      <c r="O2810" t="s">
        <v>175</v>
      </c>
      <c r="P2810" t="str">
        <f>HYPERLINK("http://vk.com/club27863223")</f>
        <v>http://vk.com/club27863223</v>
      </c>
      <c r="Q2810">
        <v>134698</v>
      </c>
      <c r="R2810" t="s">
        <v>124</v>
      </c>
      <c r="S2810" t="s">
        <v>125</v>
      </c>
      <c r="T2810" t="s">
        <v>137</v>
      </c>
      <c r="U2810" t="s">
        <v>137</v>
      </c>
      <c r="AM2810" t="s">
        <v>129</v>
      </c>
      <c r="AN2810" t="s">
        <v>130</v>
      </c>
      <c r="AP2810" t="s">
        <v>41</v>
      </c>
      <c r="AU2810" t="s">
        <v>46</v>
      </c>
      <c r="AW2810" t="s">
        <v>48</v>
      </c>
      <c r="AZ2810" t="s">
        <v>51</v>
      </c>
      <c r="BA2810" t="s">
        <v>52</v>
      </c>
      <c r="BL2810" t="s">
        <v>63</v>
      </c>
    </row>
    <row r="2811" spans="1:69" x14ac:dyDescent="0.2">
      <c r="A2811" t="s">
        <v>9507</v>
      </c>
      <c r="B2811" t="s">
        <v>8752</v>
      </c>
      <c r="C2811" t="s">
        <v>9781</v>
      </c>
      <c r="D2811" t="s">
        <v>9782</v>
      </c>
      <c r="E2811" t="s">
        <v>9783</v>
      </c>
      <c r="F2811" t="s">
        <v>118</v>
      </c>
      <c r="G2811" t="str">
        <f>HYPERLINK("https://vk.com/wall-27863223_291557?w=wall-27863223_291557_r291565")</f>
        <v>https://vk.com/wall-27863223_291557?w=wall-27863223_291557_r291565</v>
      </c>
      <c r="H2811" t="s">
        <v>119</v>
      </c>
      <c r="I2811" t="s">
        <v>9784</v>
      </c>
      <c r="J2811" t="str">
        <f>HYPERLINK("http://vk.com/id253906924")</f>
        <v>http://vk.com/id253906924</v>
      </c>
      <c r="K2811">
        <v>149</v>
      </c>
      <c r="L2811" t="s">
        <v>121</v>
      </c>
      <c r="M2811">
        <v>36</v>
      </c>
      <c r="N2811" t="s">
        <v>122</v>
      </c>
      <c r="O2811" t="s">
        <v>175</v>
      </c>
      <c r="P2811" t="str">
        <f>HYPERLINK("http://vk.com/club27863223")</f>
        <v>http://vk.com/club27863223</v>
      </c>
      <c r="Q2811">
        <v>134698</v>
      </c>
      <c r="R2811" t="s">
        <v>124</v>
      </c>
      <c r="S2811" t="s">
        <v>125</v>
      </c>
      <c r="T2811" t="s">
        <v>169</v>
      </c>
      <c r="U2811" t="s">
        <v>169</v>
      </c>
      <c r="W2811">
        <v>0</v>
      </c>
      <c r="X2811">
        <v>0</v>
      </c>
      <c r="AJ2811" t="s">
        <v>9785</v>
      </c>
      <c r="AK2811" t="s">
        <v>129</v>
      </c>
      <c r="AL2811" t="str">
        <f>HYPERLINK("https://sun9-11.userapi.com/impg/BVEqa36y_SWXAJhg7lAcKuqdEhoHIdMATp3rzA/-H2bG9Iuljs.jpg?size=738x1600&amp;quality=96&amp;sign=493180abd2e93a0e70e4cc4da1272822&amp;c_uniq_tag=QLBDVyF89TIxpQWGLOOfC_fD5byFjdKLg6NaLPrMYkI&amp;type=album")</f>
        <v>https://sun9-11.userapi.com/impg/BVEqa36y_SWXAJhg7lAcKuqdEhoHIdMATp3rzA/-H2bG9Iuljs.jpg?size=738x1600&amp;quality=96&amp;sign=493180abd2e93a0e70e4cc4da1272822&amp;c_uniq_tag=QLBDVyF89TIxpQWGLOOfC_fD5byFjdKLg6NaLPrMYkI&amp;type=album</v>
      </c>
      <c r="AM2811" t="s">
        <v>129</v>
      </c>
      <c r="AN2811" t="s">
        <v>130</v>
      </c>
      <c r="AP2811" t="s">
        <v>41</v>
      </c>
      <c r="AW2811" t="s">
        <v>48</v>
      </c>
      <c r="AZ2811" t="s">
        <v>51</v>
      </c>
      <c r="BA2811" t="s">
        <v>52</v>
      </c>
    </row>
    <row r="2812" spans="1:69" x14ac:dyDescent="0.2">
      <c r="A2812" t="s">
        <v>9786</v>
      </c>
      <c r="B2812" t="s">
        <v>1247</v>
      </c>
      <c r="C2812" t="s">
        <v>9787</v>
      </c>
      <c r="D2812" t="s">
        <v>9788</v>
      </c>
      <c r="E2812" t="s">
        <v>9789</v>
      </c>
      <c r="F2812" t="s">
        <v>118</v>
      </c>
      <c r="G2812" t="str">
        <f>HYPERLINK("https://vk.com/wall-146938954_91408?reply=91469")</f>
        <v>https://vk.com/wall-146938954_91408?reply=91469</v>
      </c>
      <c r="H2812" t="s">
        <v>119</v>
      </c>
      <c r="I2812" t="s">
        <v>9790</v>
      </c>
      <c r="J2812" t="str">
        <f>HYPERLINK("http://vk.com/id9889863")</f>
        <v>http://vk.com/id9889863</v>
      </c>
      <c r="K2812">
        <v>133</v>
      </c>
      <c r="L2812" t="s">
        <v>121</v>
      </c>
      <c r="N2812" t="s">
        <v>122</v>
      </c>
      <c r="O2812" t="s">
        <v>9791</v>
      </c>
      <c r="P2812" t="str">
        <f>HYPERLINK("http://vk.com/club146938954")</f>
        <v>http://vk.com/club146938954</v>
      </c>
      <c r="Q2812">
        <v>12490</v>
      </c>
      <c r="R2812" t="s">
        <v>124</v>
      </c>
      <c r="S2812" t="s">
        <v>125</v>
      </c>
      <c r="T2812" t="s">
        <v>759</v>
      </c>
      <c r="U2812" t="s">
        <v>2804</v>
      </c>
      <c r="AM2812" t="s">
        <v>129</v>
      </c>
      <c r="AN2812" t="s">
        <v>130</v>
      </c>
      <c r="AP2812" t="s">
        <v>41</v>
      </c>
      <c r="AW2812" t="s">
        <v>48</v>
      </c>
      <c r="AZ2812" t="s">
        <v>51</v>
      </c>
      <c r="BA2812" t="s">
        <v>52</v>
      </c>
      <c r="BL2812" t="s">
        <v>63</v>
      </c>
    </row>
    <row r="2813" spans="1:69" x14ac:dyDescent="0.2">
      <c r="A2813" t="s">
        <v>9786</v>
      </c>
      <c r="B2813" t="s">
        <v>9792</v>
      </c>
      <c r="C2813" t="s">
        <v>9793</v>
      </c>
      <c r="D2813" t="s">
        <v>9794</v>
      </c>
      <c r="E2813" t="s">
        <v>9795</v>
      </c>
      <c r="F2813" t="s">
        <v>118</v>
      </c>
      <c r="G2813" t="str">
        <f>HYPERLINK("https://vk.com/wall-116640653_1760?reply=1790")</f>
        <v>https://vk.com/wall-116640653_1760?reply=1790</v>
      </c>
      <c r="H2813" t="s">
        <v>119</v>
      </c>
      <c r="I2813" t="s">
        <v>9796</v>
      </c>
      <c r="J2813" t="str">
        <f>HYPERLINK("http://vk.com/id89497020")</f>
        <v>http://vk.com/id89497020</v>
      </c>
      <c r="K2813">
        <v>205</v>
      </c>
      <c r="L2813" t="s">
        <v>151</v>
      </c>
      <c r="N2813" t="s">
        <v>122</v>
      </c>
      <c r="O2813" t="s">
        <v>9797</v>
      </c>
      <c r="P2813" t="str">
        <f>HYPERLINK("http://vk.com/club116640653")</f>
        <v>http://vk.com/club116640653</v>
      </c>
      <c r="Q2813">
        <v>567</v>
      </c>
      <c r="R2813" t="s">
        <v>124</v>
      </c>
      <c r="S2813" t="s">
        <v>125</v>
      </c>
      <c r="T2813" t="s">
        <v>487</v>
      </c>
      <c r="U2813" t="s">
        <v>488</v>
      </c>
      <c r="AM2813" t="s">
        <v>129</v>
      </c>
      <c r="AN2813" t="s">
        <v>130</v>
      </c>
      <c r="AP2813" t="s">
        <v>41</v>
      </c>
      <c r="AZ2813" t="s">
        <v>51</v>
      </c>
      <c r="BA2813" t="s">
        <v>52</v>
      </c>
      <c r="BM2813" t="s">
        <v>64</v>
      </c>
    </row>
    <row r="2814" spans="1:69" x14ac:dyDescent="0.2">
      <c r="A2814" t="s">
        <v>9786</v>
      </c>
      <c r="B2814" t="s">
        <v>7300</v>
      </c>
      <c r="C2814" t="s">
        <v>9798</v>
      </c>
      <c r="D2814" t="s">
        <v>3993</v>
      </c>
      <c r="E2814" t="s">
        <v>9799</v>
      </c>
      <c r="F2814" t="s">
        <v>118</v>
      </c>
      <c r="G2814" t="str">
        <f>HYPERLINK("https://vk.com/wall-27863223_291516?reply=291561")</f>
        <v>https://vk.com/wall-27863223_291516?reply=291561</v>
      </c>
      <c r="H2814" t="s">
        <v>119</v>
      </c>
      <c r="I2814" t="s">
        <v>9800</v>
      </c>
      <c r="J2814" t="str">
        <f>HYPERLINK("http://vk.com/id140498170")</f>
        <v>http://vk.com/id140498170</v>
      </c>
      <c r="K2814">
        <v>54</v>
      </c>
      <c r="L2814" t="s">
        <v>121</v>
      </c>
      <c r="N2814" t="s">
        <v>122</v>
      </c>
      <c r="O2814" t="s">
        <v>175</v>
      </c>
      <c r="P2814" t="str">
        <f>HYPERLINK("http://vk.com/club27863223")</f>
        <v>http://vk.com/club27863223</v>
      </c>
      <c r="Q2814">
        <v>134698</v>
      </c>
      <c r="R2814" t="s">
        <v>124</v>
      </c>
      <c r="S2814" t="s">
        <v>125</v>
      </c>
      <c r="T2814" t="s">
        <v>1466</v>
      </c>
      <c r="U2814" t="s">
        <v>3530</v>
      </c>
      <c r="W2814">
        <v>0</v>
      </c>
      <c r="X2814">
        <v>0</v>
      </c>
      <c r="AM2814" t="s">
        <v>129</v>
      </c>
      <c r="AN2814" t="s">
        <v>130</v>
      </c>
      <c r="AP2814" t="s">
        <v>41</v>
      </c>
      <c r="AU2814" t="s">
        <v>46</v>
      </c>
      <c r="AZ2814" t="s">
        <v>51</v>
      </c>
      <c r="BA2814" t="s">
        <v>52</v>
      </c>
    </row>
    <row r="2815" spans="1:69" x14ac:dyDescent="0.2">
      <c r="A2815" t="s">
        <v>9786</v>
      </c>
      <c r="B2815" t="s">
        <v>7300</v>
      </c>
      <c r="C2815" t="s">
        <v>8630</v>
      </c>
      <c r="D2815" t="s">
        <v>1350</v>
      </c>
      <c r="E2815" t="s">
        <v>9801</v>
      </c>
      <c r="F2815" t="s">
        <v>180</v>
      </c>
      <c r="G2815" t="str">
        <f>HYPERLINK("https://www.ozon.ru/context/detail/id/231618666/#58175071")</f>
        <v>https://www.ozon.ru/context/detail/id/231618666/#58175071</v>
      </c>
      <c r="H2815" t="s">
        <v>181</v>
      </c>
      <c r="I2815" t="s">
        <v>9802</v>
      </c>
      <c r="J2815" t="str">
        <f>HYPERLINK("https://www.ozon.ru/context/client_opinion/ClientGuid/7815073e-de1c-493b-9dc8-cc609c16720d/")</f>
        <v>https://www.ozon.ru/context/client_opinion/ClientGuid/7815073e-de1c-493b-9dc8-cc609c16720d/</v>
      </c>
      <c r="L2815" t="s">
        <v>151</v>
      </c>
      <c r="N2815" t="s">
        <v>183</v>
      </c>
      <c r="O2815" t="s">
        <v>1350</v>
      </c>
      <c r="P2815" t="str">
        <f>HYPERLINK("https://www.ozon.ru/context/detail/id/231618666/")</f>
        <v>https://www.ozon.ru/context/detail/id/231618666/</v>
      </c>
      <c r="R2815" t="s">
        <v>184</v>
      </c>
      <c r="S2815" t="s">
        <v>125</v>
      </c>
      <c r="W2815">
        <v>0</v>
      </c>
      <c r="X2815">
        <v>0</v>
      </c>
      <c r="AH2815">
        <v>5</v>
      </c>
      <c r="AJ2815" t="s">
        <v>129</v>
      </c>
      <c r="AK2815" t="s">
        <v>129</v>
      </c>
      <c r="AL2815" t="str">
        <f>HYPERLINK("https://cdn1.ozone.ru/s3/rp-photo-3/50b29385-ecb7-4b82-936e-00b310700c70.jpeg")</f>
        <v>https://cdn1.ozone.ru/s3/rp-photo-3/50b29385-ecb7-4b82-936e-00b310700c70.jpeg</v>
      </c>
      <c r="AM2815" t="s">
        <v>129</v>
      </c>
      <c r="AN2815" t="s">
        <v>130</v>
      </c>
      <c r="AP2815" t="s">
        <v>41</v>
      </c>
      <c r="AZ2815" t="s">
        <v>51</v>
      </c>
      <c r="BA2815" t="s">
        <v>52</v>
      </c>
      <c r="BK2815" t="s">
        <v>62</v>
      </c>
      <c r="BL2815" t="s">
        <v>63</v>
      </c>
    </row>
    <row r="2816" spans="1:69" x14ac:dyDescent="0.2">
      <c r="A2816" t="s">
        <v>9786</v>
      </c>
      <c r="B2816" t="s">
        <v>5012</v>
      </c>
      <c r="C2816" t="s">
        <v>9803</v>
      </c>
      <c r="D2816" t="s">
        <v>9804</v>
      </c>
      <c r="E2816" t="s">
        <v>9805</v>
      </c>
      <c r="F2816" t="s">
        <v>118</v>
      </c>
      <c r="G2816" t="str">
        <f>HYPERLINK("https://vk.com/wall-22935147_368183?w=wall-22935147_368183_r368261")</f>
        <v>https://vk.com/wall-22935147_368183?w=wall-22935147_368183_r368261</v>
      </c>
      <c r="H2816" t="s">
        <v>119</v>
      </c>
      <c r="I2816" t="s">
        <v>5650</v>
      </c>
      <c r="J2816" t="str">
        <f>HYPERLINK("http://vk.com/id619347783")</f>
        <v>http://vk.com/id619347783</v>
      </c>
      <c r="K2816">
        <v>5</v>
      </c>
      <c r="L2816" t="s">
        <v>121</v>
      </c>
      <c r="M2816">
        <v>44</v>
      </c>
      <c r="N2816" t="s">
        <v>122</v>
      </c>
      <c r="O2816" t="s">
        <v>1093</v>
      </c>
      <c r="P2816" t="str">
        <f>HYPERLINK("http://vk.com/club22935147")</f>
        <v>http://vk.com/club22935147</v>
      </c>
      <c r="Q2816">
        <v>8943</v>
      </c>
      <c r="R2816" t="s">
        <v>124</v>
      </c>
      <c r="S2816" t="s">
        <v>125</v>
      </c>
      <c r="T2816" t="s">
        <v>612</v>
      </c>
      <c r="U2816" t="s">
        <v>5651</v>
      </c>
      <c r="W2816">
        <v>0</v>
      </c>
      <c r="X2816">
        <v>0</v>
      </c>
      <c r="AM2816" t="s">
        <v>129</v>
      </c>
      <c r="AN2816" t="s">
        <v>130</v>
      </c>
      <c r="AP2816" t="s">
        <v>41</v>
      </c>
      <c r="AU2816" t="s">
        <v>46</v>
      </c>
      <c r="AZ2816" t="s">
        <v>51</v>
      </c>
      <c r="BA2816" t="s">
        <v>52</v>
      </c>
    </row>
    <row r="2817" spans="1:69" x14ac:dyDescent="0.2">
      <c r="A2817" t="s">
        <v>9786</v>
      </c>
      <c r="B2817" t="s">
        <v>1317</v>
      </c>
      <c r="C2817" t="s">
        <v>9806</v>
      </c>
      <c r="D2817" t="s">
        <v>9807</v>
      </c>
      <c r="E2817" t="s">
        <v>9808</v>
      </c>
      <c r="F2817" t="s">
        <v>118</v>
      </c>
      <c r="G2817" t="str">
        <f>HYPERLINK("https://www.youtube.com/watch?v=lomyX11VfgM&amp;lc=Ugy-6z0v91kVb0rCEQh4AaABAg.9PXv1DPrtgv9PYR0ILFpx-")</f>
        <v>https://www.youtube.com/watch?v=lomyX11VfgM&amp;lc=Ugy-6z0v91kVb0rCEQh4AaABAg.9PXv1DPrtgv9PYR0ILFpx-</v>
      </c>
      <c r="H2817" t="s">
        <v>119</v>
      </c>
      <c r="I2817" t="s">
        <v>9809</v>
      </c>
      <c r="J2817" t="str">
        <f>HYPERLINK("https://www.youtube.com/channel/UCqBWHnFPjYTdG1QJwWqtTxw")</f>
        <v>https://www.youtube.com/channel/UCqBWHnFPjYTdG1QJwWqtTxw</v>
      </c>
      <c r="K2817">
        <v>118</v>
      </c>
      <c r="L2817" t="s">
        <v>121</v>
      </c>
      <c r="N2817" t="s">
        <v>248</v>
      </c>
      <c r="O2817" t="s">
        <v>1910</v>
      </c>
      <c r="P2817" t="str">
        <f>HYPERLINK("https://www.youtube.com/channel/UCQgd9Ks9oBckRf9hadmZFdA")</f>
        <v>https://www.youtube.com/channel/UCQgd9Ks9oBckRf9hadmZFdA</v>
      </c>
      <c r="Q2817">
        <v>66700</v>
      </c>
      <c r="R2817" t="s">
        <v>124</v>
      </c>
      <c r="S2817" t="s">
        <v>125</v>
      </c>
      <c r="W2817">
        <v>0</v>
      </c>
      <c r="X2817">
        <v>0</v>
      </c>
      <c r="AM2817" t="s">
        <v>129</v>
      </c>
      <c r="AN2817" t="s">
        <v>130</v>
      </c>
      <c r="AP2817" t="s">
        <v>41</v>
      </c>
      <c r="AZ2817" t="s">
        <v>51</v>
      </c>
      <c r="BA2817" t="s">
        <v>52</v>
      </c>
      <c r="BL2817" t="s">
        <v>63</v>
      </c>
    </row>
    <row r="2818" spans="1:69" x14ac:dyDescent="0.2">
      <c r="A2818" t="s">
        <v>9786</v>
      </c>
      <c r="B2818" t="s">
        <v>1331</v>
      </c>
      <c r="C2818" t="s">
        <v>5345</v>
      </c>
      <c r="D2818" t="s">
        <v>4519</v>
      </c>
      <c r="E2818" t="s">
        <v>9810</v>
      </c>
      <c r="F2818" t="s">
        <v>180</v>
      </c>
      <c r="G2818" t="str">
        <f>HYPERLINK("https://www.ozon.ru/context/detail/id/220489107/#58164951")</f>
        <v>https://www.ozon.ru/context/detail/id/220489107/#58164951</v>
      </c>
      <c r="H2818" t="s">
        <v>181</v>
      </c>
      <c r="I2818" t="s">
        <v>6192</v>
      </c>
      <c r="J2818" t="str">
        <f>HYPERLINK("https://www.ozon.ru/context/client_opinion/ClientGuid/22b4b42c-3313-47d7-b972-b20de3427f2b/")</f>
        <v>https://www.ozon.ru/context/client_opinion/ClientGuid/22b4b42c-3313-47d7-b972-b20de3427f2b/</v>
      </c>
      <c r="L2818" t="s">
        <v>121</v>
      </c>
      <c r="N2818" t="s">
        <v>183</v>
      </c>
      <c r="O2818" t="s">
        <v>4519</v>
      </c>
      <c r="P2818" t="str">
        <f>HYPERLINK("https://www.ozon.ru/context/detail/id/220489107/")</f>
        <v>https://www.ozon.ru/context/detail/id/220489107/</v>
      </c>
      <c r="R2818" t="s">
        <v>184</v>
      </c>
      <c r="S2818" t="s">
        <v>125</v>
      </c>
      <c r="W2818">
        <v>0</v>
      </c>
      <c r="X2818">
        <v>0</v>
      </c>
      <c r="AH2818">
        <v>5</v>
      </c>
      <c r="AM2818" t="s">
        <v>129</v>
      </c>
      <c r="AN2818" t="s">
        <v>130</v>
      </c>
      <c r="AP2818" t="s">
        <v>41</v>
      </c>
      <c r="AT2818" t="s">
        <v>45</v>
      </c>
      <c r="AZ2818" t="s">
        <v>51</v>
      </c>
      <c r="BA2818" t="s">
        <v>52</v>
      </c>
    </row>
    <row r="2819" spans="1:69" x14ac:dyDescent="0.2">
      <c r="A2819" t="s">
        <v>9786</v>
      </c>
      <c r="B2819" t="s">
        <v>9811</v>
      </c>
      <c r="C2819" t="s">
        <v>9812</v>
      </c>
      <c r="D2819" t="s">
        <v>204</v>
      </c>
      <c r="E2819" t="s">
        <v>9813</v>
      </c>
      <c r="F2819" t="s">
        <v>180</v>
      </c>
      <c r="G2819" t="str">
        <f>HYPERLINK("https://play.google.com/store/apps/details?id=ru.iflex.android.a3colortv&amp;reviewId=gp:AOqpTOHcbmS9Zs2fwBJeN01naWAv8J-7dIpQy_G3WzYjylNLj5EuoeQ_qILAkCKpqsgWgd0Re_pQP_n5WeUzGQ")</f>
        <v>https://play.google.com/store/apps/details?id=ru.iflex.android.a3colortv&amp;reviewId=gp:AOqpTOHcbmS9Zs2fwBJeN01naWAv8J-7dIpQy_G3WzYjylNLj5EuoeQ_qILAkCKpqsgWgd0Re_pQP_n5WeUzGQ</v>
      </c>
      <c r="H2819" t="s">
        <v>119</v>
      </c>
      <c r="I2819" t="s">
        <v>9814</v>
      </c>
      <c r="J2819" t="str">
        <f>HYPERLINK("https://plus.google.com/105694628924399495967")</f>
        <v>https://plus.google.com/105694628924399495967</v>
      </c>
      <c r="L2819" t="s">
        <v>121</v>
      </c>
      <c r="N2819" t="s">
        <v>207</v>
      </c>
      <c r="O2819" t="s">
        <v>204</v>
      </c>
      <c r="P2819" t="str">
        <f>HYPERLINK("https://play.google.com/store/apps/details?id=ru.iflex.android.a3colortv&amp;hl=ru")</f>
        <v>https://play.google.com/store/apps/details?id=ru.iflex.android.a3colortv&amp;hl=ru</v>
      </c>
      <c r="R2819" t="s">
        <v>184</v>
      </c>
      <c r="S2819" t="s">
        <v>125</v>
      </c>
      <c r="W2819">
        <v>0</v>
      </c>
      <c r="X2819">
        <v>0</v>
      </c>
      <c r="AH2819">
        <v>4</v>
      </c>
      <c r="AM2819" t="s">
        <v>129</v>
      </c>
      <c r="AN2819" t="s">
        <v>130</v>
      </c>
      <c r="AP2819" t="s">
        <v>41</v>
      </c>
      <c r="AZ2819" t="s">
        <v>51</v>
      </c>
      <c r="BA2819" t="s">
        <v>52</v>
      </c>
      <c r="BP2819" t="s">
        <v>67</v>
      </c>
      <c r="BQ2819" t="s">
        <v>68</v>
      </c>
    </row>
    <row r="2820" spans="1:69" x14ac:dyDescent="0.2">
      <c r="A2820" t="s">
        <v>9786</v>
      </c>
      <c r="B2820" t="s">
        <v>221</v>
      </c>
      <c r="C2820" t="s">
        <v>9815</v>
      </c>
      <c r="D2820" t="s">
        <v>567</v>
      </c>
      <c r="E2820" t="s">
        <v>9816</v>
      </c>
      <c r="F2820" t="s">
        <v>118</v>
      </c>
      <c r="G2820" t="str">
        <f>HYPERLINK("https://vk.com/topic-27863223_35936941?post=115842")</f>
        <v>https://vk.com/topic-27863223_35936941?post=115842</v>
      </c>
      <c r="H2820" t="s">
        <v>119</v>
      </c>
      <c r="I2820" t="s">
        <v>9817</v>
      </c>
      <c r="J2820" t="str">
        <f>HYPERLINK("http://vk.com/id29008290")</f>
        <v>http://vk.com/id29008290</v>
      </c>
      <c r="K2820">
        <v>32</v>
      </c>
      <c r="L2820" t="s">
        <v>121</v>
      </c>
      <c r="M2820">
        <v>50</v>
      </c>
      <c r="N2820" t="s">
        <v>122</v>
      </c>
      <c r="O2820" t="s">
        <v>175</v>
      </c>
      <c r="P2820" t="str">
        <f>HYPERLINK("http://vk.com/club27863223")</f>
        <v>http://vk.com/club27863223</v>
      </c>
      <c r="Q2820">
        <v>134698</v>
      </c>
      <c r="R2820" t="s">
        <v>124</v>
      </c>
      <c r="S2820" t="s">
        <v>125</v>
      </c>
      <c r="AM2820" t="s">
        <v>129</v>
      </c>
      <c r="AN2820" t="s">
        <v>130</v>
      </c>
      <c r="AP2820" t="s">
        <v>41</v>
      </c>
      <c r="AT2820" t="s">
        <v>45</v>
      </c>
      <c r="AZ2820" t="s">
        <v>51</v>
      </c>
      <c r="BA2820" t="s">
        <v>52</v>
      </c>
      <c r="BM2820" t="s">
        <v>64</v>
      </c>
    </row>
    <row r="2821" spans="1:69" x14ac:dyDescent="0.2">
      <c r="A2821" t="s">
        <v>9786</v>
      </c>
      <c r="B2821" t="s">
        <v>5061</v>
      </c>
      <c r="C2821" t="s">
        <v>9818</v>
      </c>
      <c r="D2821" t="s">
        <v>7565</v>
      </c>
      <c r="E2821" t="s">
        <v>9819</v>
      </c>
      <c r="F2821" t="s">
        <v>118</v>
      </c>
      <c r="G2821" t="str">
        <f>HYPERLINK("https://vk.com/wall-199277766_715?reply=718")</f>
        <v>https://vk.com/wall-199277766_715?reply=718</v>
      </c>
      <c r="H2821" t="s">
        <v>119</v>
      </c>
      <c r="I2821" t="s">
        <v>254</v>
      </c>
      <c r="J2821" t="str">
        <f>HYPERLINK("http://vk.com/id286061518")</f>
        <v>http://vk.com/id286061518</v>
      </c>
      <c r="K2821">
        <v>5170</v>
      </c>
      <c r="L2821" t="s">
        <v>121</v>
      </c>
      <c r="M2821">
        <v>34</v>
      </c>
      <c r="N2821" t="s">
        <v>122</v>
      </c>
      <c r="O2821" t="s">
        <v>255</v>
      </c>
      <c r="P2821" t="str">
        <f>HYPERLINK("http://vk.com/club199277766")</f>
        <v>http://vk.com/club199277766</v>
      </c>
      <c r="Q2821">
        <v>53</v>
      </c>
      <c r="R2821" t="s">
        <v>124</v>
      </c>
      <c r="S2821" t="s">
        <v>125</v>
      </c>
      <c r="T2821" t="s">
        <v>256</v>
      </c>
      <c r="U2821" t="s">
        <v>257</v>
      </c>
      <c r="AM2821" t="s">
        <v>129</v>
      </c>
      <c r="AN2821" t="s">
        <v>130</v>
      </c>
      <c r="AP2821" t="s">
        <v>41</v>
      </c>
      <c r="AU2821" t="s">
        <v>46</v>
      </c>
      <c r="AZ2821" t="s">
        <v>51</v>
      </c>
      <c r="BA2821" t="s">
        <v>52</v>
      </c>
    </row>
    <row r="2822" spans="1:69" x14ac:dyDescent="0.2">
      <c r="A2822" t="s">
        <v>9786</v>
      </c>
      <c r="B2822" t="s">
        <v>8842</v>
      </c>
      <c r="C2822" t="s">
        <v>9820</v>
      </c>
      <c r="D2822" t="s">
        <v>5389</v>
      </c>
      <c r="E2822" t="s">
        <v>9821</v>
      </c>
      <c r="F2822" t="s">
        <v>180</v>
      </c>
      <c r="G2822" t="str">
        <f>HYPERLINK("https://www.wildberries.ru/catalog/13511063/detail.aspx?targetUrl=ES#Comments")</f>
        <v>https://www.wildberries.ru/catalog/13511063/detail.aspx?targetUrl=ES#Comments</v>
      </c>
      <c r="H2822" t="s">
        <v>181</v>
      </c>
      <c r="I2822" t="s">
        <v>3460</v>
      </c>
      <c r="J2822" t="str">
        <f>HYPERLINK("https://www.wildberries.ru/profile/w7TDssOkw7PCu8KywrfCuMK0wrTCuMK5wrQ=")</f>
        <v>https://www.wildberries.ru/profile/w7TDssOkw7PCu8KywrfCuMK0wrTCuMK5wrQ=</v>
      </c>
      <c r="L2822" t="s">
        <v>121</v>
      </c>
      <c r="N2822" t="s">
        <v>534</v>
      </c>
      <c r="O2822" t="s">
        <v>5389</v>
      </c>
      <c r="P2822" t="str">
        <f>HYPERLINK("https://www.wildberries.ru/catalog/10117096/detail.aspx")</f>
        <v>https://www.wildberries.ru/catalog/10117096/detail.aspx</v>
      </c>
      <c r="R2822" t="s">
        <v>184</v>
      </c>
      <c r="S2822" t="s">
        <v>125</v>
      </c>
      <c r="W2822">
        <v>0</v>
      </c>
      <c r="X2822">
        <v>0</v>
      </c>
      <c r="AH2822">
        <v>5</v>
      </c>
      <c r="AM2822" t="s">
        <v>129</v>
      </c>
      <c r="AN2822" t="s">
        <v>130</v>
      </c>
      <c r="AP2822" t="s">
        <v>41</v>
      </c>
      <c r="AZ2822" t="s">
        <v>51</v>
      </c>
      <c r="BA2822" t="s">
        <v>52</v>
      </c>
      <c r="BK2822" t="s">
        <v>62</v>
      </c>
      <c r="BL2822" t="s">
        <v>63</v>
      </c>
    </row>
    <row r="2823" spans="1:69" x14ac:dyDescent="0.2">
      <c r="A2823" t="s">
        <v>9786</v>
      </c>
      <c r="B2823" t="s">
        <v>5565</v>
      </c>
      <c r="C2823" t="s">
        <v>9822</v>
      </c>
      <c r="D2823" t="s">
        <v>9823</v>
      </c>
      <c r="E2823" t="s">
        <v>9824</v>
      </c>
      <c r="F2823" t="s">
        <v>118</v>
      </c>
      <c r="G2823" t="str">
        <f>HYPERLINK("https://www.facebook.com/story.php?story_fbid=1886678948203243&amp;id=100005834674644&amp;comment_id=1886744358196702&amp;reply_comment_id=1886803051524166")</f>
        <v>https://www.facebook.com/story.php?story_fbid=1886678948203243&amp;id=100005834674644&amp;comment_id=1886744358196702&amp;reply_comment_id=1886803051524166</v>
      </c>
      <c r="H2823" t="s">
        <v>119</v>
      </c>
      <c r="I2823" t="s">
        <v>9825</v>
      </c>
      <c r="J2823" t="str">
        <f>HYPERLINK("https://www.facebook.com/100005834674644")</f>
        <v>https://www.facebook.com/100005834674644</v>
      </c>
      <c r="K2823">
        <v>5391</v>
      </c>
      <c r="L2823" t="s">
        <v>121</v>
      </c>
      <c r="N2823" t="s">
        <v>305</v>
      </c>
      <c r="O2823" t="s">
        <v>9825</v>
      </c>
      <c r="P2823" t="str">
        <f>HYPERLINK("https://www.facebook.com/100005834674644")</f>
        <v>https://www.facebook.com/100005834674644</v>
      </c>
      <c r="Q2823">
        <v>5391</v>
      </c>
      <c r="R2823" t="s">
        <v>124</v>
      </c>
      <c r="S2823" t="s">
        <v>125</v>
      </c>
      <c r="T2823" t="s">
        <v>523</v>
      </c>
      <c r="U2823" t="s">
        <v>4741</v>
      </c>
      <c r="W2823">
        <v>1</v>
      </c>
      <c r="X2823">
        <v>1</v>
      </c>
      <c r="AE2823">
        <v>0</v>
      </c>
      <c r="AM2823" t="s">
        <v>129</v>
      </c>
      <c r="AN2823" t="s">
        <v>130</v>
      </c>
      <c r="AP2823" t="s">
        <v>41</v>
      </c>
      <c r="AT2823" t="s">
        <v>45</v>
      </c>
      <c r="AZ2823" t="s">
        <v>51</v>
      </c>
      <c r="BA2823" t="s">
        <v>52</v>
      </c>
      <c r="BL2823" t="s">
        <v>63</v>
      </c>
    </row>
    <row r="2824" spans="1:69" x14ac:dyDescent="0.2">
      <c r="A2824" t="s">
        <v>9786</v>
      </c>
      <c r="B2824" t="s">
        <v>1385</v>
      </c>
      <c r="C2824" t="s">
        <v>9826</v>
      </c>
      <c r="D2824" t="s">
        <v>1697</v>
      </c>
      <c r="E2824" t="s">
        <v>9827</v>
      </c>
      <c r="F2824" t="s">
        <v>180</v>
      </c>
      <c r="G2824" t="str">
        <f>HYPERLINK("https://apps.apple.com/ru/app/мой-триколор/id1204321194#7553884056")</f>
        <v>https://apps.apple.com/ru/app/мой-триколор/id1204321194#7553884056</v>
      </c>
      <c r="H2824" t="s">
        <v>181</v>
      </c>
      <c r="I2824" t="s">
        <v>9828</v>
      </c>
      <c r="J2824" t="str">
        <f>HYPERLINK("https://itunes.apple.com/reviews?userProfileId=501464336")</f>
        <v>https://itunes.apple.com/reviews?userProfileId=501464336</v>
      </c>
      <c r="N2824" t="s">
        <v>1411</v>
      </c>
      <c r="O2824" t="s">
        <v>1697</v>
      </c>
      <c r="P2824" t="str">
        <f>HYPERLINK("https://apps.apple.com/ru/app/мой-триколор/id1204321194")</f>
        <v>https://apps.apple.com/ru/app/мой-триколор/id1204321194</v>
      </c>
      <c r="R2824" t="s">
        <v>184</v>
      </c>
      <c r="S2824" t="s">
        <v>125</v>
      </c>
      <c r="AH2824">
        <v>5</v>
      </c>
      <c r="AM2824" t="s">
        <v>129</v>
      </c>
      <c r="AN2824" t="s">
        <v>130</v>
      </c>
      <c r="AP2824" t="s">
        <v>41</v>
      </c>
      <c r="AZ2824" t="s">
        <v>51</v>
      </c>
      <c r="BA2824" t="s">
        <v>52</v>
      </c>
      <c r="BQ2824" t="s">
        <v>68</v>
      </c>
    </row>
    <row r="2825" spans="1:69" x14ac:dyDescent="0.2">
      <c r="A2825" t="s">
        <v>9786</v>
      </c>
      <c r="B2825" t="s">
        <v>1937</v>
      </c>
      <c r="C2825" t="s">
        <v>9829</v>
      </c>
      <c r="D2825" t="s">
        <v>567</v>
      </c>
      <c r="E2825" t="s">
        <v>9830</v>
      </c>
      <c r="F2825" t="s">
        <v>118</v>
      </c>
      <c r="G2825" t="str">
        <f>HYPERLINK("https://vk.com/topic-27863223_35936941?post=115840")</f>
        <v>https://vk.com/topic-27863223_35936941?post=115840</v>
      </c>
      <c r="H2825" t="s">
        <v>119</v>
      </c>
      <c r="I2825" t="s">
        <v>9831</v>
      </c>
      <c r="J2825" t="str">
        <f>HYPERLINK("http://vk.com/id185830308")</f>
        <v>http://vk.com/id185830308</v>
      </c>
      <c r="K2825">
        <v>23</v>
      </c>
      <c r="L2825" t="s">
        <v>121</v>
      </c>
      <c r="N2825" t="s">
        <v>122</v>
      </c>
      <c r="O2825" t="s">
        <v>175</v>
      </c>
      <c r="P2825" t="str">
        <f>HYPERLINK("http://vk.com/club27863223")</f>
        <v>http://vk.com/club27863223</v>
      </c>
      <c r="Q2825">
        <v>134698</v>
      </c>
      <c r="R2825" t="s">
        <v>124</v>
      </c>
      <c r="S2825" t="s">
        <v>125</v>
      </c>
      <c r="T2825" t="s">
        <v>667</v>
      </c>
      <c r="U2825" t="s">
        <v>668</v>
      </c>
      <c r="AM2825" t="s">
        <v>129</v>
      </c>
      <c r="AN2825" t="s">
        <v>130</v>
      </c>
      <c r="AP2825" t="s">
        <v>41</v>
      </c>
      <c r="AT2825" t="s">
        <v>45</v>
      </c>
      <c r="AW2825" t="s">
        <v>48</v>
      </c>
      <c r="AZ2825" t="s">
        <v>51</v>
      </c>
      <c r="BA2825" t="s">
        <v>52</v>
      </c>
      <c r="BM2825" t="s">
        <v>64</v>
      </c>
    </row>
    <row r="2826" spans="1:69" x14ac:dyDescent="0.2">
      <c r="A2826" t="s">
        <v>9786</v>
      </c>
      <c r="B2826" t="s">
        <v>1406</v>
      </c>
      <c r="C2826" t="s">
        <v>9832</v>
      </c>
      <c r="D2826" t="s">
        <v>9807</v>
      </c>
      <c r="E2826" t="s">
        <v>9833</v>
      </c>
      <c r="F2826" t="s">
        <v>118</v>
      </c>
      <c r="G2826" t="str">
        <f>HYPERLINK("https://www.youtube.com/watch?v=lomyX11VfgM&amp;lc=Ugy-6z0v91kVb0rCEQh4AaABAg.9PXv1DPrtgv9PY9a6lDJZ7")</f>
        <v>https://www.youtube.com/watch?v=lomyX11VfgM&amp;lc=Ugy-6z0v91kVb0rCEQh4AaABAg.9PXv1DPrtgv9PY9a6lDJZ7</v>
      </c>
      <c r="H2826" t="s">
        <v>181</v>
      </c>
      <c r="I2826" t="s">
        <v>1910</v>
      </c>
      <c r="J2826" t="str">
        <f>HYPERLINK("https://www.youtube.com/channel/UCQgd9Ks9oBckRf9hadmZFdA")</f>
        <v>https://www.youtube.com/channel/UCQgd9Ks9oBckRf9hadmZFdA</v>
      </c>
      <c r="K2826">
        <v>66700</v>
      </c>
      <c r="N2826" t="s">
        <v>248</v>
      </c>
      <c r="O2826" t="s">
        <v>1910</v>
      </c>
      <c r="P2826" t="str">
        <f>HYPERLINK("https://www.youtube.com/channel/UCQgd9Ks9oBckRf9hadmZFdA")</f>
        <v>https://www.youtube.com/channel/UCQgd9Ks9oBckRf9hadmZFdA</v>
      </c>
      <c r="Q2826">
        <v>66700</v>
      </c>
      <c r="R2826" t="s">
        <v>124</v>
      </c>
      <c r="S2826" t="s">
        <v>125</v>
      </c>
      <c r="W2826">
        <v>2</v>
      </c>
      <c r="X2826">
        <v>2</v>
      </c>
      <c r="AM2826" t="s">
        <v>129</v>
      </c>
      <c r="AN2826" t="s">
        <v>130</v>
      </c>
      <c r="AP2826" t="s">
        <v>41</v>
      </c>
      <c r="AZ2826" t="s">
        <v>51</v>
      </c>
      <c r="BA2826" t="s">
        <v>52</v>
      </c>
      <c r="BL2826" t="s">
        <v>63</v>
      </c>
      <c r="BO2826" t="s">
        <v>66</v>
      </c>
    </row>
    <row r="2827" spans="1:69" x14ac:dyDescent="0.2">
      <c r="A2827" t="s">
        <v>9786</v>
      </c>
      <c r="B2827" t="s">
        <v>2447</v>
      </c>
      <c r="C2827" t="s">
        <v>9834</v>
      </c>
      <c r="D2827" t="s">
        <v>9628</v>
      </c>
      <c r="E2827" t="s">
        <v>9835</v>
      </c>
      <c r="F2827" t="s">
        <v>118</v>
      </c>
      <c r="G2827" t="str">
        <f>HYPERLINK("https://vk.com/wall-22935147_368246?reply=368259")</f>
        <v>https://vk.com/wall-22935147_368246?reply=368259</v>
      </c>
      <c r="H2827" t="s">
        <v>119</v>
      </c>
      <c r="I2827" t="s">
        <v>9836</v>
      </c>
      <c r="J2827" t="str">
        <f>HYPERLINK("http://vk.com/id106840295")</f>
        <v>http://vk.com/id106840295</v>
      </c>
      <c r="K2827">
        <v>35</v>
      </c>
      <c r="L2827" t="s">
        <v>121</v>
      </c>
      <c r="N2827" t="s">
        <v>122</v>
      </c>
      <c r="O2827" t="s">
        <v>1093</v>
      </c>
      <c r="P2827" t="str">
        <f>HYPERLINK("http://vk.com/club22935147")</f>
        <v>http://vk.com/club22935147</v>
      </c>
      <c r="Q2827">
        <v>8943</v>
      </c>
      <c r="R2827" t="s">
        <v>124</v>
      </c>
      <c r="S2827" t="s">
        <v>125</v>
      </c>
      <c r="W2827">
        <v>0</v>
      </c>
      <c r="X2827">
        <v>0</v>
      </c>
      <c r="AM2827" t="s">
        <v>129</v>
      </c>
      <c r="AN2827" t="s">
        <v>130</v>
      </c>
      <c r="AP2827" t="s">
        <v>41</v>
      </c>
      <c r="AZ2827" t="s">
        <v>51</v>
      </c>
      <c r="BA2827" t="s">
        <v>52</v>
      </c>
      <c r="BL2827" t="s">
        <v>63</v>
      </c>
    </row>
    <row r="2828" spans="1:69" x14ac:dyDescent="0.2">
      <c r="A2828" t="s">
        <v>9786</v>
      </c>
      <c r="B2828" t="s">
        <v>2993</v>
      </c>
      <c r="C2828" t="s">
        <v>9837</v>
      </c>
      <c r="D2828" t="s">
        <v>9703</v>
      </c>
      <c r="E2828" t="s">
        <v>9838</v>
      </c>
      <c r="F2828" t="s">
        <v>118</v>
      </c>
      <c r="G2828" t="str">
        <f>HYPERLINK("https://vk.com/wall-61101621_254569?reply=254580&amp;thread=254576")</f>
        <v>https://vk.com/wall-61101621_254569?reply=254580&amp;thread=254576</v>
      </c>
      <c r="H2828" t="s">
        <v>119</v>
      </c>
      <c r="I2828" t="s">
        <v>9836</v>
      </c>
      <c r="J2828" t="str">
        <f>HYPERLINK("http://vk.com/id106840295")</f>
        <v>http://vk.com/id106840295</v>
      </c>
      <c r="K2828">
        <v>35</v>
      </c>
      <c r="L2828" t="s">
        <v>121</v>
      </c>
      <c r="N2828" t="s">
        <v>122</v>
      </c>
      <c r="O2828" t="s">
        <v>160</v>
      </c>
      <c r="P2828" t="str">
        <f>HYPERLINK("http://vk.com/club61101621")</f>
        <v>http://vk.com/club61101621</v>
      </c>
      <c r="Q2828">
        <v>21119</v>
      </c>
      <c r="R2828" t="s">
        <v>124</v>
      </c>
      <c r="S2828" t="s">
        <v>125</v>
      </c>
      <c r="AM2828" t="s">
        <v>129</v>
      </c>
      <c r="AN2828" t="s">
        <v>130</v>
      </c>
      <c r="AP2828" t="s">
        <v>41</v>
      </c>
      <c r="AU2828" t="s">
        <v>46</v>
      </c>
      <c r="AZ2828" t="s">
        <v>51</v>
      </c>
      <c r="BA2828" t="s">
        <v>52</v>
      </c>
    </row>
    <row r="2829" spans="1:69" x14ac:dyDescent="0.2">
      <c r="A2829" t="s">
        <v>9786</v>
      </c>
      <c r="B2829" t="s">
        <v>4251</v>
      </c>
      <c r="C2829" t="s">
        <v>9839</v>
      </c>
      <c r="D2829" t="s">
        <v>129</v>
      </c>
      <c r="E2829" t="s">
        <v>9840</v>
      </c>
      <c r="F2829" t="s">
        <v>180</v>
      </c>
      <c r="G2829" t="str">
        <f>HYPERLINK("https://telegram.me/klimovsk50_live/111201")</f>
        <v>https://telegram.me/klimovsk50_live/111201</v>
      </c>
      <c r="H2829" t="s">
        <v>119</v>
      </c>
      <c r="I2829" t="s">
        <v>9841</v>
      </c>
      <c r="J2829" t="str">
        <f>HYPERLINK("https://telegram.me/wh1te_devil")</f>
        <v>https://telegram.me/wh1te_devil</v>
      </c>
      <c r="N2829" t="s">
        <v>143</v>
      </c>
      <c r="O2829" t="s">
        <v>9842</v>
      </c>
      <c r="P2829" t="str">
        <f>HYPERLINK("https://telegram.me/klimovsk50_live")</f>
        <v>https://telegram.me/klimovsk50_live</v>
      </c>
      <c r="Q2829">
        <v>799</v>
      </c>
      <c r="R2829" t="s">
        <v>145</v>
      </c>
      <c r="AM2829" t="s">
        <v>129</v>
      </c>
      <c r="AN2829" t="s">
        <v>130</v>
      </c>
      <c r="AP2829" t="s">
        <v>41</v>
      </c>
      <c r="AW2829" t="s">
        <v>48</v>
      </c>
      <c r="AZ2829" t="s">
        <v>51</v>
      </c>
      <c r="BA2829" t="s">
        <v>52</v>
      </c>
    </row>
    <row r="2830" spans="1:69" x14ac:dyDescent="0.2">
      <c r="A2830" t="s">
        <v>9786</v>
      </c>
      <c r="B2830" t="s">
        <v>337</v>
      </c>
      <c r="C2830" t="s">
        <v>9843</v>
      </c>
      <c r="D2830" t="s">
        <v>6224</v>
      </c>
      <c r="E2830" t="s">
        <v>9844</v>
      </c>
      <c r="F2830" t="s">
        <v>118</v>
      </c>
      <c r="G2830" t="str">
        <f>HYPERLINK("https://www.youtube.com/watch?v=cuBcZGF3Yzc&amp;lc=Ugy-sShYxvfrV109wPp4AaABAg.9PXvaGlTBG09PY0MtxC0OZ")</f>
        <v>https://www.youtube.com/watch?v=cuBcZGF3Yzc&amp;lc=Ugy-sShYxvfrV109wPp4AaABAg.9PXvaGlTBG09PY0MtxC0OZ</v>
      </c>
      <c r="H2830" t="s">
        <v>119</v>
      </c>
      <c r="I2830" t="s">
        <v>9845</v>
      </c>
      <c r="J2830" t="str">
        <f>HYPERLINK("https://www.youtube.com/channel/UClk9upt0DuvZPNe52A2aUaQ")</f>
        <v>https://www.youtube.com/channel/UClk9upt0DuvZPNe52A2aUaQ</v>
      </c>
      <c r="K2830">
        <v>4</v>
      </c>
      <c r="L2830" t="s">
        <v>121</v>
      </c>
      <c r="N2830" t="s">
        <v>248</v>
      </c>
      <c r="O2830" t="s">
        <v>6227</v>
      </c>
      <c r="P2830" t="str">
        <f>HYPERLINK("https://www.youtube.com/channel/UCRP4EhX1Op-jL7D87PB3qhQ")</f>
        <v>https://www.youtube.com/channel/UCRP4EhX1Op-jL7D87PB3qhQ</v>
      </c>
      <c r="Q2830">
        <v>2820000</v>
      </c>
      <c r="R2830" t="s">
        <v>124</v>
      </c>
      <c r="S2830" t="s">
        <v>125</v>
      </c>
      <c r="W2830">
        <v>0</v>
      </c>
      <c r="X2830">
        <v>0</v>
      </c>
      <c r="AM2830" t="s">
        <v>129</v>
      </c>
      <c r="AN2830" t="s">
        <v>130</v>
      </c>
      <c r="AP2830" t="s">
        <v>41</v>
      </c>
      <c r="AY2830" t="s">
        <v>50</v>
      </c>
      <c r="AZ2830" t="s">
        <v>51</v>
      </c>
      <c r="BB2830" t="s">
        <v>53</v>
      </c>
    </row>
    <row r="2831" spans="1:69" x14ac:dyDescent="0.2">
      <c r="A2831" t="s">
        <v>9786</v>
      </c>
      <c r="B2831" t="s">
        <v>8496</v>
      </c>
      <c r="C2831" t="s">
        <v>9832</v>
      </c>
      <c r="D2831" t="s">
        <v>9807</v>
      </c>
      <c r="E2831" t="s">
        <v>9846</v>
      </c>
      <c r="F2831" t="s">
        <v>118</v>
      </c>
      <c r="G2831" t="str">
        <f>HYPERLINK("https://www.youtube.com/watch?v=lomyX11VfgM&amp;lc=Ugy-6z0v91kVb0rCEQh4AaABAg")</f>
        <v>https://www.youtube.com/watch?v=lomyX11VfgM&amp;lc=Ugy-6z0v91kVb0rCEQh4AaABAg</v>
      </c>
      <c r="H2831" t="s">
        <v>119</v>
      </c>
      <c r="I2831" t="s">
        <v>9809</v>
      </c>
      <c r="J2831" t="str">
        <f>HYPERLINK("https://www.youtube.com/channel/UCqBWHnFPjYTdG1QJwWqtTxw")</f>
        <v>https://www.youtube.com/channel/UCqBWHnFPjYTdG1QJwWqtTxw</v>
      </c>
      <c r="K2831">
        <v>118</v>
      </c>
      <c r="L2831" t="s">
        <v>121</v>
      </c>
      <c r="N2831" t="s">
        <v>248</v>
      </c>
      <c r="O2831" t="s">
        <v>1910</v>
      </c>
      <c r="P2831" t="str">
        <f>HYPERLINK("https://www.youtube.com/channel/UCQgd9Ks9oBckRf9hadmZFdA")</f>
        <v>https://www.youtube.com/channel/UCQgd9Ks9oBckRf9hadmZFdA</v>
      </c>
      <c r="Q2831">
        <v>66700</v>
      </c>
      <c r="R2831" t="s">
        <v>124</v>
      </c>
      <c r="S2831" t="s">
        <v>125</v>
      </c>
      <c r="W2831">
        <v>1</v>
      </c>
      <c r="X2831">
        <v>1</v>
      </c>
      <c r="AE2831">
        <v>2</v>
      </c>
      <c r="AM2831" t="s">
        <v>129</v>
      </c>
      <c r="AN2831" t="s">
        <v>130</v>
      </c>
      <c r="AP2831" t="s">
        <v>41</v>
      </c>
      <c r="AT2831" t="s">
        <v>45</v>
      </c>
      <c r="AU2831" t="s">
        <v>46</v>
      </c>
      <c r="AZ2831" t="s">
        <v>51</v>
      </c>
      <c r="BA2831" t="s">
        <v>52</v>
      </c>
      <c r="BL2831" t="s">
        <v>63</v>
      </c>
    </row>
    <row r="2832" spans="1:69" x14ac:dyDescent="0.2">
      <c r="A2832" t="s">
        <v>9786</v>
      </c>
      <c r="B2832" t="s">
        <v>397</v>
      </c>
      <c r="C2832" t="s">
        <v>9847</v>
      </c>
      <c r="D2832" t="s">
        <v>9848</v>
      </c>
      <c r="E2832" t="s">
        <v>9849</v>
      </c>
      <c r="F2832" t="s">
        <v>118</v>
      </c>
      <c r="G2832" t="str">
        <f>HYPERLINK("https://vk.com/wall-167404954_4292?reply=4293")</f>
        <v>https://vk.com/wall-167404954_4292?reply=4293</v>
      </c>
      <c r="H2832" t="s">
        <v>181</v>
      </c>
      <c r="I2832" t="s">
        <v>9850</v>
      </c>
      <c r="J2832" t="str">
        <f>HYPERLINK("http://vk.com/id635311508")</f>
        <v>http://vk.com/id635311508</v>
      </c>
      <c r="K2832">
        <v>19</v>
      </c>
      <c r="L2832" t="s">
        <v>121</v>
      </c>
      <c r="M2832">
        <v>71</v>
      </c>
      <c r="N2832" t="s">
        <v>122</v>
      </c>
      <c r="O2832" t="s">
        <v>9851</v>
      </c>
      <c r="P2832" t="str">
        <f>HYPERLINK("http://vk.com/club167404954")</f>
        <v>http://vk.com/club167404954</v>
      </c>
      <c r="Q2832">
        <v>864</v>
      </c>
      <c r="R2832" t="s">
        <v>124</v>
      </c>
      <c r="S2832" t="s">
        <v>125</v>
      </c>
      <c r="T2832" t="s">
        <v>212</v>
      </c>
      <c r="U2832" t="s">
        <v>242</v>
      </c>
      <c r="AM2832" t="s">
        <v>129</v>
      </c>
      <c r="AN2832" t="s">
        <v>130</v>
      </c>
      <c r="AP2832" t="s">
        <v>41</v>
      </c>
      <c r="AZ2832" t="s">
        <v>51</v>
      </c>
      <c r="BB2832" t="s">
        <v>53</v>
      </c>
    </row>
    <row r="2833" spans="1:69" x14ac:dyDescent="0.2">
      <c r="A2833" t="s">
        <v>9786</v>
      </c>
      <c r="B2833" t="s">
        <v>9852</v>
      </c>
      <c r="C2833" t="s">
        <v>9853</v>
      </c>
      <c r="D2833" t="s">
        <v>129</v>
      </c>
      <c r="E2833" t="s">
        <v>9854</v>
      </c>
      <c r="F2833" t="s">
        <v>180</v>
      </c>
      <c r="G2833" t="str">
        <f>HYPERLINK("https://www.facebook.com/permalink.php?story_fbid=1886678948203243&amp;id=100005834674644")</f>
        <v>https://www.facebook.com/permalink.php?story_fbid=1886678948203243&amp;id=100005834674644</v>
      </c>
      <c r="H2833" t="s">
        <v>228</v>
      </c>
      <c r="I2833" t="s">
        <v>9825</v>
      </c>
      <c r="J2833" t="str">
        <f>HYPERLINK("https://www.facebook.com/100005834674644")</f>
        <v>https://www.facebook.com/100005834674644</v>
      </c>
      <c r="K2833">
        <v>5391</v>
      </c>
      <c r="L2833" t="s">
        <v>121</v>
      </c>
      <c r="N2833" t="s">
        <v>305</v>
      </c>
      <c r="O2833" t="s">
        <v>9825</v>
      </c>
      <c r="P2833" t="str">
        <f>HYPERLINK("https://www.facebook.com/100005834674644")</f>
        <v>https://www.facebook.com/100005834674644</v>
      </c>
      <c r="Q2833">
        <v>5391</v>
      </c>
      <c r="R2833" t="s">
        <v>124</v>
      </c>
      <c r="S2833" t="s">
        <v>125</v>
      </c>
      <c r="T2833" t="s">
        <v>523</v>
      </c>
      <c r="U2833" t="s">
        <v>4741</v>
      </c>
      <c r="W2833">
        <v>42</v>
      </c>
      <c r="X2833">
        <v>14</v>
      </c>
      <c r="Y2833">
        <v>1</v>
      </c>
      <c r="Z2833">
        <v>0</v>
      </c>
      <c r="AA2833">
        <v>16</v>
      </c>
      <c r="AB2833">
        <v>8</v>
      </c>
      <c r="AC2833">
        <v>3</v>
      </c>
      <c r="AE2833">
        <v>73</v>
      </c>
      <c r="AF2833">
        <v>0</v>
      </c>
      <c r="AM2833" t="s">
        <v>129</v>
      </c>
      <c r="AN2833" t="s">
        <v>130</v>
      </c>
      <c r="AP2833" t="s">
        <v>41</v>
      </c>
      <c r="AT2833" t="s">
        <v>45</v>
      </c>
      <c r="AW2833" t="s">
        <v>48</v>
      </c>
      <c r="AX2833" t="s">
        <v>49</v>
      </c>
      <c r="AZ2833" t="s">
        <v>51</v>
      </c>
      <c r="BD2833" t="s">
        <v>55</v>
      </c>
    </row>
    <row r="2834" spans="1:69" x14ac:dyDescent="0.2">
      <c r="A2834" t="s">
        <v>9786</v>
      </c>
      <c r="B2834" t="s">
        <v>3063</v>
      </c>
      <c r="C2834" t="s">
        <v>9855</v>
      </c>
      <c r="D2834" t="s">
        <v>9856</v>
      </c>
      <c r="E2834" t="s">
        <v>9857</v>
      </c>
      <c r="F2834" t="s">
        <v>118</v>
      </c>
      <c r="G2834" t="str">
        <f>HYPERLINK("https://vk.com/wall-199277766_705?reply=714&amp;thread=707")</f>
        <v>https://vk.com/wall-199277766_705?reply=714&amp;thread=707</v>
      </c>
      <c r="H2834" t="s">
        <v>119</v>
      </c>
      <c r="I2834" t="s">
        <v>255</v>
      </c>
      <c r="J2834" t="str">
        <f>HYPERLINK("http://vk.com/club199277766")</f>
        <v>http://vk.com/club199277766</v>
      </c>
      <c r="K2834">
        <v>53</v>
      </c>
      <c r="L2834" t="s">
        <v>340</v>
      </c>
      <c r="N2834" t="s">
        <v>122</v>
      </c>
      <c r="O2834" t="s">
        <v>255</v>
      </c>
      <c r="P2834" t="str">
        <f>HYPERLINK("http://vk.com/club199277766")</f>
        <v>http://vk.com/club199277766</v>
      </c>
      <c r="Q2834">
        <v>53</v>
      </c>
      <c r="R2834" t="s">
        <v>124</v>
      </c>
      <c r="AM2834" t="s">
        <v>129</v>
      </c>
      <c r="AN2834" t="s">
        <v>130</v>
      </c>
      <c r="AP2834" t="s">
        <v>41</v>
      </c>
      <c r="AU2834" t="s">
        <v>46</v>
      </c>
      <c r="AZ2834" t="s">
        <v>51</v>
      </c>
      <c r="BA2834" t="s">
        <v>52</v>
      </c>
    </row>
    <row r="2835" spans="1:69" x14ac:dyDescent="0.2">
      <c r="A2835" t="s">
        <v>9786</v>
      </c>
      <c r="B2835" t="s">
        <v>1504</v>
      </c>
      <c r="C2835" t="s">
        <v>9858</v>
      </c>
      <c r="D2835" t="s">
        <v>8502</v>
      </c>
      <c r="E2835" t="s">
        <v>9859</v>
      </c>
      <c r="F2835" t="s">
        <v>118</v>
      </c>
      <c r="G2835" t="str">
        <f>HYPERLINK("https://ok.ru/group/53318809747546/topic/153423195103322#MTYyNTc1MDA5MDE4MTotNTUyOToxNjI1NzUwMDkwMTgxOjE1MzQyMzE5NTEwMzMyMjox")</f>
        <v>https://ok.ru/group/53318809747546/topic/153423195103322#MTYyNTc1MDA5MDE4MTotNTUyOToxNjI1NzUwMDkwMTgxOjE1MzQyMzE5NTEwMzMyMjox</v>
      </c>
      <c r="H2835" t="s">
        <v>181</v>
      </c>
      <c r="I2835" t="s">
        <v>9860</v>
      </c>
      <c r="J2835" t="str">
        <f>HYPERLINK("https://ok.ru/profile/531030352832")</f>
        <v>https://ok.ru/profile/531030352832</v>
      </c>
      <c r="K2835">
        <v>10</v>
      </c>
      <c r="L2835" t="s">
        <v>121</v>
      </c>
      <c r="N2835" t="s">
        <v>347</v>
      </c>
      <c r="O2835" t="s">
        <v>8505</v>
      </c>
      <c r="P2835" t="str">
        <f>HYPERLINK("https://ok.ru/group/53318809747546")</f>
        <v>https://ok.ru/group/53318809747546</v>
      </c>
      <c r="Q2835">
        <v>16788</v>
      </c>
      <c r="R2835" t="s">
        <v>124</v>
      </c>
      <c r="S2835" t="s">
        <v>125</v>
      </c>
      <c r="T2835" t="s">
        <v>523</v>
      </c>
      <c r="U2835" t="s">
        <v>3874</v>
      </c>
      <c r="W2835">
        <v>0</v>
      </c>
      <c r="X2835">
        <v>0</v>
      </c>
      <c r="AM2835" t="s">
        <v>129</v>
      </c>
      <c r="AN2835" t="s">
        <v>130</v>
      </c>
      <c r="AP2835" t="s">
        <v>41</v>
      </c>
      <c r="AT2835" t="s">
        <v>45</v>
      </c>
      <c r="AZ2835" t="s">
        <v>51</v>
      </c>
      <c r="BA2835" t="s">
        <v>52</v>
      </c>
      <c r="BL2835" t="s">
        <v>63</v>
      </c>
    </row>
    <row r="2836" spans="1:69" x14ac:dyDescent="0.2">
      <c r="A2836" t="s">
        <v>9786</v>
      </c>
      <c r="B2836" t="s">
        <v>7754</v>
      </c>
      <c r="C2836" t="s">
        <v>6688</v>
      </c>
      <c r="D2836" t="s">
        <v>2169</v>
      </c>
      <c r="E2836" t="s">
        <v>4017</v>
      </c>
      <c r="F2836" t="s">
        <v>180</v>
      </c>
      <c r="G2836" t="str">
        <f>HYPERLINK("https://www.ozon.ru/context/detail/id/172324122/#58105995")</f>
        <v>https://www.ozon.ru/context/detail/id/172324122/#58105995</v>
      </c>
      <c r="H2836" t="s">
        <v>181</v>
      </c>
      <c r="I2836" t="s">
        <v>512</v>
      </c>
      <c r="J2836" t="str">
        <f>HYPERLINK("https://www.ozon.ru/context/client_opinion/ClientGuid//")</f>
        <v>https://www.ozon.ru/context/client_opinion/ClientGuid//</v>
      </c>
      <c r="N2836" t="s">
        <v>183</v>
      </c>
      <c r="O2836" t="s">
        <v>2169</v>
      </c>
      <c r="P2836" t="str">
        <f>HYPERLINK("https://www.ozon.ru/context/detail/id/172324122/")</f>
        <v>https://www.ozon.ru/context/detail/id/172324122/</v>
      </c>
      <c r="R2836" t="s">
        <v>184</v>
      </c>
      <c r="S2836" t="s">
        <v>125</v>
      </c>
      <c r="W2836">
        <v>0</v>
      </c>
      <c r="X2836">
        <v>0</v>
      </c>
      <c r="AH2836">
        <v>5</v>
      </c>
      <c r="AM2836" t="s">
        <v>129</v>
      </c>
      <c r="AN2836" t="s">
        <v>130</v>
      </c>
      <c r="AP2836" t="s">
        <v>41</v>
      </c>
      <c r="AT2836" t="s">
        <v>45</v>
      </c>
      <c r="AZ2836" t="s">
        <v>51</v>
      </c>
      <c r="BA2836" t="s">
        <v>52</v>
      </c>
      <c r="BL2836" t="s">
        <v>63</v>
      </c>
    </row>
    <row r="2837" spans="1:69" x14ac:dyDescent="0.2">
      <c r="A2837" t="s">
        <v>9786</v>
      </c>
      <c r="B2837" t="s">
        <v>969</v>
      </c>
      <c r="C2837" t="s">
        <v>9861</v>
      </c>
      <c r="D2837" t="s">
        <v>204</v>
      </c>
      <c r="E2837" t="s">
        <v>9862</v>
      </c>
      <c r="F2837" t="s">
        <v>180</v>
      </c>
      <c r="G2837" t="str">
        <f>HYPERLINK("https://play.google.com/store/apps/details?id=ru.iflex.android.a3colortv&amp;reviewId=gp:AOqpTOEpfIPz1qIBbBAnW4u12y3TEGNCURKSU8mVJnlFod8-DxwRlV-aFEEBsVdtKooCvgWdyBBhGoc_B-ZnbQ")</f>
        <v>https://play.google.com/store/apps/details?id=ru.iflex.android.a3colortv&amp;reviewId=gp:AOqpTOEpfIPz1qIBbBAnW4u12y3TEGNCURKSU8mVJnlFod8-DxwRlV-aFEEBsVdtKooCvgWdyBBhGoc_B-ZnbQ</v>
      </c>
      <c r="H2837" t="s">
        <v>181</v>
      </c>
      <c r="I2837" t="s">
        <v>9863</v>
      </c>
      <c r="J2837" t="str">
        <f>HYPERLINK("https://plus.google.com/107200162595243207618")</f>
        <v>https://plus.google.com/107200162595243207618</v>
      </c>
      <c r="N2837" t="s">
        <v>207</v>
      </c>
      <c r="O2837" t="s">
        <v>204</v>
      </c>
      <c r="P2837" t="str">
        <f>HYPERLINK("https://play.google.com/store/apps/details?id=ru.iflex.android.a3colortv&amp;hl=ru")</f>
        <v>https://play.google.com/store/apps/details?id=ru.iflex.android.a3colortv&amp;hl=ru</v>
      </c>
      <c r="R2837" t="s">
        <v>184</v>
      </c>
      <c r="S2837" t="s">
        <v>125</v>
      </c>
      <c r="W2837">
        <v>0</v>
      </c>
      <c r="X2837">
        <v>0</v>
      </c>
      <c r="AH2837">
        <v>5</v>
      </c>
      <c r="AM2837" t="s">
        <v>129</v>
      </c>
      <c r="AN2837" t="s">
        <v>130</v>
      </c>
      <c r="AP2837" t="s">
        <v>41</v>
      </c>
      <c r="AZ2837" t="s">
        <v>51</v>
      </c>
      <c r="BA2837" t="s">
        <v>52</v>
      </c>
      <c r="BQ2837" t="s">
        <v>68</v>
      </c>
    </row>
    <row r="2838" spans="1:69" x14ac:dyDescent="0.2">
      <c r="A2838" t="s">
        <v>9786</v>
      </c>
      <c r="B2838" t="s">
        <v>8533</v>
      </c>
      <c r="C2838" t="s">
        <v>9861</v>
      </c>
      <c r="D2838" t="s">
        <v>204</v>
      </c>
      <c r="E2838" t="s">
        <v>9864</v>
      </c>
      <c r="F2838" t="s">
        <v>180</v>
      </c>
      <c r="G2838" t="str">
        <f>HYPERLINK("https://play.google.com/store/apps/details?id=ru.iflex.android.a3colortv&amp;reviewId=gp:AOqpTOGGmWfnYd0adBm9wFIKkqBiJvTRa1FVOu4bVKZ5qFHieMtnb7eldlPV9TYeaqIyPaoWBFbiTWvfosg7FA")</f>
        <v>https://play.google.com/store/apps/details?id=ru.iflex.android.a3colortv&amp;reviewId=gp:AOqpTOGGmWfnYd0adBm9wFIKkqBiJvTRa1FVOu4bVKZ5qFHieMtnb7eldlPV9TYeaqIyPaoWBFbiTWvfosg7FA</v>
      </c>
      <c r="H2838" t="s">
        <v>119</v>
      </c>
      <c r="I2838" t="s">
        <v>9865</v>
      </c>
      <c r="J2838" t="str">
        <f>HYPERLINK("https://plus.google.com/118029694979762911961")</f>
        <v>https://plus.google.com/118029694979762911961</v>
      </c>
      <c r="L2838" t="s">
        <v>121</v>
      </c>
      <c r="N2838" t="s">
        <v>207</v>
      </c>
      <c r="O2838" t="s">
        <v>204</v>
      </c>
      <c r="P2838" t="str">
        <f>HYPERLINK("https://play.google.com/store/apps/details?id=ru.iflex.android.a3colortv&amp;hl=ru")</f>
        <v>https://play.google.com/store/apps/details?id=ru.iflex.android.a3colortv&amp;hl=ru</v>
      </c>
      <c r="R2838" t="s">
        <v>184</v>
      </c>
      <c r="S2838" t="s">
        <v>125</v>
      </c>
      <c r="W2838">
        <v>0</v>
      </c>
      <c r="X2838">
        <v>0</v>
      </c>
      <c r="AH2838">
        <v>4</v>
      </c>
      <c r="AM2838" t="s">
        <v>129</v>
      </c>
      <c r="AN2838" t="s">
        <v>130</v>
      </c>
      <c r="AP2838" t="s">
        <v>41</v>
      </c>
      <c r="AU2838" t="s">
        <v>46</v>
      </c>
      <c r="AY2838" t="s">
        <v>50</v>
      </c>
      <c r="BA2838" t="s">
        <v>52</v>
      </c>
      <c r="BE2838" t="s">
        <v>56</v>
      </c>
    </row>
    <row r="2839" spans="1:69" x14ac:dyDescent="0.2">
      <c r="A2839" t="s">
        <v>9786</v>
      </c>
      <c r="B2839" t="s">
        <v>1555</v>
      </c>
      <c r="C2839" t="s">
        <v>9499</v>
      </c>
      <c r="D2839" t="s">
        <v>5773</v>
      </c>
      <c r="E2839" t="s">
        <v>9866</v>
      </c>
      <c r="F2839" t="s">
        <v>180</v>
      </c>
      <c r="G2839" t="str">
        <f>HYPERLINK("https://market.yandex.ru/product/902901982/reviews?id=134220787")</f>
        <v>https://market.yandex.ru/product/902901982/reviews?id=134220787</v>
      </c>
      <c r="H2839" t="s">
        <v>181</v>
      </c>
      <c r="I2839" t="s">
        <v>9867</v>
      </c>
      <c r="J2839" t="str">
        <f>HYPERLINK("https://market.yandex.ru/user/nc8zqx5ym6y6n0dw16bbmb1qn8/reviews")</f>
        <v>https://market.yandex.ru/user/nc8zqx5ym6y6n0dw16bbmb1qn8/reviews</v>
      </c>
      <c r="N2839" t="s">
        <v>611</v>
      </c>
      <c r="O2839" t="s">
        <v>5773</v>
      </c>
      <c r="P2839" t="str">
        <f>HYPERLINK("https://market.yandex.ru/product/902901982")</f>
        <v>https://market.yandex.ru/product/902901982</v>
      </c>
      <c r="R2839" t="s">
        <v>184</v>
      </c>
      <c r="S2839" t="s">
        <v>125</v>
      </c>
      <c r="T2839" t="s">
        <v>169</v>
      </c>
      <c r="U2839" t="s">
        <v>169</v>
      </c>
      <c r="W2839">
        <v>0</v>
      </c>
      <c r="X2839">
        <v>0</v>
      </c>
      <c r="AH2839">
        <v>5</v>
      </c>
      <c r="AM2839" t="s">
        <v>129</v>
      </c>
      <c r="AN2839" t="s">
        <v>130</v>
      </c>
      <c r="AP2839" t="s">
        <v>41</v>
      </c>
      <c r="AZ2839" t="s">
        <v>51</v>
      </c>
      <c r="BA2839" t="s">
        <v>52</v>
      </c>
      <c r="BK2839" t="s">
        <v>62</v>
      </c>
    </row>
    <row r="2840" spans="1:69" x14ac:dyDescent="0.2">
      <c r="A2840" t="s">
        <v>9786</v>
      </c>
      <c r="B2840" t="s">
        <v>1566</v>
      </c>
      <c r="C2840" t="s">
        <v>9868</v>
      </c>
      <c r="D2840" t="s">
        <v>9628</v>
      </c>
      <c r="E2840" t="s">
        <v>9869</v>
      </c>
      <c r="F2840" t="s">
        <v>118</v>
      </c>
      <c r="G2840" t="str">
        <f>HYPERLINK("https://vk.com/wall-22935147_368246?w=wall-22935147_368246_r368257")</f>
        <v>https://vk.com/wall-22935147_368246?w=wall-22935147_368246_r368257</v>
      </c>
      <c r="H2840" t="s">
        <v>119</v>
      </c>
      <c r="I2840" t="s">
        <v>1818</v>
      </c>
      <c r="J2840" t="str">
        <f>HYPERLINK("http://vk.com/id199511638")</f>
        <v>http://vk.com/id199511638</v>
      </c>
      <c r="K2840">
        <v>176</v>
      </c>
      <c r="L2840" t="s">
        <v>121</v>
      </c>
      <c r="M2840">
        <v>45</v>
      </c>
      <c r="N2840" t="s">
        <v>122</v>
      </c>
      <c r="O2840" t="s">
        <v>1093</v>
      </c>
      <c r="P2840" t="str">
        <f>HYPERLINK("http://vk.com/club22935147")</f>
        <v>http://vk.com/club22935147</v>
      </c>
      <c r="Q2840">
        <v>8943</v>
      </c>
      <c r="R2840" t="s">
        <v>124</v>
      </c>
      <c r="S2840" t="s">
        <v>125</v>
      </c>
      <c r="T2840" t="s">
        <v>1819</v>
      </c>
      <c r="U2840" t="s">
        <v>1820</v>
      </c>
      <c r="W2840">
        <v>0</v>
      </c>
      <c r="X2840">
        <v>0</v>
      </c>
      <c r="AM2840" t="s">
        <v>129</v>
      </c>
      <c r="AN2840" t="s">
        <v>130</v>
      </c>
      <c r="AP2840" t="s">
        <v>41</v>
      </c>
      <c r="AW2840" t="s">
        <v>48</v>
      </c>
      <c r="AZ2840" t="s">
        <v>51</v>
      </c>
      <c r="BA2840" t="s">
        <v>52</v>
      </c>
      <c r="BL2840" t="s">
        <v>63</v>
      </c>
    </row>
    <row r="2841" spans="1:69" x14ac:dyDescent="0.2">
      <c r="A2841" t="s">
        <v>9786</v>
      </c>
      <c r="B2841" t="s">
        <v>9870</v>
      </c>
      <c r="C2841" t="s">
        <v>9861</v>
      </c>
      <c r="D2841" t="s">
        <v>204</v>
      </c>
      <c r="E2841" t="s">
        <v>9871</v>
      </c>
      <c r="F2841" t="s">
        <v>180</v>
      </c>
      <c r="G2841" t="str">
        <f>HYPERLINK("https://play.google.com/store/apps/details?id=ru.iflex.android.a3colortv&amp;reviewId=gp:AOqpTOGzk4QKiHaWS8ae_8V6ATxjJSugjDEVspxiMuQqNe8huK8Lrml09HVMNN4tgtRVv1-PIWty0MUlgmCOWA")</f>
        <v>https://play.google.com/store/apps/details?id=ru.iflex.android.a3colortv&amp;reviewId=gp:AOqpTOGzk4QKiHaWS8ae_8V6ATxjJSugjDEVspxiMuQqNe8huK8Lrml09HVMNN4tgtRVv1-PIWty0MUlgmCOWA</v>
      </c>
      <c r="H2841" t="s">
        <v>181</v>
      </c>
      <c r="I2841" t="s">
        <v>9872</v>
      </c>
      <c r="J2841" t="str">
        <f>HYPERLINK("https://plus.google.com/106890081615848110335")</f>
        <v>https://plus.google.com/106890081615848110335</v>
      </c>
      <c r="L2841" t="s">
        <v>151</v>
      </c>
      <c r="N2841" t="s">
        <v>207</v>
      </c>
      <c r="O2841" t="s">
        <v>204</v>
      </c>
      <c r="P2841" t="str">
        <f>HYPERLINK("https://play.google.com/store/apps/details?id=ru.iflex.android.a3colortv&amp;hl=ru")</f>
        <v>https://play.google.com/store/apps/details?id=ru.iflex.android.a3colortv&amp;hl=ru</v>
      </c>
      <c r="R2841" t="s">
        <v>184</v>
      </c>
      <c r="S2841" t="s">
        <v>125</v>
      </c>
      <c r="W2841">
        <v>0</v>
      </c>
      <c r="X2841">
        <v>0</v>
      </c>
      <c r="AH2841">
        <v>5</v>
      </c>
      <c r="AM2841" t="s">
        <v>129</v>
      </c>
      <c r="AN2841" t="s">
        <v>130</v>
      </c>
      <c r="AP2841" t="s">
        <v>41</v>
      </c>
      <c r="AY2841" t="s">
        <v>50</v>
      </c>
      <c r="AZ2841" t="s">
        <v>51</v>
      </c>
      <c r="BA2841" t="s">
        <v>52</v>
      </c>
      <c r="BQ2841" t="s">
        <v>68</v>
      </c>
    </row>
    <row r="2842" spans="1:69" x14ac:dyDescent="0.2">
      <c r="A2842" t="s">
        <v>9786</v>
      </c>
      <c r="B2842" t="s">
        <v>1581</v>
      </c>
      <c r="C2842" t="s">
        <v>9873</v>
      </c>
      <c r="D2842" t="s">
        <v>3388</v>
      </c>
      <c r="E2842" t="s">
        <v>9874</v>
      </c>
      <c r="F2842" t="s">
        <v>180</v>
      </c>
      <c r="G2842" t="str">
        <f>HYPERLINK("https://www.wildberries.ru/catalog/25365834/detail.aspx?targetUrl=ES#Comments")</f>
        <v>https://www.wildberries.ru/catalog/25365834/detail.aspx?targetUrl=ES#Comments</v>
      </c>
      <c r="H2842" t="s">
        <v>181</v>
      </c>
      <c r="I2842" t="s">
        <v>6657</v>
      </c>
      <c r="J2842" t="str">
        <f>HYPERLINK("https://www.wildberries.ru/profile/w7TDssOkw7PCu8KzwrLCscK5wrXCssKzwrg=")</f>
        <v>https://www.wildberries.ru/profile/w7TDssOkw7PCu8KzwrLCscK5wrXCssKzwrg=</v>
      </c>
      <c r="L2842" t="s">
        <v>151</v>
      </c>
      <c r="N2842" t="s">
        <v>534</v>
      </c>
      <c r="O2842" t="s">
        <v>3388</v>
      </c>
      <c r="P2842" t="str">
        <f>HYPERLINK("https://www.wildberries.ru/catalog/18682734/detail.aspx")</f>
        <v>https://www.wildberries.ru/catalog/18682734/detail.aspx</v>
      </c>
      <c r="R2842" t="s">
        <v>184</v>
      </c>
      <c r="S2842" t="s">
        <v>125</v>
      </c>
      <c r="W2842">
        <v>1</v>
      </c>
      <c r="X2842">
        <v>1</v>
      </c>
      <c r="AH2842">
        <v>5</v>
      </c>
      <c r="AJ2842" t="s">
        <v>129</v>
      </c>
      <c r="AK2842" t="s">
        <v>129</v>
      </c>
      <c r="AL2842" t="str">
        <f>HYPERLINK("http://feedbackphotos.wbstatic.net/feedbacks/1868/18682734/bf8cfc8b-fc2a-4793-9ffa-c24438b0b921_fs.jpg")</f>
        <v>http://feedbackphotos.wbstatic.net/feedbacks/1868/18682734/bf8cfc8b-fc2a-4793-9ffa-c24438b0b921_fs.jpg</v>
      </c>
      <c r="AM2842" t="s">
        <v>129</v>
      </c>
      <c r="AN2842" t="s">
        <v>130</v>
      </c>
      <c r="AP2842" t="s">
        <v>41</v>
      </c>
      <c r="AT2842" t="s">
        <v>45</v>
      </c>
      <c r="AZ2842" t="s">
        <v>51</v>
      </c>
      <c r="BA2842" t="s">
        <v>52</v>
      </c>
    </row>
    <row r="2843" spans="1:69" x14ac:dyDescent="0.2">
      <c r="A2843" t="s">
        <v>9786</v>
      </c>
      <c r="B2843" t="s">
        <v>5214</v>
      </c>
      <c r="C2843" t="s">
        <v>9875</v>
      </c>
      <c r="D2843" t="s">
        <v>9876</v>
      </c>
      <c r="E2843" t="s">
        <v>9877</v>
      </c>
      <c r="F2843" t="s">
        <v>118</v>
      </c>
      <c r="G2843" t="str">
        <f>HYPERLINK("https://vk.com/wall-167714348_260863?reply=261035")</f>
        <v>https://vk.com/wall-167714348_260863?reply=261035</v>
      </c>
      <c r="H2843" t="s">
        <v>181</v>
      </c>
      <c r="I2843" t="s">
        <v>9878</v>
      </c>
      <c r="J2843" t="str">
        <f>HYPERLINK("http://vk.com/id482464272")</f>
        <v>http://vk.com/id482464272</v>
      </c>
      <c r="K2843">
        <v>69</v>
      </c>
      <c r="L2843" t="s">
        <v>151</v>
      </c>
      <c r="N2843" t="s">
        <v>122</v>
      </c>
      <c r="O2843" t="s">
        <v>9879</v>
      </c>
      <c r="P2843" t="str">
        <f>HYPERLINK("http://vk.com/club167714348")</f>
        <v>http://vk.com/club167714348</v>
      </c>
      <c r="Q2843">
        <v>395007</v>
      </c>
      <c r="R2843" t="s">
        <v>124</v>
      </c>
      <c r="S2843" t="s">
        <v>125</v>
      </c>
      <c r="AM2843" t="s">
        <v>129</v>
      </c>
      <c r="AN2843" t="s">
        <v>130</v>
      </c>
      <c r="AP2843" t="s">
        <v>41</v>
      </c>
      <c r="AZ2843" t="s">
        <v>51</v>
      </c>
      <c r="BA2843" t="s">
        <v>52</v>
      </c>
    </row>
    <row r="2844" spans="1:69" x14ac:dyDescent="0.2">
      <c r="A2844" t="s">
        <v>9786</v>
      </c>
      <c r="B2844" t="s">
        <v>2604</v>
      </c>
      <c r="C2844" t="s">
        <v>9880</v>
      </c>
      <c r="D2844" t="s">
        <v>9628</v>
      </c>
      <c r="E2844" t="s">
        <v>9881</v>
      </c>
      <c r="F2844" t="s">
        <v>118</v>
      </c>
      <c r="G2844" t="str">
        <f>HYPERLINK("https://vk.com/wall-22935147_368246?w=wall-22935147_368246_r368256")</f>
        <v>https://vk.com/wall-22935147_368246?w=wall-22935147_368246_r368256</v>
      </c>
      <c r="H2844" t="s">
        <v>119</v>
      </c>
      <c r="I2844" t="s">
        <v>4987</v>
      </c>
      <c r="J2844" t="str">
        <f>HYPERLINK("http://vk.com/id2397772")</f>
        <v>http://vk.com/id2397772</v>
      </c>
      <c r="K2844">
        <v>99</v>
      </c>
      <c r="L2844" t="s">
        <v>121</v>
      </c>
      <c r="N2844" t="s">
        <v>122</v>
      </c>
      <c r="O2844" t="s">
        <v>1093</v>
      </c>
      <c r="P2844" t="str">
        <f>HYPERLINK("http://vk.com/club22935147")</f>
        <v>http://vk.com/club22935147</v>
      </c>
      <c r="Q2844">
        <v>8943</v>
      </c>
      <c r="R2844" t="s">
        <v>124</v>
      </c>
      <c r="S2844" t="s">
        <v>125</v>
      </c>
      <c r="T2844" t="s">
        <v>2225</v>
      </c>
      <c r="U2844" t="s">
        <v>2861</v>
      </c>
      <c r="W2844">
        <v>0</v>
      </c>
      <c r="X2844">
        <v>0</v>
      </c>
      <c r="AM2844" t="s">
        <v>129</v>
      </c>
      <c r="AN2844" t="s">
        <v>130</v>
      </c>
      <c r="AP2844" t="s">
        <v>41</v>
      </c>
      <c r="AW2844" t="s">
        <v>48</v>
      </c>
      <c r="AZ2844" t="s">
        <v>51</v>
      </c>
      <c r="BA2844" t="s">
        <v>52</v>
      </c>
      <c r="BM2844" t="s">
        <v>64</v>
      </c>
    </row>
    <row r="2845" spans="1:69" x14ac:dyDescent="0.2">
      <c r="A2845" t="s">
        <v>9786</v>
      </c>
      <c r="B2845" t="s">
        <v>1602</v>
      </c>
      <c r="C2845" t="s">
        <v>9880</v>
      </c>
      <c r="D2845" t="s">
        <v>9628</v>
      </c>
      <c r="E2845" t="s">
        <v>9882</v>
      </c>
      <c r="F2845" t="s">
        <v>118</v>
      </c>
      <c r="G2845" t="str">
        <f>HYPERLINK("https://vk.com/wall-22935147_368246?w=wall-22935147_368246_r368255")</f>
        <v>https://vk.com/wall-22935147_368246?w=wall-22935147_368246_r368255</v>
      </c>
      <c r="H2845" t="s">
        <v>119</v>
      </c>
      <c r="I2845" t="s">
        <v>5399</v>
      </c>
      <c r="J2845" t="str">
        <f>HYPERLINK("http://vk.com/id186352920")</f>
        <v>http://vk.com/id186352920</v>
      </c>
      <c r="K2845">
        <v>1125</v>
      </c>
      <c r="L2845" t="s">
        <v>151</v>
      </c>
      <c r="M2845">
        <v>33</v>
      </c>
      <c r="N2845" t="s">
        <v>122</v>
      </c>
      <c r="O2845" t="s">
        <v>1093</v>
      </c>
      <c r="P2845" t="str">
        <f>HYPERLINK("http://vk.com/club22935147")</f>
        <v>http://vk.com/club22935147</v>
      </c>
      <c r="Q2845">
        <v>8943</v>
      </c>
      <c r="R2845" t="s">
        <v>124</v>
      </c>
      <c r="S2845" t="s">
        <v>125</v>
      </c>
      <c r="T2845" t="s">
        <v>1275</v>
      </c>
      <c r="U2845" t="s">
        <v>5400</v>
      </c>
      <c r="W2845">
        <v>0</v>
      </c>
      <c r="X2845">
        <v>0</v>
      </c>
      <c r="AM2845" t="s">
        <v>129</v>
      </c>
      <c r="AN2845" t="s">
        <v>130</v>
      </c>
      <c r="AP2845" t="s">
        <v>41</v>
      </c>
      <c r="AU2845" t="s">
        <v>46</v>
      </c>
      <c r="AW2845" t="s">
        <v>48</v>
      </c>
      <c r="AZ2845" t="s">
        <v>51</v>
      </c>
      <c r="BA2845" t="s">
        <v>52</v>
      </c>
    </row>
    <row r="2846" spans="1:69" x14ac:dyDescent="0.2">
      <c r="A2846" t="s">
        <v>9786</v>
      </c>
      <c r="B2846" t="s">
        <v>5232</v>
      </c>
      <c r="C2846" t="s">
        <v>9880</v>
      </c>
      <c r="D2846" t="s">
        <v>9628</v>
      </c>
      <c r="E2846" t="s">
        <v>9883</v>
      </c>
      <c r="F2846" t="s">
        <v>118</v>
      </c>
      <c r="G2846" t="str">
        <f>HYPERLINK("https://vk.com/wall-22935147_368246?w=wall-22935147_368246_r368254")</f>
        <v>https://vk.com/wall-22935147_368246?w=wall-22935147_368246_r368254</v>
      </c>
      <c r="H2846" t="s">
        <v>119</v>
      </c>
      <c r="I2846" t="s">
        <v>5399</v>
      </c>
      <c r="J2846" t="str">
        <f>HYPERLINK("http://vk.com/id186352920")</f>
        <v>http://vk.com/id186352920</v>
      </c>
      <c r="K2846">
        <v>1125</v>
      </c>
      <c r="L2846" t="s">
        <v>151</v>
      </c>
      <c r="M2846">
        <v>33</v>
      </c>
      <c r="N2846" t="s">
        <v>122</v>
      </c>
      <c r="O2846" t="s">
        <v>1093</v>
      </c>
      <c r="P2846" t="str">
        <f>HYPERLINK("http://vk.com/club22935147")</f>
        <v>http://vk.com/club22935147</v>
      </c>
      <c r="Q2846">
        <v>8943</v>
      </c>
      <c r="R2846" t="s">
        <v>124</v>
      </c>
      <c r="S2846" t="s">
        <v>125</v>
      </c>
      <c r="T2846" t="s">
        <v>1275</v>
      </c>
      <c r="U2846" t="s">
        <v>5400</v>
      </c>
      <c r="W2846">
        <v>0</v>
      </c>
      <c r="X2846">
        <v>0</v>
      </c>
      <c r="AM2846" t="s">
        <v>129</v>
      </c>
      <c r="AN2846" t="s">
        <v>130</v>
      </c>
      <c r="AP2846" t="s">
        <v>41</v>
      </c>
      <c r="AU2846" t="s">
        <v>46</v>
      </c>
      <c r="AW2846" t="s">
        <v>48</v>
      </c>
      <c r="AZ2846" t="s">
        <v>51</v>
      </c>
      <c r="BA2846" t="s">
        <v>52</v>
      </c>
    </row>
    <row r="2847" spans="1:69" x14ac:dyDescent="0.2">
      <c r="A2847" t="s">
        <v>9786</v>
      </c>
      <c r="B2847" t="s">
        <v>3141</v>
      </c>
      <c r="C2847" t="s">
        <v>9884</v>
      </c>
      <c r="D2847" t="s">
        <v>9628</v>
      </c>
      <c r="E2847" t="s">
        <v>9885</v>
      </c>
      <c r="F2847" t="s">
        <v>118</v>
      </c>
      <c r="G2847" t="str">
        <f>HYPERLINK("https://vk.com/wall-22935147_368246?reply=368253")</f>
        <v>https://vk.com/wall-22935147_368246?reply=368253</v>
      </c>
      <c r="H2847" t="s">
        <v>228</v>
      </c>
      <c r="I2847" t="s">
        <v>9886</v>
      </c>
      <c r="J2847" t="str">
        <f>HYPERLINK("http://vk.com/id107952156")</f>
        <v>http://vk.com/id107952156</v>
      </c>
      <c r="K2847">
        <v>442</v>
      </c>
      <c r="L2847" t="s">
        <v>121</v>
      </c>
      <c r="M2847">
        <v>32</v>
      </c>
      <c r="N2847" t="s">
        <v>122</v>
      </c>
      <c r="O2847" t="s">
        <v>1093</v>
      </c>
      <c r="P2847" t="str">
        <f>HYPERLINK("http://vk.com/club22935147")</f>
        <v>http://vk.com/club22935147</v>
      </c>
      <c r="Q2847">
        <v>8943</v>
      </c>
      <c r="R2847" t="s">
        <v>124</v>
      </c>
      <c r="S2847" t="s">
        <v>125</v>
      </c>
      <c r="T2847" t="s">
        <v>3158</v>
      </c>
      <c r="U2847" t="s">
        <v>8647</v>
      </c>
      <c r="AM2847" t="s">
        <v>129</v>
      </c>
      <c r="AN2847" t="s">
        <v>130</v>
      </c>
      <c r="AP2847" t="s">
        <v>41</v>
      </c>
      <c r="AW2847" t="s">
        <v>48</v>
      </c>
      <c r="AZ2847" t="s">
        <v>51</v>
      </c>
      <c r="BA2847" t="s">
        <v>52</v>
      </c>
      <c r="BL2847" t="s">
        <v>63</v>
      </c>
    </row>
    <row r="2848" spans="1:69" x14ac:dyDescent="0.2">
      <c r="A2848" t="s">
        <v>9786</v>
      </c>
      <c r="B2848" t="s">
        <v>4776</v>
      </c>
      <c r="C2848" t="s">
        <v>9887</v>
      </c>
      <c r="D2848" t="s">
        <v>9888</v>
      </c>
      <c r="E2848" t="s">
        <v>9889</v>
      </c>
      <c r="F2848" t="s">
        <v>118</v>
      </c>
      <c r="G2848" t="str">
        <f>HYPERLINK("https://vk.com/wall-27863223_291543?reply=291552&amp;thread=291544")</f>
        <v>https://vk.com/wall-27863223_291543?reply=291552&amp;thread=291544</v>
      </c>
      <c r="H2848" t="s">
        <v>119</v>
      </c>
      <c r="I2848" t="s">
        <v>9890</v>
      </c>
      <c r="J2848" t="str">
        <f>HYPERLINK("http://vk.com/id499643486")</f>
        <v>http://vk.com/id499643486</v>
      </c>
      <c r="K2848">
        <v>478</v>
      </c>
      <c r="L2848" t="s">
        <v>121</v>
      </c>
      <c r="M2848">
        <v>14</v>
      </c>
      <c r="N2848" t="s">
        <v>122</v>
      </c>
      <c r="O2848" t="s">
        <v>175</v>
      </c>
      <c r="P2848" t="str">
        <f>HYPERLINK("http://vk.com/club27863223")</f>
        <v>http://vk.com/club27863223</v>
      </c>
      <c r="Q2848">
        <v>134698</v>
      </c>
      <c r="R2848" t="s">
        <v>124</v>
      </c>
      <c r="S2848" t="s">
        <v>125</v>
      </c>
      <c r="AM2848" t="s">
        <v>129</v>
      </c>
      <c r="AN2848" t="s">
        <v>130</v>
      </c>
      <c r="AP2848" t="s">
        <v>41</v>
      </c>
      <c r="AT2848" t="s">
        <v>45</v>
      </c>
      <c r="AX2848" t="s">
        <v>49</v>
      </c>
      <c r="AZ2848" t="s">
        <v>51</v>
      </c>
      <c r="BA2848" t="s">
        <v>52</v>
      </c>
      <c r="BL2848" t="s">
        <v>63</v>
      </c>
    </row>
    <row r="2849" spans="1:69" x14ac:dyDescent="0.2">
      <c r="A2849" t="s">
        <v>9786</v>
      </c>
      <c r="B2849" t="s">
        <v>2084</v>
      </c>
      <c r="C2849" t="s">
        <v>9875</v>
      </c>
      <c r="D2849" t="s">
        <v>9891</v>
      </c>
      <c r="E2849" t="s">
        <v>9892</v>
      </c>
      <c r="F2849" t="s">
        <v>180</v>
      </c>
      <c r="G2849" t="str">
        <f>HYPERLINK("https://telesputnik.ru/materials/content/news/telekanal-paramount-comedy-i-trikolor-snyali-shou-s-populyarnymi-stendap-komikami-k-premere-seriala-/")</f>
        <v>https://telesputnik.ru/materials/content/news/telekanal-paramount-comedy-i-trikolor-snyali-shou-s-populyarnymi-stendap-komikami-k-premere-seriala-/</v>
      </c>
      <c r="H2849" t="s">
        <v>119</v>
      </c>
      <c r="N2849" t="s">
        <v>335</v>
      </c>
      <c r="R2849" t="s">
        <v>785</v>
      </c>
      <c r="S2849" t="s">
        <v>125</v>
      </c>
      <c r="AM2849" t="s">
        <v>129</v>
      </c>
      <c r="AN2849" t="s">
        <v>130</v>
      </c>
      <c r="AV2849" t="s">
        <v>47</v>
      </c>
    </row>
    <row r="2850" spans="1:69" x14ac:dyDescent="0.2">
      <c r="A2850" t="s">
        <v>9786</v>
      </c>
      <c r="B2850" t="s">
        <v>2084</v>
      </c>
      <c r="C2850" t="s">
        <v>9893</v>
      </c>
      <c r="D2850" t="s">
        <v>9891</v>
      </c>
      <c r="E2850" t="s">
        <v>9894</v>
      </c>
      <c r="F2850" t="s">
        <v>180</v>
      </c>
      <c r="G2850" t="str">
        <f>HYPERLINK("https://www.telesputnik.ru/materials/content/news/telekanal-paramount-comedy-i-trikolor-snyali-shou-s-populyarnymi-stendap-komikami-k-premere-seriala-/")</f>
        <v>https://www.telesputnik.ru/materials/content/news/telekanal-paramount-comedy-i-trikolor-snyali-shou-s-populyarnymi-stendap-komikami-k-premere-seriala-/</v>
      </c>
      <c r="H2850" t="s">
        <v>119</v>
      </c>
      <c r="N2850" t="s">
        <v>335</v>
      </c>
      <c r="R2850" t="s">
        <v>785</v>
      </c>
      <c r="S2850" t="s">
        <v>125</v>
      </c>
      <c r="T2850" t="s">
        <v>487</v>
      </c>
      <c r="U2850" t="s">
        <v>1456</v>
      </c>
      <c r="AJ2850" t="s">
        <v>9895</v>
      </c>
      <c r="AK2850" t="s">
        <v>9896</v>
      </c>
      <c r="AL2850" t="str">
        <f>HYPERLINK("http://www.telesputnik.ru/upload/iblock/251/telekanal_paramount_comedy_i_trikolor_snyali_shou_s_populyarnymi_stendap_komikami_k_premere_seriala.JPG")</f>
        <v>http://www.telesputnik.ru/upload/iblock/251/telekanal_paramount_comedy_i_trikolor_snyali_shou_s_populyarnymi_stendap_komikami_k_premere_seriala.JPG</v>
      </c>
      <c r="AM2850" t="s">
        <v>129</v>
      </c>
      <c r="AN2850" t="s">
        <v>130</v>
      </c>
      <c r="AV2850" t="s">
        <v>47</v>
      </c>
    </row>
    <row r="2851" spans="1:69" x14ac:dyDescent="0.2">
      <c r="A2851" t="s">
        <v>9786</v>
      </c>
      <c r="B2851" t="s">
        <v>496</v>
      </c>
      <c r="C2851" t="s">
        <v>9897</v>
      </c>
      <c r="D2851" t="s">
        <v>9898</v>
      </c>
      <c r="E2851" t="s">
        <v>9899</v>
      </c>
      <c r="F2851" t="s">
        <v>180</v>
      </c>
      <c r="G2851" t="str">
        <f>HYPERLINK("https://telesputnik.ru/forum/viewtopic.php?f=7&amp;t=87669#p2479814")</f>
        <v>https://telesputnik.ru/forum/viewtopic.php?f=7&amp;t=87669#p2479814</v>
      </c>
      <c r="H2851" t="s">
        <v>119</v>
      </c>
      <c r="I2851" t="s">
        <v>9900</v>
      </c>
      <c r="J2851" t="str">
        <f>HYPERLINK("https://telesputnik.ru/forum/memberlist.php?mode=viewprofile&amp;u=42246")</f>
        <v>https://telesputnik.ru/forum/memberlist.php?mode=viewprofile&amp;u=42246</v>
      </c>
      <c r="N2851" t="s">
        <v>335</v>
      </c>
      <c r="O2851" t="s">
        <v>1126</v>
      </c>
      <c r="P2851" t="str">
        <f>HYPERLINK("https://telesputnik.ru/forum/viewforum.php?f=7")</f>
        <v>https://telesputnik.ru/forum/viewforum.php?f=7</v>
      </c>
      <c r="R2851" t="s">
        <v>295</v>
      </c>
      <c r="S2851" t="s">
        <v>125</v>
      </c>
      <c r="T2851" t="s">
        <v>494</v>
      </c>
      <c r="U2851" t="s">
        <v>495</v>
      </c>
      <c r="AM2851" t="s">
        <v>129</v>
      </c>
      <c r="AN2851" t="s">
        <v>130</v>
      </c>
      <c r="AP2851" t="s">
        <v>41</v>
      </c>
      <c r="AY2851" t="s">
        <v>50</v>
      </c>
      <c r="AZ2851" t="s">
        <v>51</v>
      </c>
      <c r="BA2851" t="s">
        <v>52</v>
      </c>
      <c r="BC2851" t="s">
        <v>54</v>
      </c>
    </row>
    <row r="2852" spans="1:69" x14ac:dyDescent="0.2">
      <c r="A2852" t="s">
        <v>9786</v>
      </c>
      <c r="B2852" t="s">
        <v>1047</v>
      </c>
      <c r="C2852" t="s">
        <v>9901</v>
      </c>
      <c r="D2852" t="s">
        <v>9628</v>
      </c>
      <c r="E2852" t="s">
        <v>9902</v>
      </c>
      <c r="F2852" t="s">
        <v>118</v>
      </c>
      <c r="G2852" t="str">
        <f>HYPERLINK("https://vk.com/wall-22935147_368246?w=wall-22935147_368246_r368252")</f>
        <v>https://vk.com/wall-22935147_368246?w=wall-22935147_368246_r368252</v>
      </c>
      <c r="H2852" t="s">
        <v>119</v>
      </c>
      <c r="I2852" t="s">
        <v>4987</v>
      </c>
      <c r="J2852" t="str">
        <f>HYPERLINK("http://vk.com/id2397772")</f>
        <v>http://vk.com/id2397772</v>
      </c>
      <c r="K2852">
        <v>99</v>
      </c>
      <c r="L2852" t="s">
        <v>121</v>
      </c>
      <c r="N2852" t="s">
        <v>122</v>
      </c>
      <c r="O2852" t="s">
        <v>1093</v>
      </c>
      <c r="P2852" t="str">
        <f>HYPERLINK("http://vk.com/club22935147")</f>
        <v>http://vk.com/club22935147</v>
      </c>
      <c r="Q2852">
        <v>8943</v>
      </c>
      <c r="R2852" t="s">
        <v>124</v>
      </c>
      <c r="S2852" t="s">
        <v>125</v>
      </c>
      <c r="T2852" t="s">
        <v>2225</v>
      </c>
      <c r="U2852" t="s">
        <v>2861</v>
      </c>
      <c r="W2852">
        <v>0</v>
      </c>
      <c r="X2852">
        <v>0</v>
      </c>
      <c r="AJ2852" t="s">
        <v>9903</v>
      </c>
      <c r="AK2852" t="s">
        <v>129</v>
      </c>
      <c r="AL2852" t="str">
        <f>HYPERLINK("https://sun9-59.userapi.com/impg/XN-SIXYAJwoskR593sEIPWrWRH6DpaClUA7Opg/VTU_ffwkGOM.jpg?size=738x1600&amp;quality=96&amp;sign=ebcd22547c73f36bfc841edb9bc04d79&amp;c_uniq_tag=rgzK75Nnfb-kteFtSFNa8WQ10cenSS44Ma3zKO40Ans&amp;type=album")</f>
        <v>https://sun9-59.userapi.com/impg/XN-SIXYAJwoskR593sEIPWrWRH6DpaClUA7Opg/VTU_ffwkGOM.jpg?size=738x1600&amp;quality=96&amp;sign=ebcd22547c73f36bfc841edb9bc04d79&amp;c_uniq_tag=rgzK75Nnfb-kteFtSFNa8WQ10cenSS44Ma3zKO40Ans&amp;type=album</v>
      </c>
      <c r="AM2852" t="s">
        <v>129</v>
      </c>
      <c r="AN2852" t="s">
        <v>130</v>
      </c>
      <c r="AP2852" t="s">
        <v>41</v>
      </c>
      <c r="AZ2852" t="s">
        <v>51</v>
      </c>
      <c r="BA2852" t="s">
        <v>52</v>
      </c>
      <c r="BL2852" t="s">
        <v>63</v>
      </c>
    </row>
    <row r="2853" spans="1:69" x14ac:dyDescent="0.2">
      <c r="A2853" t="s">
        <v>9786</v>
      </c>
      <c r="B2853" t="s">
        <v>6457</v>
      </c>
      <c r="C2853" t="s">
        <v>9904</v>
      </c>
      <c r="D2853" t="s">
        <v>9628</v>
      </c>
      <c r="E2853" t="s">
        <v>9905</v>
      </c>
      <c r="F2853" t="s">
        <v>118</v>
      </c>
      <c r="G2853" t="str">
        <f>HYPERLINK("https://vk.com/wall-22935147_368246?w=wall-22935147_368246_r368251")</f>
        <v>https://vk.com/wall-22935147_368246?w=wall-22935147_368246_r368251</v>
      </c>
      <c r="H2853" t="s">
        <v>119</v>
      </c>
      <c r="I2853" t="s">
        <v>6887</v>
      </c>
      <c r="J2853" t="str">
        <f>HYPERLINK("http://vk.com/id358374226")</f>
        <v>http://vk.com/id358374226</v>
      </c>
      <c r="K2853">
        <v>3</v>
      </c>
      <c r="L2853" t="s">
        <v>121</v>
      </c>
      <c r="M2853">
        <v>119</v>
      </c>
      <c r="N2853" t="s">
        <v>122</v>
      </c>
      <c r="O2853" t="s">
        <v>1093</v>
      </c>
      <c r="P2853" t="str">
        <f>HYPERLINK("http://vk.com/club22935147")</f>
        <v>http://vk.com/club22935147</v>
      </c>
      <c r="Q2853">
        <v>8943</v>
      </c>
      <c r="R2853" t="s">
        <v>124</v>
      </c>
      <c r="S2853" t="s">
        <v>125</v>
      </c>
      <c r="T2853" t="s">
        <v>169</v>
      </c>
      <c r="U2853" t="s">
        <v>169</v>
      </c>
      <c r="W2853">
        <v>0</v>
      </c>
      <c r="X2853">
        <v>0</v>
      </c>
      <c r="AM2853" t="s">
        <v>129</v>
      </c>
      <c r="AN2853" t="s">
        <v>130</v>
      </c>
      <c r="AP2853" t="s">
        <v>41</v>
      </c>
      <c r="AW2853" t="s">
        <v>48</v>
      </c>
      <c r="AZ2853" t="s">
        <v>51</v>
      </c>
      <c r="BA2853" t="s">
        <v>52</v>
      </c>
    </row>
    <row r="2854" spans="1:69" x14ac:dyDescent="0.2">
      <c r="A2854" t="s">
        <v>9786</v>
      </c>
      <c r="B2854" t="s">
        <v>6457</v>
      </c>
      <c r="C2854" t="s">
        <v>9904</v>
      </c>
      <c r="D2854" t="s">
        <v>9628</v>
      </c>
      <c r="E2854" t="s">
        <v>9906</v>
      </c>
      <c r="F2854" t="s">
        <v>118</v>
      </c>
      <c r="G2854" t="str">
        <f>HYPERLINK("https://vk.com/wall-22935147_368246?w=wall-22935147_368246_r368250")</f>
        <v>https://vk.com/wall-22935147_368246?w=wall-22935147_368246_r368250</v>
      </c>
      <c r="H2854" t="s">
        <v>119</v>
      </c>
      <c r="I2854" t="s">
        <v>5399</v>
      </c>
      <c r="J2854" t="str">
        <f>HYPERLINK("http://vk.com/id186352920")</f>
        <v>http://vk.com/id186352920</v>
      </c>
      <c r="K2854">
        <v>1125</v>
      </c>
      <c r="L2854" t="s">
        <v>151</v>
      </c>
      <c r="M2854">
        <v>33</v>
      </c>
      <c r="N2854" t="s">
        <v>122</v>
      </c>
      <c r="O2854" t="s">
        <v>1093</v>
      </c>
      <c r="P2854" t="str">
        <f>HYPERLINK("http://vk.com/club22935147")</f>
        <v>http://vk.com/club22935147</v>
      </c>
      <c r="Q2854">
        <v>8943</v>
      </c>
      <c r="R2854" t="s">
        <v>124</v>
      </c>
      <c r="S2854" t="s">
        <v>125</v>
      </c>
      <c r="T2854" t="s">
        <v>1275</v>
      </c>
      <c r="U2854" t="s">
        <v>5400</v>
      </c>
      <c r="W2854">
        <v>0</v>
      </c>
      <c r="X2854">
        <v>0</v>
      </c>
      <c r="AM2854" t="s">
        <v>129</v>
      </c>
      <c r="AN2854" t="s">
        <v>130</v>
      </c>
      <c r="AP2854" t="s">
        <v>41</v>
      </c>
      <c r="AZ2854" t="s">
        <v>51</v>
      </c>
      <c r="BA2854" t="s">
        <v>52</v>
      </c>
      <c r="BL2854" t="s">
        <v>63</v>
      </c>
    </row>
    <row r="2855" spans="1:69" x14ac:dyDescent="0.2">
      <c r="A2855" t="s">
        <v>9786</v>
      </c>
      <c r="B2855" t="s">
        <v>9907</v>
      </c>
      <c r="C2855" t="s">
        <v>9908</v>
      </c>
      <c r="D2855" t="s">
        <v>9909</v>
      </c>
      <c r="E2855" t="s">
        <v>9910</v>
      </c>
      <c r="F2855" t="s">
        <v>118</v>
      </c>
      <c r="G2855" t="str">
        <f>HYPERLINK("https://www.youtube.com/watch?v=c7X0seZO7rE&amp;lc=Ugzny-vj_zVcgjNDNId4AaABAg.9PXU9kjsaNJ9PXVHCOvudh")</f>
        <v>https://www.youtube.com/watch?v=c7X0seZO7rE&amp;lc=Ugzny-vj_zVcgjNDNId4AaABAg.9PXU9kjsaNJ9PXVHCOvudh</v>
      </c>
      <c r="H2855" t="s">
        <v>119</v>
      </c>
      <c r="I2855" t="s">
        <v>9911</v>
      </c>
      <c r="J2855" t="str">
        <f>HYPERLINK("https://www.youtube.com/channel/UC0mJFn-DchHvqBjXee21czA")</f>
        <v>https://www.youtube.com/channel/UC0mJFn-DchHvqBjXee21czA</v>
      </c>
      <c r="K2855">
        <v>3</v>
      </c>
      <c r="L2855" t="s">
        <v>151</v>
      </c>
      <c r="N2855" t="s">
        <v>248</v>
      </c>
      <c r="O2855" t="s">
        <v>9912</v>
      </c>
      <c r="P2855" t="str">
        <f>HYPERLINK("https://www.youtube.com/channel/UCkb9H064o49apA839G2bXsQ")</f>
        <v>https://www.youtube.com/channel/UCkb9H064o49apA839G2bXsQ</v>
      </c>
      <c r="Q2855">
        <v>54900</v>
      </c>
      <c r="R2855" t="s">
        <v>124</v>
      </c>
      <c r="W2855">
        <v>0</v>
      </c>
      <c r="X2855">
        <v>0</v>
      </c>
      <c r="AM2855" t="s">
        <v>129</v>
      </c>
      <c r="AN2855" t="s">
        <v>130</v>
      </c>
      <c r="AP2855" t="s">
        <v>41</v>
      </c>
      <c r="AU2855" t="s">
        <v>46</v>
      </c>
      <c r="AZ2855" t="s">
        <v>51</v>
      </c>
      <c r="BA2855" t="s">
        <v>52</v>
      </c>
    </row>
    <row r="2856" spans="1:69" x14ac:dyDescent="0.2">
      <c r="A2856" t="s">
        <v>9786</v>
      </c>
      <c r="B2856" t="s">
        <v>9907</v>
      </c>
      <c r="C2856" t="s">
        <v>9913</v>
      </c>
      <c r="D2856" t="s">
        <v>9888</v>
      </c>
      <c r="E2856" t="s">
        <v>9914</v>
      </c>
      <c r="F2856" t="s">
        <v>180</v>
      </c>
      <c r="G2856" t="str">
        <f>HYPERLINK("https://ok.ru/group/51085510115462/topic/153422340203910")</f>
        <v>https://ok.ru/group/51085510115462/topic/153422340203910</v>
      </c>
      <c r="H2856" t="s">
        <v>119</v>
      </c>
      <c r="I2856" t="s">
        <v>175</v>
      </c>
      <c r="J2856" t="str">
        <f>HYPERLINK("https://ok.ru/group/51085510115462")</f>
        <v>https://ok.ru/group/51085510115462</v>
      </c>
      <c r="K2856">
        <v>94768</v>
      </c>
      <c r="L2856" t="s">
        <v>340</v>
      </c>
      <c r="N2856" t="s">
        <v>347</v>
      </c>
      <c r="O2856" t="s">
        <v>175</v>
      </c>
      <c r="P2856" t="str">
        <f>HYPERLINK("https://ok.ru/group/51085510115462")</f>
        <v>https://ok.ru/group/51085510115462</v>
      </c>
      <c r="Q2856">
        <v>94768</v>
      </c>
      <c r="R2856" t="s">
        <v>124</v>
      </c>
      <c r="W2856">
        <v>11</v>
      </c>
      <c r="X2856">
        <v>11</v>
      </c>
      <c r="Y2856">
        <v>0</v>
      </c>
      <c r="Z2856">
        <v>0</v>
      </c>
      <c r="AA2856">
        <v>0</v>
      </c>
      <c r="AB2856">
        <v>0</v>
      </c>
      <c r="AE2856">
        <v>0</v>
      </c>
      <c r="AF2856">
        <v>0</v>
      </c>
      <c r="AJ2856" t="s">
        <v>129</v>
      </c>
      <c r="AK2856" t="s">
        <v>8608</v>
      </c>
      <c r="AL2856" t="str">
        <f>HYPERLINK("https://i.mycdn.me/image?id=918275751558&amp;t=20&amp;plc=API&amp;aid=1131601408&amp;tkn=*AkY6pdpsxvO92mBNFOmFagT46gM")</f>
        <v>https://i.mycdn.me/image?id=918275751558&amp;t=20&amp;plc=API&amp;aid=1131601408&amp;tkn=*AkY6pdpsxvO92mBNFOmFagT46gM</v>
      </c>
      <c r="AM2856" t="s">
        <v>129</v>
      </c>
      <c r="AN2856" t="s">
        <v>130</v>
      </c>
      <c r="BI2856" t="s">
        <v>60</v>
      </c>
    </row>
    <row r="2857" spans="1:69" x14ac:dyDescent="0.2">
      <c r="A2857" t="s">
        <v>9786</v>
      </c>
      <c r="B2857" t="s">
        <v>513</v>
      </c>
      <c r="C2857" t="s">
        <v>9915</v>
      </c>
      <c r="D2857" t="s">
        <v>129</v>
      </c>
      <c r="E2857" t="s">
        <v>9916</v>
      </c>
      <c r="F2857" t="s">
        <v>180</v>
      </c>
      <c r="G2857" t="str">
        <f>HYPERLINK("https://www.facebook.com/tricolortv/posts/4067039736683599")</f>
        <v>https://www.facebook.com/tricolortv/posts/4067039736683599</v>
      </c>
      <c r="H2857" t="s">
        <v>119</v>
      </c>
      <c r="I2857" t="s">
        <v>175</v>
      </c>
      <c r="J2857" t="str">
        <f>HYPERLINK("https://www.facebook.com/206198386101106")</f>
        <v>https://www.facebook.com/206198386101106</v>
      </c>
      <c r="K2857">
        <v>16432</v>
      </c>
      <c r="L2857" t="s">
        <v>340</v>
      </c>
      <c r="N2857" t="s">
        <v>305</v>
      </c>
      <c r="O2857" t="s">
        <v>175</v>
      </c>
      <c r="P2857" t="str">
        <f>HYPERLINK("https://www.facebook.com/206198386101106")</f>
        <v>https://www.facebook.com/206198386101106</v>
      </c>
      <c r="Q2857">
        <v>16432</v>
      </c>
      <c r="R2857" t="s">
        <v>124</v>
      </c>
      <c r="W2857">
        <v>4</v>
      </c>
      <c r="X2857">
        <v>3</v>
      </c>
      <c r="Y2857">
        <v>0</v>
      </c>
      <c r="Z2857">
        <v>0</v>
      </c>
      <c r="AA2857">
        <v>1</v>
      </c>
      <c r="AB2857">
        <v>0</v>
      </c>
      <c r="AC2857">
        <v>0</v>
      </c>
      <c r="AE2857">
        <v>0</v>
      </c>
      <c r="AF2857">
        <v>0</v>
      </c>
      <c r="AJ2857" t="s">
        <v>129</v>
      </c>
      <c r="AK2857" t="s">
        <v>8608</v>
      </c>
      <c r="AL2857" t="s">
        <v>9917</v>
      </c>
      <c r="AM2857" t="s">
        <v>129</v>
      </c>
      <c r="AN2857" t="s">
        <v>130</v>
      </c>
      <c r="BI2857" t="s">
        <v>60</v>
      </c>
    </row>
    <row r="2858" spans="1:69" x14ac:dyDescent="0.2">
      <c r="A2858" t="s">
        <v>9786</v>
      </c>
      <c r="B2858" t="s">
        <v>518</v>
      </c>
      <c r="C2858" t="s">
        <v>5601</v>
      </c>
      <c r="D2858" t="s">
        <v>9918</v>
      </c>
      <c r="E2858" t="s">
        <v>9919</v>
      </c>
      <c r="F2858" t="s">
        <v>180</v>
      </c>
      <c r="G2858" t="str">
        <f>HYPERLINK("https://www.ozon.ru/context/detail/id/168022742/#58061689")</f>
        <v>https://www.ozon.ru/context/detail/id/168022742/#58061689</v>
      </c>
      <c r="H2858" t="s">
        <v>181</v>
      </c>
      <c r="I2858" t="s">
        <v>9920</v>
      </c>
      <c r="J2858" t="str">
        <f>HYPERLINK("https://www.ozon.ru/context/client_opinion/ClientGuid/60560296-572a-48ee-9ce2-7b4635bcf8db/")</f>
        <v>https://www.ozon.ru/context/client_opinion/ClientGuid/60560296-572a-48ee-9ce2-7b4635bcf8db/</v>
      </c>
      <c r="L2858" t="s">
        <v>121</v>
      </c>
      <c r="N2858" t="s">
        <v>183</v>
      </c>
      <c r="O2858" t="s">
        <v>9918</v>
      </c>
      <c r="P2858" t="str">
        <f>HYPERLINK("https://www.ozon.ru/context/detail/id/168022742/")</f>
        <v>https://www.ozon.ru/context/detail/id/168022742/</v>
      </c>
      <c r="R2858" t="s">
        <v>184</v>
      </c>
      <c r="S2858" t="s">
        <v>125</v>
      </c>
      <c r="W2858">
        <v>0</v>
      </c>
      <c r="X2858">
        <v>0</v>
      </c>
      <c r="AH2858">
        <v>5</v>
      </c>
      <c r="AM2858" t="s">
        <v>129</v>
      </c>
      <c r="AN2858" t="s">
        <v>130</v>
      </c>
      <c r="AP2858" t="s">
        <v>41</v>
      </c>
      <c r="AT2858" t="s">
        <v>45</v>
      </c>
      <c r="AZ2858" t="s">
        <v>51</v>
      </c>
      <c r="BA2858" t="s">
        <v>52</v>
      </c>
      <c r="BL2858" t="s">
        <v>63</v>
      </c>
    </row>
    <row r="2859" spans="1:69" x14ac:dyDescent="0.2">
      <c r="A2859" t="s">
        <v>9786</v>
      </c>
      <c r="B2859" t="s">
        <v>5252</v>
      </c>
      <c r="C2859" t="s">
        <v>9921</v>
      </c>
      <c r="D2859" t="s">
        <v>204</v>
      </c>
      <c r="E2859" t="s">
        <v>9922</v>
      </c>
      <c r="F2859" t="s">
        <v>180</v>
      </c>
      <c r="G2859" t="str">
        <f>HYPERLINK("https://play.google.com/store/apps/details?id=ru.iflex.android.a3colortv&amp;reviewId=gp:AOqpTOEtQMklcwR_ypsBm2aoC1AFFhgrqtJ2nwxVFcaBYMvZSYBAT2tlkuRnS-qmiStUmyDilgNX32vqFepeGw")</f>
        <v>https://play.google.com/store/apps/details?id=ru.iflex.android.a3colortv&amp;reviewId=gp:AOqpTOEtQMklcwR_ypsBm2aoC1AFFhgrqtJ2nwxVFcaBYMvZSYBAT2tlkuRnS-qmiStUmyDilgNX32vqFepeGw</v>
      </c>
      <c r="H2859" t="s">
        <v>228</v>
      </c>
      <c r="I2859" t="s">
        <v>2894</v>
      </c>
      <c r="J2859" t="str">
        <f>HYPERLINK("https://plus.google.com/107437492364606697165")</f>
        <v>https://plus.google.com/107437492364606697165</v>
      </c>
      <c r="L2859" t="s">
        <v>151</v>
      </c>
      <c r="N2859" t="s">
        <v>207</v>
      </c>
      <c r="O2859" t="s">
        <v>204</v>
      </c>
      <c r="P2859" t="str">
        <f>HYPERLINK("https://play.google.com/store/apps/details?id=ru.iflex.android.a3colortv&amp;hl=ru")</f>
        <v>https://play.google.com/store/apps/details?id=ru.iflex.android.a3colortv&amp;hl=ru</v>
      </c>
      <c r="R2859" t="s">
        <v>184</v>
      </c>
      <c r="S2859" t="s">
        <v>125</v>
      </c>
      <c r="W2859">
        <v>0</v>
      </c>
      <c r="X2859">
        <v>0</v>
      </c>
      <c r="AH2859">
        <v>1</v>
      </c>
      <c r="AM2859" t="s">
        <v>129</v>
      </c>
      <c r="AN2859" t="s">
        <v>130</v>
      </c>
      <c r="AP2859" t="s">
        <v>41</v>
      </c>
      <c r="AZ2859" t="s">
        <v>51</v>
      </c>
      <c r="BA2859" t="s">
        <v>52</v>
      </c>
      <c r="BQ2859" t="s">
        <v>68</v>
      </c>
    </row>
    <row r="2860" spans="1:69" x14ac:dyDescent="0.2">
      <c r="A2860" t="s">
        <v>9786</v>
      </c>
      <c r="B2860" t="s">
        <v>1077</v>
      </c>
      <c r="C2860" t="s">
        <v>9904</v>
      </c>
      <c r="D2860" t="s">
        <v>9628</v>
      </c>
      <c r="E2860" t="s">
        <v>9923</v>
      </c>
      <c r="F2860" t="s">
        <v>118</v>
      </c>
      <c r="G2860" t="str">
        <f>HYPERLINK("https://vk.com/wall-22935147_368246?w=wall-22935147_368246_r368249")</f>
        <v>https://vk.com/wall-22935147_368246?w=wall-22935147_368246_r368249</v>
      </c>
      <c r="H2860" t="s">
        <v>119</v>
      </c>
      <c r="I2860" t="s">
        <v>4987</v>
      </c>
      <c r="J2860" t="str">
        <f>HYPERLINK("http://vk.com/id2397772")</f>
        <v>http://vk.com/id2397772</v>
      </c>
      <c r="K2860">
        <v>99</v>
      </c>
      <c r="L2860" t="s">
        <v>121</v>
      </c>
      <c r="N2860" t="s">
        <v>122</v>
      </c>
      <c r="O2860" t="s">
        <v>1093</v>
      </c>
      <c r="P2860" t="str">
        <f>HYPERLINK("http://vk.com/club22935147")</f>
        <v>http://vk.com/club22935147</v>
      </c>
      <c r="Q2860">
        <v>8943</v>
      </c>
      <c r="R2860" t="s">
        <v>124</v>
      </c>
      <c r="S2860" t="s">
        <v>125</v>
      </c>
      <c r="T2860" t="s">
        <v>2225</v>
      </c>
      <c r="U2860" t="s">
        <v>2861</v>
      </c>
      <c r="W2860">
        <v>0</v>
      </c>
      <c r="X2860">
        <v>0</v>
      </c>
      <c r="AM2860" t="s">
        <v>129</v>
      </c>
      <c r="AN2860" t="s">
        <v>130</v>
      </c>
      <c r="AP2860" t="s">
        <v>41</v>
      </c>
      <c r="AZ2860" t="s">
        <v>51</v>
      </c>
      <c r="BA2860" t="s">
        <v>52</v>
      </c>
      <c r="BL2860" t="s">
        <v>63</v>
      </c>
    </row>
    <row r="2861" spans="1:69" x14ac:dyDescent="0.2">
      <c r="A2861" t="s">
        <v>9786</v>
      </c>
      <c r="B2861" t="s">
        <v>3879</v>
      </c>
      <c r="C2861" t="s">
        <v>9832</v>
      </c>
      <c r="D2861" t="s">
        <v>9924</v>
      </c>
      <c r="E2861" t="s">
        <v>9925</v>
      </c>
      <c r="F2861" t="s">
        <v>118</v>
      </c>
      <c r="G2861" t="str">
        <f>HYPERLINK("https://www.youtube.com/watch?v=YiFch3nN_-8&amp;lc=Ugwp0BV6BTjkgPKBP_d4AaABAg")</f>
        <v>https://www.youtube.com/watch?v=YiFch3nN_-8&amp;lc=Ugwp0BV6BTjkgPKBP_d4AaABAg</v>
      </c>
      <c r="H2861" t="s">
        <v>119</v>
      </c>
      <c r="I2861" t="s">
        <v>9926</v>
      </c>
      <c r="J2861" t="str">
        <f>HYPERLINK("https://www.youtube.com/channel/UCP6rZGTd0AhRc_FFn1h1lPg")</f>
        <v>https://www.youtube.com/channel/UCP6rZGTd0AhRc_FFn1h1lPg</v>
      </c>
      <c r="K2861">
        <v>1</v>
      </c>
      <c r="N2861" t="s">
        <v>248</v>
      </c>
      <c r="O2861" t="s">
        <v>1910</v>
      </c>
      <c r="P2861" t="str">
        <f>HYPERLINK("https://www.youtube.com/channel/UCQgd9Ks9oBckRf9hadmZFdA")</f>
        <v>https://www.youtube.com/channel/UCQgd9Ks9oBckRf9hadmZFdA</v>
      </c>
      <c r="Q2861">
        <v>66700</v>
      </c>
      <c r="R2861" t="s">
        <v>124</v>
      </c>
      <c r="S2861" t="s">
        <v>125</v>
      </c>
      <c r="W2861">
        <v>1</v>
      </c>
      <c r="X2861">
        <v>1</v>
      </c>
      <c r="AE2861">
        <v>1</v>
      </c>
      <c r="AM2861" t="s">
        <v>129</v>
      </c>
      <c r="AN2861" t="s">
        <v>130</v>
      </c>
      <c r="AP2861" t="s">
        <v>41</v>
      </c>
      <c r="AU2861" t="s">
        <v>46</v>
      </c>
      <c r="AY2861" t="s">
        <v>50</v>
      </c>
      <c r="AZ2861" t="s">
        <v>51</v>
      </c>
      <c r="BA2861" t="s">
        <v>52</v>
      </c>
    </row>
    <row r="2862" spans="1:69" x14ac:dyDescent="0.2">
      <c r="A2862" t="s">
        <v>9786</v>
      </c>
      <c r="B2862" t="s">
        <v>3879</v>
      </c>
      <c r="C2862" t="s">
        <v>9927</v>
      </c>
      <c r="D2862" t="s">
        <v>2202</v>
      </c>
      <c r="E2862" t="s">
        <v>9928</v>
      </c>
      <c r="F2862" t="s">
        <v>180</v>
      </c>
      <c r="G2862" t="str">
        <f>HYPERLINK("https://www.wildberries.ru/catalog/16083135/detail.aspx?targetUrl=ES#Comments")</f>
        <v>https://www.wildberries.ru/catalog/16083135/detail.aspx?targetUrl=ES#Comments</v>
      </c>
      <c r="H2862" t="s">
        <v>181</v>
      </c>
      <c r="I2862" t="s">
        <v>3460</v>
      </c>
      <c r="J2862" t="str">
        <f>HYPERLINK("https://www.wildberries.ru/profile/w7TDssOkw7PCu8K1wrPCscK3wrjCtcK0wrc=")</f>
        <v>https://www.wildberries.ru/profile/w7TDssOkw7PCu8K1wrPCscK3wrjCtcK0wrc=</v>
      </c>
      <c r="L2862" t="s">
        <v>121</v>
      </c>
      <c r="N2862" t="s">
        <v>534</v>
      </c>
      <c r="O2862" t="s">
        <v>2202</v>
      </c>
      <c r="P2862" t="str">
        <f>HYPERLINK("https://www.wildberries.ru/catalog/11979974/detail.aspx")</f>
        <v>https://www.wildberries.ru/catalog/11979974/detail.aspx</v>
      </c>
      <c r="R2862" t="s">
        <v>184</v>
      </c>
      <c r="S2862" t="s">
        <v>125</v>
      </c>
      <c r="W2862">
        <v>0</v>
      </c>
      <c r="X2862">
        <v>0</v>
      </c>
      <c r="AH2862">
        <v>5</v>
      </c>
      <c r="AM2862" t="s">
        <v>129</v>
      </c>
      <c r="AN2862" t="s">
        <v>130</v>
      </c>
      <c r="AP2862" t="s">
        <v>41</v>
      </c>
      <c r="AZ2862" t="s">
        <v>51</v>
      </c>
      <c r="BA2862" t="s">
        <v>52</v>
      </c>
      <c r="BK2862" t="s">
        <v>62</v>
      </c>
      <c r="BL2862" t="s">
        <v>63</v>
      </c>
    </row>
    <row r="2863" spans="1:69" x14ac:dyDescent="0.2">
      <c r="A2863" t="s">
        <v>9786</v>
      </c>
      <c r="B2863" t="s">
        <v>5795</v>
      </c>
      <c r="C2863" t="s">
        <v>9929</v>
      </c>
      <c r="D2863" t="s">
        <v>129</v>
      </c>
      <c r="E2863" t="s">
        <v>9930</v>
      </c>
      <c r="F2863" t="s">
        <v>118</v>
      </c>
      <c r="G2863" t="str">
        <f>HYPERLINK("https://ok.ru/group/54594806284304/topic/153652073335568#MTYyNTczNjc1NTc4MDotNzYzMToxNjI1NzM2NzU1NzgwOjE1MzY1MjA3MzMzNTU2ODox")</f>
        <v>https://ok.ru/group/54594806284304/topic/153652073335568#MTYyNTczNjc1NTc4MDotNzYzMToxNjI1NzM2NzU1NzgwOjE1MzY1MjA3MzMzNTU2ODox</v>
      </c>
      <c r="H2863" t="s">
        <v>228</v>
      </c>
      <c r="I2863" t="s">
        <v>9931</v>
      </c>
      <c r="J2863" t="str">
        <f>HYPERLINK("https://ok.ru/profile/578675279967")</f>
        <v>https://ok.ru/profile/578675279967</v>
      </c>
      <c r="K2863">
        <v>5</v>
      </c>
      <c r="L2863" t="s">
        <v>121</v>
      </c>
      <c r="M2863">
        <v>48</v>
      </c>
      <c r="N2863" t="s">
        <v>347</v>
      </c>
      <c r="O2863" t="s">
        <v>9932</v>
      </c>
      <c r="P2863" t="str">
        <f>HYPERLINK("https://ok.ru/group/54594806284304")</f>
        <v>https://ok.ru/group/54594806284304</v>
      </c>
      <c r="Q2863">
        <v>133709</v>
      </c>
      <c r="R2863" t="s">
        <v>124</v>
      </c>
      <c r="S2863" t="s">
        <v>125</v>
      </c>
      <c r="T2863" t="s">
        <v>230</v>
      </c>
      <c r="U2863" t="s">
        <v>231</v>
      </c>
      <c r="W2863">
        <v>1</v>
      </c>
      <c r="X2863">
        <v>1</v>
      </c>
      <c r="AM2863" t="s">
        <v>129</v>
      </c>
      <c r="AN2863" t="s">
        <v>130</v>
      </c>
      <c r="AP2863" t="s">
        <v>41</v>
      </c>
      <c r="AZ2863" t="s">
        <v>51</v>
      </c>
      <c r="BA2863" t="s">
        <v>52</v>
      </c>
    </row>
    <row r="2864" spans="1:69" x14ac:dyDescent="0.2">
      <c r="A2864" t="s">
        <v>9786</v>
      </c>
      <c r="B2864" t="s">
        <v>7835</v>
      </c>
      <c r="C2864" t="s">
        <v>9933</v>
      </c>
      <c r="D2864" t="s">
        <v>6224</v>
      </c>
      <c r="E2864" t="s">
        <v>9934</v>
      </c>
      <c r="F2864" t="s">
        <v>118</v>
      </c>
      <c r="G2864" t="str">
        <f>HYPERLINK("https://www.youtube.com/watch?v=cuBcZGF3Yzc&amp;lc=UgztCdXYsRTA1Ss0xyV4AaABAg")</f>
        <v>https://www.youtube.com/watch?v=cuBcZGF3Yzc&amp;lc=UgztCdXYsRTA1Ss0xyV4AaABAg</v>
      </c>
      <c r="H2864" t="s">
        <v>119</v>
      </c>
      <c r="I2864" t="s">
        <v>9845</v>
      </c>
      <c r="J2864" t="str">
        <f>HYPERLINK("https://www.youtube.com/channel/UClk9upt0DuvZPNe52A2aUaQ")</f>
        <v>https://www.youtube.com/channel/UClk9upt0DuvZPNe52A2aUaQ</v>
      </c>
      <c r="K2864">
        <v>4</v>
      </c>
      <c r="L2864" t="s">
        <v>121</v>
      </c>
      <c r="N2864" t="s">
        <v>248</v>
      </c>
      <c r="O2864" t="s">
        <v>6227</v>
      </c>
      <c r="P2864" t="str">
        <f>HYPERLINK("https://www.youtube.com/channel/UCRP4EhX1Op-jL7D87PB3qhQ")</f>
        <v>https://www.youtube.com/channel/UCRP4EhX1Op-jL7D87PB3qhQ</v>
      </c>
      <c r="Q2864">
        <v>2820000</v>
      </c>
      <c r="R2864" t="s">
        <v>124</v>
      </c>
      <c r="S2864" t="s">
        <v>125</v>
      </c>
      <c r="W2864">
        <v>1</v>
      </c>
      <c r="X2864">
        <v>1</v>
      </c>
      <c r="AE2864">
        <v>0</v>
      </c>
      <c r="AM2864" t="s">
        <v>129</v>
      </c>
      <c r="AN2864" t="s">
        <v>130</v>
      </c>
      <c r="AP2864" t="s">
        <v>41</v>
      </c>
      <c r="AY2864" t="s">
        <v>50</v>
      </c>
      <c r="AZ2864" t="s">
        <v>51</v>
      </c>
      <c r="BB2864" t="s">
        <v>53</v>
      </c>
    </row>
    <row r="2865" spans="1:90" x14ac:dyDescent="0.2">
      <c r="A2865" t="s">
        <v>9786</v>
      </c>
      <c r="B2865" t="s">
        <v>7835</v>
      </c>
      <c r="C2865" t="s">
        <v>9935</v>
      </c>
      <c r="D2865" t="s">
        <v>9936</v>
      </c>
      <c r="E2865" t="s">
        <v>9937</v>
      </c>
      <c r="F2865" t="s">
        <v>180</v>
      </c>
      <c r="G2865" t="str">
        <f>HYPERLINK("https://4pda.to/forum/index.php?showtopic=1001668&amp;st=20260#entry107864876")</f>
        <v>https://4pda.to/forum/index.php?showtopic=1001668&amp;st=20260#entry107864876</v>
      </c>
      <c r="H2865" t="s">
        <v>119</v>
      </c>
      <c r="I2865" t="s">
        <v>9938</v>
      </c>
      <c r="J2865" t="str">
        <f>HYPERLINK("https://4pda.to/forum/index.php?showuser=6266831")</f>
        <v>https://4pda.to/forum/index.php?showuser=6266831</v>
      </c>
      <c r="N2865" t="s">
        <v>293</v>
      </c>
      <c r="O2865" t="s">
        <v>1695</v>
      </c>
      <c r="P2865" t="str">
        <f>HYPERLINK("https://4pda.to/forum/index.php?showforum=640")</f>
        <v>https://4pda.to/forum/index.php?showforum=640</v>
      </c>
      <c r="R2865" t="s">
        <v>295</v>
      </c>
      <c r="S2865" t="s">
        <v>125</v>
      </c>
      <c r="AM2865" t="s">
        <v>129</v>
      </c>
      <c r="AN2865" t="s">
        <v>130</v>
      </c>
      <c r="AP2865" t="s">
        <v>41</v>
      </c>
      <c r="AT2865" t="s">
        <v>45</v>
      </c>
      <c r="AW2865" t="s">
        <v>48</v>
      </c>
      <c r="AY2865" t="s">
        <v>50</v>
      </c>
      <c r="AZ2865" t="s">
        <v>51</v>
      </c>
      <c r="BA2865" t="s">
        <v>52</v>
      </c>
      <c r="BQ2865" t="s">
        <v>68</v>
      </c>
    </row>
    <row r="2866" spans="1:90" x14ac:dyDescent="0.2">
      <c r="A2866" t="s">
        <v>9786</v>
      </c>
      <c r="B2866" t="s">
        <v>541</v>
      </c>
      <c r="C2866" t="s">
        <v>9939</v>
      </c>
      <c r="D2866" t="s">
        <v>204</v>
      </c>
      <c r="E2866" t="s">
        <v>9940</v>
      </c>
      <c r="F2866" t="s">
        <v>180</v>
      </c>
      <c r="G2866" t="str">
        <f>HYPERLINK("https://play.google.com/store/apps/details?id=ru.iflex.android.a3colortv&amp;reviewId=gp:AOqpTOFt6GFt3Zy3RmBabakXHf7FhUwBBRMXx9OOC3kgNP9u0cX6SnCYdPs8hiw8gLgOsnfbSseehTDXyJGnRA")</f>
        <v>https://play.google.com/store/apps/details?id=ru.iflex.android.a3colortv&amp;reviewId=gp:AOqpTOFt6GFt3Zy3RmBabakXHf7FhUwBBRMXx9OOC3kgNP9u0cX6SnCYdPs8hiw8gLgOsnfbSseehTDXyJGnRA</v>
      </c>
      <c r="H2866" t="s">
        <v>228</v>
      </c>
      <c r="I2866" t="s">
        <v>9941</v>
      </c>
      <c r="J2866" t="str">
        <f>HYPERLINK("https://plus.google.com/103011558345472828059")</f>
        <v>https://plus.google.com/103011558345472828059</v>
      </c>
      <c r="N2866" t="s">
        <v>207</v>
      </c>
      <c r="O2866" t="s">
        <v>204</v>
      </c>
      <c r="P2866" t="str">
        <f>HYPERLINK("https://play.google.com/store/apps/details?id=ru.iflex.android.a3colortv&amp;hl=ru")</f>
        <v>https://play.google.com/store/apps/details?id=ru.iflex.android.a3colortv&amp;hl=ru</v>
      </c>
      <c r="R2866" t="s">
        <v>184</v>
      </c>
      <c r="S2866" t="s">
        <v>125</v>
      </c>
      <c r="W2866">
        <v>0</v>
      </c>
      <c r="X2866">
        <v>0</v>
      </c>
      <c r="AH2866">
        <v>1</v>
      </c>
      <c r="AM2866" t="s">
        <v>129</v>
      </c>
      <c r="AN2866" t="s">
        <v>130</v>
      </c>
      <c r="AP2866" t="s">
        <v>41</v>
      </c>
      <c r="AZ2866" t="s">
        <v>51</v>
      </c>
      <c r="BA2866" t="s">
        <v>52</v>
      </c>
      <c r="BQ2866" t="s">
        <v>68</v>
      </c>
    </row>
    <row r="2867" spans="1:90" x14ac:dyDescent="0.2">
      <c r="A2867" t="s">
        <v>9786</v>
      </c>
      <c r="B2867" t="s">
        <v>6478</v>
      </c>
      <c r="C2867" t="s">
        <v>9942</v>
      </c>
      <c r="D2867" t="s">
        <v>9628</v>
      </c>
      <c r="E2867" t="s">
        <v>9943</v>
      </c>
      <c r="F2867" t="s">
        <v>118</v>
      </c>
      <c r="G2867" t="str">
        <f>HYPERLINK("https://vk.com/wall-22935147_368246?reply=368247")</f>
        <v>https://vk.com/wall-22935147_368246?reply=368247</v>
      </c>
      <c r="H2867" t="s">
        <v>119</v>
      </c>
      <c r="I2867" t="s">
        <v>4987</v>
      </c>
      <c r="J2867" t="str">
        <f>HYPERLINK("http://vk.com/id2397772")</f>
        <v>http://vk.com/id2397772</v>
      </c>
      <c r="K2867">
        <v>99</v>
      </c>
      <c r="L2867" t="s">
        <v>121</v>
      </c>
      <c r="N2867" t="s">
        <v>122</v>
      </c>
      <c r="O2867" t="s">
        <v>1093</v>
      </c>
      <c r="P2867" t="str">
        <f>HYPERLINK("http://vk.com/club22935147")</f>
        <v>http://vk.com/club22935147</v>
      </c>
      <c r="Q2867">
        <v>8943</v>
      </c>
      <c r="R2867" t="s">
        <v>124</v>
      </c>
      <c r="S2867" t="s">
        <v>125</v>
      </c>
      <c r="T2867" t="s">
        <v>2225</v>
      </c>
      <c r="U2867" t="s">
        <v>2861</v>
      </c>
      <c r="W2867">
        <v>0</v>
      </c>
      <c r="X2867">
        <v>0</v>
      </c>
      <c r="AM2867" t="s">
        <v>129</v>
      </c>
      <c r="AN2867" t="s">
        <v>130</v>
      </c>
      <c r="AP2867" t="s">
        <v>41</v>
      </c>
      <c r="AW2867" t="s">
        <v>48</v>
      </c>
      <c r="AZ2867" t="s">
        <v>51</v>
      </c>
      <c r="BA2867" t="s">
        <v>52</v>
      </c>
      <c r="BM2867" t="s">
        <v>64</v>
      </c>
    </row>
    <row r="2868" spans="1:90" x14ac:dyDescent="0.2">
      <c r="A2868" t="s">
        <v>9786</v>
      </c>
      <c r="B2868" t="s">
        <v>553</v>
      </c>
      <c r="C2868" t="s">
        <v>9944</v>
      </c>
      <c r="D2868" t="s">
        <v>175</v>
      </c>
      <c r="E2868" t="s">
        <v>9945</v>
      </c>
      <c r="F2868" t="s">
        <v>180</v>
      </c>
      <c r="G2868" t="str">
        <f>HYPERLINK("https://yandex.ru/maps/org/162611823561#d4q5K1VUj3M8C7uoc1LqW84UexRC5mhH")</f>
        <v>https://yandex.ru/maps/org/162611823561#d4q5K1VUj3M8C7uoc1LqW84UexRC5mhH</v>
      </c>
      <c r="H2868" t="s">
        <v>181</v>
      </c>
      <c r="I2868" t="s">
        <v>9946</v>
      </c>
      <c r="J2868" t="str">
        <f>HYPERLINK("https://yandex.ru/user/m6jghj3c8aed742erdgxtbudk8")</f>
        <v>https://yandex.ru/user/m6jghj3c8aed742erdgxtbudk8</v>
      </c>
      <c r="L2868" t="s">
        <v>151</v>
      </c>
      <c r="N2868" t="s">
        <v>236</v>
      </c>
      <c r="O2868" t="s">
        <v>175</v>
      </c>
      <c r="P2868" t="str">
        <f>HYPERLINK("https://yandex.ru/maps/org/162611823561")</f>
        <v>https://yandex.ru/maps/org/162611823561</v>
      </c>
      <c r="R2868" t="s">
        <v>184</v>
      </c>
      <c r="S2868" t="s">
        <v>125</v>
      </c>
      <c r="T2868" t="s">
        <v>153</v>
      </c>
      <c r="U2868" t="s">
        <v>3669</v>
      </c>
      <c r="W2868">
        <v>0</v>
      </c>
      <c r="X2868">
        <v>0</v>
      </c>
      <c r="AH2868">
        <v>5</v>
      </c>
      <c r="AM2868" t="s">
        <v>129</v>
      </c>
      <c r="AN2868" t="s">
        <v>130</v>
      </c>
      <c r="AP2868" t="s">
        <v>41</v>
      </c>
      <c r="AT2868" t="s">
        <v>45</v>
      </c>
      <c r="AZ2868" t="s">
        <v>51</v>
      </c>
      <c r="BD2868" t="s">
        <v>55</v>
      </c>
    </row>
    <row r="2869" spans="1:90" x14ac:dyDescent="0.2">
      <c r="A2869" t="s">
        <v>9786</v>
      </c>
      <c r="B2869" t="s">
        <v>1094</v>
      </c>
      <c r="C2869" t="s">
        <v>9947</v>
      </c>
      <c r="D2869" t="s">
        <v>129</v>
      </c>
      <c r="E2869" t="s">
        <v>9948</v>
      </c>
      <c r="F2869" t="s">
        <v>180</v>
      </c>
      <c r="G2869" t="str">
        <f>HYPERLINK("https://vk.com/wall-22935147_368246")</f>
        <v>https://vk.com/wall-22935147_368246</v>
      </c>
      <c r="H2869" t="s">
        <v>119</v>
      </c>
      <c r="I2869" t="s">
        <v>5399</v>
      </c>
      <c r="J2869" t="str">
        <f>HYPERLINK("http://vk.com/id186352920")</f>
        <v>http://vk.com/id186352920</v>
      </c>
      <c r="K2869">
        <v>1125</v>
      </c>
      <c r="L2869" t="s">
        <v>151</v>
      </c>
      <c r="M2869">
        <v>33</v>
      </c>
      <c r="N2869" t="s">
        <v>122</v>
      </c>
      <c r="O2869" t="s">
        <v>1093</v>
      </c>
      <c r="P2869" t="str">
        <f>HYPERLINK("http://vk.com/club22935147")</f>
        <v>http://vk.com/club22935147</v>
      </c>
      <c r="Q2869">
        <v>8943</v>
      </c>
      <c r="R2869" t="s">
        <v>124</v>
      </c>
      <c r="S2869" t="s">
        <v>125</v>
      </c>
      <c r="T2869" t="s">
        <v>1275</v>
      </c>
      <c r="U2869" t="s">
        <v>5400</v>
      </c>
      <c r="W2869">
        <v>9</v>
      </c>
      <c r="X2869">
        <v>9</v>
      </c>
      <c r="AE2869">
        <v>13</v>
      </c>
      <c r="AF2869">
        <v>0</v>
      </c>
      <c r="AG2869">
        <v>1962</v>
      </c>
      <c r="AM2869" t="s">
        <v>129</v>
      </c>
      <c r="AN2869" t="s">
        <v>130</v>
      </c>
      <c r="AP2869" t="s">
        <v>41</v>
      </c>
      <c r="AT2869" t="s">
        <v>45</v>
      </c>
      <c r="AW2869" t="s">
        <v>48</v>
      </c>
      <c r="AZ2869" t="s">
        <v>51</v>
      </c>
      <c r="BA2869" t="s">
        <v>52</v>
      </c>
      <c r="BM2869" t="s">
        <v>64</v>
      </c>
    </row>
    <row r="2870" spans="1:90" x14ac:dyDescent="0.2">
      <c r="A2870" t="s">
        <v>9786</v>
      </c>
      <c r="B2870" t="s">
        <v>5821</v>
      </c>
      <c r="C2870" t="s">
        <v>9949</v>
      </c>
      <c r="D2870" t="s">
        <v>9804</v>
      </c>
      <c r="E2870" t="s">
        <v>9950</v>
      </c>
      <c r="F2870" t="s">
        <v>118</v>
      </c>
      <c r="G2870" t="str">
        <f>HYPERLINK("https://vk.com/wall-22935147_368183?reply=368245")</f>
        <v>https://vk.com/wall-22935147_368183?reply=368245</v>
      </c>
      <c r="H2870" t="s">
        <v>119</v>
      </c>
      <c r="I2870" t="s">
        <v>3232</v>
      </c>
      <c r="J2870" t="str">
        <f>HYPERLINK("http://vk.com/id525424243")</f>
        <v>http://vk.com/id525424243</v>
      </c>
      <c r="K2870">
        <v>105</v>
      </c>
      <c r="L2870" t="s">
        <v>121</v>
      </c>
      <c r="M2870">
        <v>38</v>
      </c>
      <c r="N2870" t="s">
        <v>122</v>
      </c>
      <c r="O2870" t="s">
        <v>1093</v>
      </c>
      <c r="P2870" t="str">
        <f>HYPERLINK("http://vk.com/club22935147")</f>
        <v>http://vk.com/club22935147</v>
      </c>
      <c r="Q2870">
        <v>8943</v>
      </c>
      <c r="R2870" t="s">
        <v>124</v>
      </c>
      <c r="S2870" t="s">
        <v>125</v>
      </c>
      <c r="T2870" t="s">
        <v>1819</v>
      </c>
      <c r="U2870" t="s">
        <v>2175</v>
      </c>
      <c r="W2870">
        <v>0</v>
      </c>
      <c r="X2870">
        <v>0</v>
      </c>
      <c r="AM2870" t="s">
        <v>129</v>
      </c>
      <c r="AN2870" t="s">
        <v>130</v>
      </c>
      <c r="AP2870" t="s">
        <v>41</v>
      </c>
      <c r="AU2870" t="s">
        <v>46</v>
      </c>
      <c r="AZ2870" t="s">
        <v>51</v>
      </c>
      <c r="BA2870" t="s">
        <v>52</v>
      </c>
      <c r="BL2870" t="s">
        <v>63</v>
      </c>
    </row>
    <row r="2871" spans="1:90" x14ac:dyDescent="0.2">
      <c r="A2871" t="s">
        <v>9786</v>
      </c>
      <c r="B2871" t="s">
        <v>9951</v>
      </c>
      <c r="C2871" t="s">
        <v>9952</v>
      </c>
      <c r="D2871" t="s">
        <v>9856</v>
      </c>
      <c r="E2871" t="s">
        <v>9953</v>
      </c>
      <c r="F2871" t="s">
        <v>118</v>
      </c>
      <c r="G2871" t="str">
        <f>HYPERLINK("https://vk.com/wall-199277766_705?reply=710&amp;thread=707")</f>
        <v>https://vk.com/wall-199277766_705?reply=710&amp;thread=707</v>
      </c>
      <c r="H2871" t="s">
        <v>119</v>
      </c>
      <c r="I2871" t="s">
        <v>254</v>
      </c>
      <c r="J2871" t="str">
        <f>HYPERLINK("http://vk.com/id286061518")</f>
        <v>http://vk.com/id286061518</v>
      </c>
      <c r="K2871">
        <v>5170</v>
      </c>
      <c r="L2871" t="s">
        <v>121</v>
      </c>
      <c r="M2871">
        <v>34</v>
      </c>
      <c r="N2871" t="s">
        <v>122</v>
      </c>
      <c r="O2871" t="s">
        <v>255</v>
      </c>
      <c r="P2871" t="str">
        <f>HYPERLINK("http://vk.com/club199277766")</f>
        <v>http://vk.com/club199277766</v>
      </c>
      <c r="Q2871">
        <v>53</v>
      </c>
      <c r="R2871" t="s">
        <v>124</v>
      </c>
      <c r="S2871" t="s">
        <v>125</v>
      </c>
      <c r="T2871" t="s">
        <v>256</v>
      </c>
      <c r="U2871" t="s">
        <v>257</v>
      </c>
      <c r="AM2871" t="s">
        <v>129</v>
      </c>
      <c r="AN2871" t="s">
        <v>130</v>
      </c>
      <c r="AP2871" t="s">
        <v>41</v>
      </c>
      <c r="AU2871" t="s">
        <v>46</v>
      </c>
      <c r="AZ2871" t="s">
        <v>51</v>
      </c>
      <c r="BA2871" t="s">
        <v>52</v>
      </c>
    </row>
    <row r="2872" spans="1:90" x14ac:dyDescent="0.2">
      <c r="A2872" t="s">
        <v>9786</v>
      </c>
      <c r="B2872" t="s">
        <v>1127</v>
      </c>
      <c r="C2872" t="s">
        <v>9954</v>
      </c>
      <c r="D2872" t="s">
        <v>204</v>
      </c>
      <c r="E2872" t="s">
        <v>9955</v>
      </c>
      <c r="F2872" t="s">
        <v>180</v>
      </c>
      <c r="G2872" t="str">
        <f>HYPERLINK("https://play.google.com/store/apps/details?id=ru.iflex.android.a3colortv&amp;reviewId=gp:AOqpTOEGh4g_dZQ3a_gGKrmb-gnyxrFif4ZnckmdX96WLTS4aLOR8EgHhKpEDuEVbr9cj0KfWm4aXuP8bUAsJw")</f>
        <v>https://play.google.com/store/apps/details?id=ru.iflex.android.a3colortv&amp;reviewId=gp:AOqpTOEGh4g_dZQ3a_gGKrmb-gnyxrFif4ZnckmdX96WLTS4aLOR8EgHhKpEDuEVbr9cj0KfWm4aXuP8bUAsJw</v>
      </c>
      <c r="H2872" t="s">
        <v>228</v>
      </c>
      <c r="I2872" t="s">
        <v>9956</v>
      </c>
      <c r="J2872" t="str">
        <f>HYPERLINK("https://plus.google.com/108630627286187089715")</f>
        <v>https://plus.google.com/108630627286187089715</v>
      </c>
      <c r="L2872" t="s">
        <v>121</v>
      </c>
      <c r="N2872" t="s">
        <v>207</v>
      </c>
      <c r="O2872" t="s">
        <v>204</v>
      </c>
      <c r="P2872" t="str">
        <f>HYPERLINK("https://play.google.com/store/apps/details?id=ru.iflex.android.a3colortv&amp;hl=ru")</f>
        <v>https://play.google.com/store/apps/details?id=ru.iflex.android.a3colortv&amp;hl=ru</v>
      </c>
      <c r="R2872" t="s">
        <v>184</v>
      </c>
      <c r="S2872" t="s">
        <v>125</v>
      </c>
      <c r="W2872">
        <v>0</v>
      </c>
      <c r="X2872">
        <v>0</v>
      </c>
      <c r="AH2872">
        <v>1</v>
      </c>
      <c r="AM2872" t="s">
        <v>129</v>
      </c>
      <c r="AN2872" t="s">
        <v>130</v>
      </c>
      <c r="AP2872" t="s">
        <v>41</v>
      </c>
      <c r="AX2872" t="s">
        <v>49</v>
      </c>
      <c r="AZ2872" t="s">
        <v>51</v>
      </c>
      <c r="BA2872" t="s">
        <v>52</v>
      </c>
      <c r="BQ2872" t="s">
        <v>68</v>
      </c>
      <c r="CL2872" t="s">
        <v>89</v>
      </c>
    </row>
    <row r="2873" spans="1:90" x14ac:dyDescent="0.2">
      <c r="A2873" t="s">
        <v>9786</v>
      </c>
      <c r="B2873" t="s">
        <v>2737</v>
      </c>
      <c r="C2873" t="s">
        <v>9957</v>
      </c>
      <c r="D2873" t="s">
        <v>6224</v>
      </c>
      <c r="E2873" t="s">
        <v>9958</v>
      </c>
      <c r="F2873" t="s">
        <v>118</v>
      </c>
      <c r="G2873" t="str">
        <f>HYPERLINK("https://www.youtube.com/watch?v=cuBcZGF3Yzc&amp;lc=Ugyp7NmMGSlp6ffrI1l4AaABAg")</f>
        <v>https://www.youtube.com/watch?v=cuBcZGF3Yzc&amp;lc=Ugyp7NmMGSlp6ffrI1l4AaABAg</v>
      </c>
      <c r="H2873" t="s">
        <v>119</v>
      </c>
      <c r="I2873" t="s">
        <v>9959</v>
      </c>
      <c r="J2873" t="str">
        <f>HYPERLINK("https://www.youtube.com/channel/UCZFqxqIVUZKHbRUvhl3tr9Q")</f>
        <v>https://www.youtube.com/channel/UCZFqxqIVUZKHbRUvhl3tr9Q</v>
      </c>
      <c r="K2873">
        <v>1</v>
      </c>
      <c r="L2873" t="s">
        <v>121</v>
      </c>
      <c r="N2873" t="s">
        <v>248</v>
      </c>
      <c r="O2873" t="s">
        <v>6227</v>
      </c>
      <c r="P2873" t="str">
        <f>HYPERLINK("https://www.youtube.com/channel/UCRP4EhX1Op-jL7D87PB3qhQ")</f>
        <v>https://www.youtube.com/channel/UCRP4EhX1Op-jL7D87PB3qhQ</v>
      </c>
      <c r="Q2873">
        <v>2820000</v>
      </c>
      <c r="R2873" t="s">
        <v>124</v>
      </c>
      <c r="S2873" t="s">
        <v>125</v>
      </c>
      <c r="W2873">
        <v>0</v>
      </c>
      <c r="X2873">
        <v>0</v>
      </c>
      <c r="AE2873">
        <v>0</v>
      </c>
      <c r="AM2873" t="s">
        <v>129</v>
      </c>
      <c r="AN2873" t="s">
        <v>130</v>
      </c>
      <c r="AP2873" t="s">
        <v>41</v>
      </c>
      <c r="AZ2873" t="s">
        <v>51</v>
      </c>
      <c r="BD2873" t="s">
        <v>55</v>
      </c>
      <c r="BM2873" t="s">
        <v>64</v>
      </c>
    </row>
    <row r="2874" spans="1:90" x14ac:dyDescent="0.2">
      <c r="A2874" t="s">
        <v>9786</v>
      </c>
      <c r="B2874" t="s">
        <v>2737</v>
      </c>
      <c r="C2874" t="s">
        <v>9960</v>
      </c>
      <c r="D2874" t="s">
        <v>3043</v>
      </c>
      <c r="E2874" t="s">
        <v>9961</v>
      </c>
      <c r="F2874" t="s">
        <v>118</v>
      </c>
      <c r="G2874" t="str">
        <f>HYPERLINK("https://vk.com/wall-61101621_254539?reply=254579&amp;thread=254543")</f>
        <v>https://vk.com/wall-61101621_254539?reply=254579&amp;thread=254543</v>
      </c>
      <c r="H2874" t="s">
        <v>119</v>
      </c>
      <c r="I2874" t="s">
        <v>4699</v>
      </c>
      <c r="J2874" t="str">
        <f>HYPERLINK("http://vk.com/id282258755")</f>
        <v>http://vk.com/id282258755</v>
      </c>
      <c r="K2874">
        <v>953</v>
      </c>
      <c r="L2874" t="s">
        <v>121</v>
      </c>
      <c r="M2874">
        <v>20</v>
      </c>
      <c r="N2874" t="s">
        <v>122</v>
      </c>
      <c r="O2874" t="s">
        <v>160</v>
      </c>
      <c r="P2874" t="str">
        <f>HYPERLINK("http://vk.com/club61101621")</f>
        <v>http://vk.com/club61101621</v>
      </c>
      <c r="Q2874">
        <v>21119</v>
      </c>
      <c r="R2874" t="s">
        <v>124</v>
      </c>
      <c r="S2874" t="s">
        <v>125</v>
      </c>
      <c r="T2874" t="s">
        <v>487</v>
      </c>
      <c r="U2874" t="s">
        <v>488</v>
      </c>
      <c r="AM2874" t="s">
        <v>129</v>
      </c>
      <c r="AN2874" t="s">
        <v>130</v>
      </c>
      <c r="AP2874" t="s">
        <v>41</v>
      </c>
      <c r="AZ2874" t="s">
        <v>51</v>
      </c>
      <c r="BB2874" t="s">
        <v>53</v>
      </c>
    </row>
    <row r="2875" spans="1:90" x14ac:dyDescent="0.2">
      <c r="A2875" t="s">
        <v>9786</v>
      </c>
      <c r="B2875" t="s">
        <v>8304</v>
      </c>
      <c r="C2875" t="s">
        <v>9962</v>
      </c>
      <c r="D2875" t="s">
        <v>3043</v>
      </c>
      <c r="E2875" t="s">
        <v>9963</v>
      </c>
      <c r="F2875" t="s">
        <v>118</v>
      </c>
      <c r="G2875" t="str">
        <f>HYPERLINK("https://vk.com/wall-61101621_254539?w=wall-61101621_254539_r254578")</f>
        <v>https://vk.com/wall-61101621_254539?w=wall-61101621_254539_r254578</v>
      </c>
      <c r="H2875" t="s">
        <v>119</v>
      </c>
      <c r="I2875" t="s">
        <v>359</v>
      </c>
      <c r="J2875" t="str">
        <f>HYPERLINK("http://vk.com/club204351896")</f>
        <v>http://vk.com/club204351896</v>
      </c>
      <c r="K2875">
        <v>272</v>
      </c>
      <c r="L2875" t="s">
        <v>340</v>
      </c>
      <c r="N2875" t="s">
        <v>122</v>
      </c>
      <c r="O2875" t="s">
        <v>160</v>
      </c>
      <c r="P2875" t="str">
        <f>HYPERLINK("http://vk.com/club61101621")</f>
        <v>http://vk.com/club61101621</v>
      </c>
      <c r="Q2875">
        <v>21119</v>
      </c>
      <c r="R2875" t="s">
        <v>124</v>
      </c>
      <c r="S2875" t="s">
        <v>125</v>
      </c>
      <c r="W2875">
        <v>0</v>
      </c>
      <c r="X2875">
        <v>0</v>
      </c>
      <c r="AM2875" t="s">
        <v>129</v>
      </c>
      <c r="AN2875" t="s">
        <v>130</v>
      </c>
      <c r="AP2875" t="s">
        <v>41</v>
      </c>
      <c r="AU2875" t="s">
        <v>46</v>
      </c>
      <c r="AZ2875" t="s">
        <v>51</v>
      </c>
      <c r="BA2875" t="s">
        <v>52</v>
      </c>
    </row>
    <row r="2876" spans="1:90" x14ac:dyDescent="0.2">
      <c r="A2876" t="s">
        <v>9786</v>
      </c>
      <c r="B2876" t="s">
        <v>1725</v>
      </c>
      <c r="C2876" t="s">
        <v>9964</v>
      </c>
      <c r="D2876" t="s">
        <v>9703</v>
      </c>
      <c r="E2876" t="s">
        <v>9965</v>
      </c>
      <c r="F2876" t="s">
        <v>118</v>
      </c>
      <c r="G2876" t="str">
        <f>HYPERLINK("https://vk.com/wall-61101621_254569?reply=254577&amp;thread=254576")</f>
        <v>https://vk.com/wall-61101621_254569?reply=254577&amp;thread=254576</v>
      </c>
      <c r="H2876" t="s">
        <v>119</v>
      </c>
      <c r="I2876" t="s">
        <v>359</v>
      </c>
      <c r="J2876" t="str">
        <f>HYPERLINK("http://vk.com/club204351896")</f>
        <v>http://vk.com/club204351896</v>
      </c>
      <c r="K2876">
        <v>272</v>
      </c>
      <c r="L2876" t="s">
        <v>340</v>
      </c>
      <c r="N2876" t="s">
        <v>122</v>
      </c>
      <c r="O2876" t="s">
        <v>160</v>
      </c>
      <c r="P2876" t="str">
        <f>HYPERLINK("http://vk.com/club61101621")</f>
        <v>http://vk.com/club61101621</v>
      </c>
      <c r="Q2876">
        <v>21119</v>
      </c>
      <c r="R2876" t="s">
        <v>124</v>
      </c>
      <c r="S2876" t="s">
        <v>125</v>
      </c>
      <c r="AM2876" t="s">
        <v>129</v>
      </c>
      <c r="AN2876" t="s">
        <v>130</v>
      </c>
      <c r="AP2876" t="s">
        <v>41</v>
      </c>
      <c r="AU2876" t="s">
        <v>46</v>
      </c>
      <c r="AZ2876" t="s">
        <v>51</v>
      </c>
      <c r="BA2876" t="s">
        <v>52</v>
      </c>
    </row>
    <row r="2877" spans="1:90" x14ac:dyDescent="0.2">
      <c r="A2877" t="s">
        <v>9786</v>
      </c>
      <c r="B2877" t="s">
        <v>9966</v>
      </c>
      <c r="C2877" t="s">
        <v>9967</v>
      </c>
      <c r="D2877" t="s">
        <v>129</v>
      </c>
      <c r="E2877" t="s">
        <v>9723</v>
      </c>
      <c r="F2877" t="s">
        <v>180</v>
      </c>
      <c r="G2877" t="str">
        <f>HYPERLINK("https://vk.com/wall-61337487_1646520")</f>
        <v>https://vk.com/wall-61337487_1646520</v>
      </c>
      <c r="H2877" t="s">
        <v>119</v>
      </c>
      <c r="I2877" t="s">
        <v>9968</v>
      </c>
      <c r="J2877" t="str">
        <f>HYPERLINK("http://vk.com/club61337487")</f>
        <v>http://vk.com/club61337487</v>
      </c>
      <c r="K2877">
        <v>46463</v>
      </c>
      <c r="L2877" t="s">
        <v>340</v>
      </c>
      <c r="N2877" t="s">
        <v>122</v>
      </c>
      <c r="O2877" t="s">
        <v>9968</v>
      </c>
      <c r="P2877" t="str">
        <f>HYPERLINK("http://vk.com/club61337487")</f>
        <v>http://vk.com/club61337487</v>
      </c>
      <c r="Q2877">
        <v>46463</v>
      </c>
      <c r="R2877" t="s">
        <v>124</v>
      </c>
      <c r="W2877">
        <v>3</v>
      </c>
      <c r="X2877">
        <v>3</v>
      </c>
      <c r="AE2877">
        <v>9</v>
      </c>
      <c r="AF2877">
        <v>3</v>
      </c>
      <c r="AG2877">
        <v>7852</v>
      </c>
      <c r="AM2877" t="s">
        <v>129</v>
      </c>
      <c r="AN2877" t="s">
        <v>130</v>
      </c>
      <c r="AP2877" t="s">
        <v>41</v>
      </c>
      <c r="AT2877" t="s">
        <v>45</v>
      </c>
      <c r="AW2877" t="s">
        <v>48</v>
      </c>
      <c r="AZ2877" t="s">
        <v>51</v>
      </c>
      <c r="BB2877" t="s">
        <v>53</v>
      </c>
      <c r="BM2877" t="s">
        <v>64</v>
      </c>
    </row>
    <row r="2878" spans="1:90" x14ac:dyDescent="0.2">
      <c r="A2878" t="s">
        <v>9786</v>
      </c>
      <c r="B2878" t="s">
        <v>9405</v>
      </c>
      <c r="C2878" t="s">
        <v>9969</v>
      </c>
      <c r="D2878" t="s">
        <v>986</v>
      </c>
      <c r="E2878" t="s">
        <v>9970</v>
      </c>
      <c r="F2878" t="s">
        <v>118</v>
      </c>
      <c r="G2878" t="str">
        <f>HYPERLINK("https://vk.com/wall-27863223_291396?w=wall-27863223_291396_r291542")</f>
        <v>https://vk.com/wall-27863223_291396?w=wall-27863223_291396_r291542</v>
      </c>
      <c r="H2878" t="s">
        <v>119</v>
      </c>
      <c r="I2878" t="s">
        <v>988</v>
      </c>
      <c r="J2878" t="str">
        <f>HYPERLINK("http://vk.com/id227266248")</f>
        <v>http://vk.com/id227266248</v>
      </c>
      <c r="K2878">
        <v>7</v>
      </c>
      <c r="L2878" t="s">
        <v>121</v>
      </c>
      <c r="M2878">
        <v>39</v>
      </c>
      <c r="N2878" t="s">
        <v>122</v>
      </c>
      <c r="O2878" t="s">
        <v>175</v>
      </c>
      <c r="P2878" t="str">
        <f>HYPERLINK("http://vk.com/club27863223")</f>
        <v>http://vk.com/club27863223</v>
      </c>
      <c r="Q2878">
        <v>134698</v>
      </c>
      <c r="R2878" t="s">
        <v>124</v>
      </c>
      <c r="S2878" t="s">
        <v>125</v>
      </c>
      <c r="T2878" t="s">
        <v>989</v>
      </c>
      <c r="U2878" t="s">
        <v>990</v>
      </c>
      <c r="W2878">
        <v>0</v>
      </c>
      <c r="X2878">
        <v>0</v>
      </c>
      <c r="AM2878" t="s">
        <v>129</v>
      </c>
      <c r="AN2878" t="s">
        <v>130</v>
      </c>
      <c r="AP2878" t="s">
        <v>41</v>
      </c>
      <c r="AU2878" t="s">
        <v>46</v>
      </c>
      <c r="AZ2878" t="s">
        <v>51</v>
      </c>
      <c r="BA2878" t="s">
        <v>52</v>
      </c>
    </row>
    <row r="2879" spans="1:90" x14ac:dyDescent="0.2">
      <c r="A2879" t="s">
        <v>9786</v>
      </c>
      <c r="B2879" t="s">
        <v>4421</v>
      </c>
      <c r="C2879" t="s">
        <v>9971</v>
      </c>
      <c r="D2879" t="s">
        <v>9972</v>
      </c>
      <c r="E2879" t="s">
        <v>9973</v>
      </c>
      <c r="F2879" t="s">
        <v>118</v>
      </c>
      <c r="G2879" t="str">
        <f>HYPERLINK("https://vk.com/wall-30799607_836591?reply=836735")</f>
        <v>https://vk.com/wall-30799607_836591?reply=836735</v>
      </c>
      <c r="H2879" t="s">
        <v>119</v>
      </c>
      <c r="I2879" t="s">
        <v>9974</v>
      </c>
      <c r="J2879" t="str">
        <f>HYPERLINK("http://vk.com/id631022723")</f>
        <v>http://vk.com/id631022723</v>
      </c>
      <c r="L2879" t="s">
        <v>121</v>
      </c>
      <c r="M2879">
        <v>61</v>
      </c>
      <c r="N2879" t="s">
        <v>122</v>
      </c>
      <c r="O2879" t="s">
        <v>7890</v>
      </c>
      <c r="P2879" t="str">
        <f>HYPERLINK("http://vk.com/club30799607")</f>
        <v>http://vk.com/club30799607</v>
      </c>
      <c r="Q2879">
        <v>23347</v>
      </c>
      <c r="R2879" t="s">
        <v>124</v>
      </c>
      <c r="S2879" t="s">
        <v>125</v>
      </c>
      <c r="T2879" t="s">
        <v>137</v>
      </c>
      <c r="U2879" t="s">
        <v>137</v>
      </c>
      <c r="AM2879" t="s">
        <v>129</v>
      </c>
      <c r="AN2879" t="s">
        <v>130</v>
      </c>
      <c r="AP2879" t="s">
        <v>41</v>
      </c>
      <c r="AZ2879" t="s">
        <v>51</v>
      </c>
      <c r="BA2879" t="s">
        <v>52</v>
      </c>
      <c r="BL2879" t="s">
        <v>63</v>
      </c>
    </row>
    <row r="2880" spans="1:90" x14ac:dyDescent="0.2">
      <c r="A2880" t="s">
        <v>9786</v>
      </c>
      <c r="B2880" t="s">
        <v>6177</v>
      </c>
      <c r="C2880" t="s">
        <v>9975</v>
      </c>
      <c r="D2880" t="s">
        <v>986</v>
      </c>
      <c r="E2880" t="s">
        <v>9976</v>
      </c>
      <c r="F2880" t="s">
        <v>118</v>
      </c>
      <c r="G2880" t="str">
        <f>HYPERLINK("https://vk.com/wall-27863223_291396?w=wall-27863223_291396_r291538")</f>
        <v>https://vk.com/wall-27863223_291396?w=wall-27863223_291396_r291538</v>
      </c>
      <c r="H2880" t="s">
        <v>119</v>
      </c>
      <c r="I2880" t="s">
        <v>988</v>
      </c>
      <c r="J2880" t="str">
        <f>HYPERLINK("http://vk.com/id227266248")</f>
        <v>http://vk.com/id227266248</v>
      </c>
      <c r="K2880">
        <v>7</v>
      </c>
      <c r="L2880" t="s">
        <v>121</v>
      </c>
      <c r="M2880">
        <v>39</v>
      </c>
      <c r="N2880" t="s">
        <v>122</v>
      </c>
      <c r="O2880" t="s">
        <v>175</v>
      </c>
      <c r="P2880" t="str">
        <f>HYPERLINK("http://vk.com/club27863223")</f>
        <v>http://vk.com/club27863223</v>
      </c>
      <c r="Q2880">
        <v>134698</v>
      </c>
      <c r="R2880" t="s">
        <v>124</v>
      </c>
      <c r="S2880" t="s">
        <v>125</v>
      </c>
      <c r="T2880" t="s">
        <v>989</v>
      </c>
      <c r="U2880" t="s">
        <v>990</v>
      </c>
      <c r="W2880">
        <v>0</v>
      </c>
      <c r="X2880">
        <v>0</v>
      </c>
      <c r="AM2880" t="s">
        <v>129</v>
      </c>
      <c r="AN2880" t="s">
        <v>130</v>
      </c>
      <c r="AP2880" t="s">
        <v>41</v>
      </c>
      <c r="AU2880" t="s">
        <v>46</v>
      </c>
      <c r="BA2880" t="s">
        <v>52</v>
      </c>
      <c r="BE2880" t="s">
        <v>56</v>
      </c>
    </row>
    <row r="2881" spans="1:69" x14ac:dyDescent="0.2">
      <c r="A2881" t="s">
        <v>9786</v>
      </c>
      <c r="B2881" t="s">
        <v>655</v>
      </c>
      <c r="C2881" t="s">
        <v>5419</v>
      </c>
      <c r="D2881" t="s">
        <v>5038</v>
      </c>
      <c r="E2881" t="s">
        <v>9977</v>
      </c>
      <c r="F2881" t="s">
        <v>180</v>
      </c>
      <c r="G2881" t="str">
        <f>HYPERLINK("https://www.ozon.ru/context/detail/id/216961648/#58014699")</f>
        <v>https://www.ozon.ru/context/detail/id/216961648/#58014699</v>
      </c>
      <c r="H2881" t="s">
        <v>181</v>
      </c>
      <c r="I2881" t="s">
        <v>9978</v>
      </c>
      <c r="J2881" t="str">
        <f>HYPERLINK("https://www.ozon.ru/context/client_opinion/ClientGuid/4502eda4-421e-4397-b922-fc94e1d2232d/")</f>
        <v>https://www.ozon.ru/context/client_opinion/ClientGuid/4502eda4-421e-4397-b922-fc94e1d2232d/</v>
      </c>
      <c r="L2881" t="s">
        <v>121</v>
      </c>
      <c r="N2881" t="s">
        <v>183</v>
      </c>
      <c r="O2881" t="s">
        <v>5038</v>
      </c>
      <c r="P2881" t="str">
        <f>HYPERLINK("https://www.ozon.ru/context/detail/id/216961648/")</f>
        <v>https://www.ozon.ru/context/detail/id/216961648/</v>
      </c>
      <c r="R2881" t="s">
        <v>184</v>
      </c>
      <c r="S2881" t="s">
        <v>125</v>
      </c>
      <c r="W2881">
        <v>0</v>
      </c>
      <c r="X2881">
        <v>0</v>
      </c>
      <c r="AH2881">
        <v>5</v>
      </c>
      <c r="AM2881" t="s">
        <v>129</v>
      </c>
      <c r="AN2881" t="s">
        <v>130</v>
      </c>
      <c r="AP2881" t="s">
        <v>41</v>
      </c>
      <c r="AU2881" t="s">
        <v>46</v>
      </c>
      <c r="AZ2881" t="s">
        <v>51</v>
      </c>
      <c r="BA2881" t="s">
        <v>52</v>
      </c>
      <c r="BO2881" t="s">
        <v>66</v>
      </c>
    </row>
    <row r="2882" spans="1:69" x14ac:dyDescent="0.2">
      <c r="A2882" t="s">
        <v>9786</v>
      </c>
      <c r="B2882" t="s">
        <v>8660</v>
      </c>
      <c r="C2882" t="s">
        <v>9975</v>
      </c>
      <c r="D2882" t="s">
        <v>9979</v>
      </c>
      <c r="E2882" t="s">
        <v>9980</v>
      </c>
      <c r="F2882" t="s">
        <v>118</v>
      </c>
      <c r="G2882" t="str">
        <f>HYPERLINK("https://vk.com/wall-14098618_8635?reply=8648")</f>
        <v>https://vk.com/wall-14098618_8635?reply=8648</v>
      </c>
      <c r="H2882" t="s">
        <v>119</v>
      </c>
      <c r="I2882" t="s">
        <v>9981</v>
      </c>
      <c r="J2882" t="str">
        <f>HYPERLINK("http://vk.com/id133367849")</f>
        <v>http://vk.com/id133367849</v>
      </c>
      <c r="K2882">
        <v>684</v>
      </c>
      <c r="L2882" t="s">
        <v>151</v>
      </c>
      <c r="M2882">
        <v>27</v>
      </c>
      <c r="N2882" t="s">
        <v>122</v>
      </c>
      <c r="O2882" t="s">
        <v>1663</v>
      </c>
      <c r="P2882" t="str">
        <f>HYPERLINK("http://vk.com/club14098618")</f>
        <v>http://vk.com/club14098618</v>
      </c>
      <c r="Q2882">
        <v>4681</v>
      </c>
      <c r="R2882" t="s">
        <v>124</v>
      </c>
      <c r="S2882" t="s">
        <v>125</v>
      </c>
      <c r="T2882" t="s">
        <v>372</v>
      </c>
      <c r="U2882" t="s">
        <v>9982</v>
      </c>
      <c r="W2882">
        <v>0</v>
      </c>
      <c r="X2882">
        <v>0</v>
      </c>
      <c r="AM2882" t="s">
        <v>129</v>
      </c>
      <c r="AN2882" t="s">
        <v>130</v>
      </c>
      <c r="AP2882" t="s">
        <v>41</v>
      </c>
      <c r="AY2882" t="s">
        <v>50</v>
      </c>
      <c r="AZ2882" t="s">
        <v>51</v>
      </c>
      <c r="BA2882" t="s">
        <v>52</v>
      </c>
    </row>
    <row r="2883" spans="1:69" x14ac:dyDescent="0.2">
      <c r="A2883" t="s">
        <v>9786</v>
      </c>
      <c r="B2883" t="s">
        <v>8660</v>
      </c>
      <c r="C2883" t="s">
        <v>9975</v>
      </c>
      <c r="D2883" t="s">
        <v>9979</v>
      </c>
      <c r="E2883" t="s">
        <v>9983</v>
      </c>
      <c r="F2883" t="s">
        <v>118</v>
      </c>
      <c r="G2883" t="str">
        <f>HYPERLINK("https://vk.com/wall-14098618_8635?w=wall-14098618_8635_r8647")</f>
        <v>https://vk.com/wall-14098618_8635?w=wall-14098618_8635_r8647</v>
      </c>
      <c r="H2883" t="s">
        <v>119</v>
      </c>
      <c r="I2883" t="s">
        <v>9981</v>
      </c>
      <c r="J2883" t="str">
        <f>HYPERLINK("http://vk.com/id133367849")</f>
        <v>http://vk.com/id133367849</v>
      </c>
      <c r="K2883">
        <v>684</v>
      </c>
      <c r="L2883" t="s">
        <v>151</v>
      </c>
      <c r="M2883">
        <v>27</v>
      </c>
      <c r="N2883" t="s">
        <v>122</v>
      </c>
      <c r="O2883" t="s">
        <v>1663</v>
      </c>
      <c r="P2883" t="str">
        <f>HYPERLINK("http://vk.com/club14098618")</f>
        <v>http://vk.com/club14098618</v>
      </c>
      <c r="Q2883">
        <v>4681</v>
      </c>
      <c r="R2883" t="s">
        <v>124</v>
      </c>
      <c r="S2883" t="s">
        <v>125</v>
      </c>
      <c r="T2883" t="s">
        <v>372</v>
      </c>
      <c r="U2883" t="s">
        <v>9982</v>
      </c>
      <c r="W2883">
        <v>0</v>
      </c>
      <c r="X2883">
        <v>0</v>
      </c>
      <c r="AM2883" t="s">
        <v>129</v>
      </c>
      <c r="AN2883" t="s">
        <v>130</v>
      </c>
      <c r="AP2883" t="s">
        <v>41</v>
      </c>
      <c r="AY2883" t="s">
        <v>50</v>
      </c>
      <c r="AZ2883" t="s">
        <v>51</v>
      </c>
      <c r="BA2883" t="s">
        <v>52</v>
      </c>
    </row>
    <row r="2884" spans="1:69" x14ac:dyDescent="0.2">
      <c r="A2884" t="s">
        <v>9786</v>
      </c>
      <c r="B2884" t="s">
        <v>1767</v>
      </c>
      <c r="C2884" t="s">
        <v>9984</v>
      </c>
      <c r="D2884" t="s">
        <v>9985</v>
      </c>
      <c r="E2884" t="s">
        <v>9986</v>
      </c>
      <c r="F2884" t="s">
        <v>118</v>
      </c>
      <c r="G2884" t="str">
        <f>HYPERLINK("https://vk.com/wall-22935147_368241?reply=368243")</f>
        <v>https://vk.com/wall-22935147_368241?reply=368243</v>
      </c>
      <c r="H2884" t="s">
        <v>119</v>
      </c>
      <c r="I2884" t="s">
        <v>5494</v>
      </c>
      <c r="J2884" t="str">
        <f>HYPERLINK("http://vk.com/id191196273")</f>
        <v>http://vk.com/id191196273</v>
      </c>
      <c r="K2884">
        <v>64</v>
      </c>
      <c r="L2884" t="s">
        <v>121</v>
      </c>
      <c r="M2884">
        <v>45</v>
      </c>
      <c r="N2884" t="s">
        <v>122</v>
      </c>
      <c r="O2884" t="s">
        <v>1093</v>
      </c>
      <c r="P2884" t="str">
        <f>HYPERLINK("http://vk.com/club22935147")</f>
        <v>http://vk.com/club22935147</v>
      </c>
      <c r="Q2884">
        <v>8943</v>
      </c>
      <c r="R2884" t="s">
        <v>124</v>
      </c>
      <c r="S2884" t="s">
        <v>125</v>
      </c>
      <c r="T2884" t="s">
        <v>2225</v>
      </c>
      <c r="U2884" t="s">
        <v>2861</v>
      </c>
      <c r="W2884">
        <v>0</v>
      </c>
      <c r="X2884">
        <v>0</v>
      </c>
      <c r="AM2884" t="s">
        <v>129</v>
      </c>
      <c r="AN2884" t="s">
        <v>130</v>
      </c>
      <c r="AP2884" t="s">
        <v>41</v>
      </c>
      <c r="AZ2884" t="s">
        <v>51</v>
      </c>
      <c r="BA2884" t="s">
        <v>52</v>
      </c>
      <c r="BM2884" t="s">
        <v>64</v>
      </c>
    </row>
    <row r="2885" spans="1:69" x14ac:dyDescent="0.2">
      <c r="A2885" t="s">
        <v>9786</v>
      </c>
      <c r="B2885" t="s">
        <v>2765</v>
      </c>
      <c r="C2885" t="s">
        <v>9987</v>
      </c>
      <c r="D2885" t="s">
        <v>9703</v>
      </c>
      <c r="E2885" t="s">
        <v>9988</v>
      </c>
      <c r="F2885" t="s">
        <v>118</v>
      </c>
      <c r="G2885" t="str">
        <f>HYPERLINK("https://vk.com/wall-61101621_254569?reply=254576")</f>
        <v>https://vk.com/wall-61101621_254569?reply=254576</v>
      </c>
      <c r="H2885" t="s">
        <v>119</v>
      </c>
      <c r="I2885" t="s">
        <v>9989</v>
      </c>
      <c r="J2885" t="str">
        <f>HYPERLINK("http://vk.com/id25516732")</f>
        <v>http://vk.com/id25516732</v>
      </c>
      <c r="K2885">
        <v>316</v>
      </c>
      <c r="L2885" t="s">
        <v>121</v>
      </c>
      <c r="M2885">
        <v>37</v>
      </c>
      <c r="N2885" t="s">
        <v>122</v>
      </c>
      <c r="O2885" t="s">
        <v>160</v>
      </c>
      <c r="P2885" t="str">
        <f>HYPERLINK("http://vk.com/club61101621")</f>
        <v>http://vk.com/club61101621</v>
      </c>
      <c r="Q2885">
        <v>21119</v>
      </c>
      <c r="R2885" t="s">
        <v>124</v>
      </c>
      <c r="S2885" t="s">
        <v>125</v>
      </c>
      <c r="T2885" t="s">
        <v>989</v>
      </c>
      <c r="U2885" t="s">
        <v>990</v>
      </c>
      <c r="AM2885" t="s">
        <v>129</v>
      </c>
      <c r="AN2885" t="s">
        <v>130</v>
      </c>
      <c r="AP2885" t="s">
        <v>41</v>
      </c>
      <c r="AU2885" t="s">
        <v>46</v>
      </c>
      <c r="AZ2885" t="s">
        <v>51</v>
      </c>
      <c r="BA2885" t="s">
        <v>52</v>
      </c>
    </row>
    <row r="2886" spans="1:69" x14ac:dyDescent="0.2">
      <c r="A2886" t="s">
        <v>9786</v>
      </c>
      <c r="B2886" t="s">
        <v>9990</v>
      </c>
      <c r="C2886" t="s">
        <v>9991</v>
      </c>
      <c r="D2886" t="s">
        <v>9985</v>
      </c>
      <c r="E2886" t="s">
        <v>9992</v>
      </c>
      <c r="F2886" t="s">
        <v>118</v>
      </c>
      <c r="G2886" t="str">
        <f>HYPERLINK("https://vk.com/wall-22935147_368241?reply=368242")</f>
        <v>https://vk.com/wall-22935147_368241?reply=368242</v>
      </c>
      <c r="H2886" t="s">
        <v>119</v>
      </c>
      <c r="I2886" t="s">
        <v>9993</v>
      </c>
      <c r="J2886" t="str">
        <f>HYPERLINK("http://vk.com/id3408559")</f>
        <v>http://vk.com/id3408559</v>
      </c>
      <c r="K2886">
        <v>118</v>
      </c>
      <c r="M2886">
        <v>40</v>
      </c>
      <c r="N2886" t="s">
        <v>122</v>
      </c>
      <c r="O2886" t="s">
        <v>1093</v>
      </c>
      <c r="P2886" t="str">
        <f>HYPERLINK("http://vk.com/club22935147")</f>
        <v>http://vk.com/club22935147</v>
      </c>
      <c r="Q2886">
        <v>8943</v>
      </c>
      <c r="R2886" t="s">
        <v>124</v>
      </c>
      <c r="S2886" t="s">
        <v>125</v>
      </c>
      <c r="T2886" t="s">
        <v>828</v>
      </c>
      <c r="U2886" t="s">
        <v>829</v>
      </c>
      <c r="W2886">
        <v>0</v>
      </c>
      <c r="X2886">
        <v>0</v>
      </c>
      <c r="AM2886" t="s">
        <v>129</v>
      </c>
      <c r="AN2886" t="s">
        <v>130</v>
      </c>
      <c r="AP2886" t="s">
        <v>41</v>
      </c>
      <c r="AT2886" t="s">
        <v>45</v>
      </c>
      <c r="AZ2886" t="s">
        <v>51</v>
      </c>
      <c r="BA2886" t="s">
        <v>52</v>
      </c>
      <c r="BL2886" t="s">
        <v>63</v>
      </c>
    </row>
    <row r="2887" spans="1:69" x14ac:dyDescent="0.2">
      <c r="A2887" t="s">
        <v>9786</v>
      </c>
      <c r="B2887" t="s">
        <v>669</v>
      </c>
      <c r="C2887" t="s">
        <v>9994</v>
      </c>
      <c r="D2887" t="s">
        <v>9703</v>
      </c>
      <c r="E2887" t="s">
        <v>9995</v>
      </c>
      <c r="F2887" t="s">
        <v>118</v>
      </c>
      <c r="G2887" t="str">
        <f>HYPERLINK("https://vk.com/wall-61101621_254569?reply=254575&amp;thread=254571")</f>
        <v>https://vk.com/wall-61101621_254569?reply=254575&amp;thread=254571</v>
      </c>
      <c r="H2887" t="s">
        <v>119</v>
      </c>
      <c r="I2887" t="s">
        <v>1722</v>
      </c>
      <c r="J2887" t="str">
        <f>HYPERLINK("http://vk.com/id240644107")</f>
        <v>http://vk.com/id240644107</v>
      </c>
      <c r="K2887">
        <v>33</v>
      </c>
      <c r="L2887" t="s">
        <v>121</v>
      </c>
      <c r="N2887" t="s">
        <v>122</v>
      </c>
      <c r="O2887" t="s">
        <v>160</v>
      </c>
      <c r="P2887" t="str">
        <f>HYPERLINK("http://vk.com/club61101621")</f>
        <v>http://vk.com/club61101621</v>
      </c>
      <c r="Q2887">
        <v>21119</v>
      </c>
      <c r="R2887" t="s">
        <v>124</v>
      </c>
      <c r="S2887" t="s">
        <v>125</v>
      </c>
      <c r="T2887" t="s">
        <v>169</v>
      </c>
      <c r="U2887" t="s">
        <v>169</v>
      </c>
      <c r="AM2887" t="s">
        <v>129</v>
      </c>
      <c r="AN2887" t="s">
        <v>130</v>
      </c>
      <c r="AP2887" t="s">
        <v>41</v>
      </c>
      <c r="AU2887" t="s">
        <v>46</v>
      </c>
      <c r="AZ2887" t="s">
        <v>51</v>
      </c>
      <c r="BA2887" t="s">
        <v>52</v>
      </c>
    </row>
    <row r="2888" spans="1:69" x14ac:dyDescent="0.2">
      <c r="A2888" t="s">
        <v>9786</v>
      </c>
      <c r="B2888" t="s">
        <v>2200</v>
      </c>
      <c r="C2888" t="s">
        <v>9996</v>
      </c>
      <c r="D2888" t="s">
        <v>9703</v>
      </c>
      <c r="E2888" t="s">
        <v>9997</v>
      </c>
      <c r="F2888" t="s">
        <v>118</v>
      </c>
      <c r="G2888" t="str">
        <f>HYPERLINK("https://vk.com/wall-61101621_254569?reply=254574&amp;thread=254571")</f>
        <v>https://vk.com/wall-61101621_254569?reply=254574&amp;thread=254571</v>
      </c>
      <c r="H2888" t="s">
        <v>119</v>
      </c>
      <c r="I2888" t="s">
        <v>1722</v>
      </c>
      <c r="J2888" t="str">
        <f>HYPERLINK("http://vk.com/id240644107")</f>
        <v>http://vk.com/id240644107</v>
      </c>
      <c r="K2888">
        <v>33</v>
      </c>
      <c r="L2888" t="s">
        <v>121</v>
      </c>
      <c r="N2888" t="s">
        <v>122</v>
      </c>
      <c r="O2888" t="s">
        <v>160</v>
      </c>
      <c r="P2888" t="str">
        <f>HYPERLINK("http://vk.com/club61101621")</f>
        <v>http://vk.com/club61101621</v>
      </c>
      <c r="Q2888">
        <v>21119</v>
      </c>
      <c r="R2888" t="s">
        <v>124</v>
      </c>
      <c r="S2888" t="s">
        <v>125</v>
      </c>
      <c r="T2888" t="s">
        <v>169</v>
      </c>
      <c r="U2888" t="s">
        <v>169</v>
      </c>
      <c r="AM2888" t="s">
        <v>129</v>
      </c>
      <c r="AN2888" t="s">
        <v>130</v>
      </c>
      <c r="AP2888" t="s">
        <v>41</v>
      </c>
      <c r="AU2888" t="s">
        <v>46</v>
      </c>
      <c r="AZ2888" t="s">
        <v>51</v>
      </c>
      <c r="BA2888" t="s">
        <v>52</v>
      </c>
    </row>
    <row r="2889" spans="1:69" x14ac:dyDescent="0.2">
      <c r="A2889" t="s">
        <v>9786</v>
      </c>
      <c r="B2889" t="s">
        <v>2209</v>
      </c>
      <c r="C2889" t="s">
        <v>9998</v>
      </c>
      <c r="D2889" t="s">
        <v>9999</v>
      </c>
      <c r="E2889" t="s">
        <v>10000</v>
      </c>
      <c r="F2889" t="s">
        <v>118</v>
      </c>
      <c r="G2889" t="str">
        <f>HYPERLINK("https://www.facebook.com/groups/biwiki/permalink/3978508065581851/?comment_id=3979728912126433")</f>
        <v>https://www.facebook.com/groups/biwiki/permalink/3978508065581851/?comment_id=3979728912126433</v>
      </c>
      <c r="H2889" t="s">
        <v>181</v>
      </c>
      <c r="I2889" t="s">
        <v>10001</v>
      </c>
      <c r="J2889" t="str">
        <f>HYPERLINK("https://www.facebook.com/100000751594347")</f>
        <v>https://www.facebook.com/100000751594347</v>
      </c>
      <c r="K2889">
        <v>432</v>
      </c>
      <c r="L2889" t="s">
        <v>121</v>
      </c>
      <c r="N2889" t="s">
        <v>305</v>
      </c>
      <c r="O2889" t="s">
        <v>10002</v>
      </c>
      <c r="P2889" t="str">
        <f>HYPERLINK("https://www.facebook.com/305589802873714")</f>
        <v>https://www.facebook.com/305589802873714</v>
      </c>
      <c r="Q2889">
        <v>195038</v>
      </c>
      <c r="R2889" t="s">
        <v>124</v>
      </c>
      <c r="S2889" t="s">
        <v>125</v>
      </c>
      <c r="T2889" t="s">
        <v>667</v>
      </c>
      <c r="U2889" t="s">
        <v>668</v>
      </c>
      <c r="W2889">
        <v>1</v>
      </c>
      <c r="X2889">
        <v>1</v>
      </c>
      <c r="AE2889">
        <v>0</v>
      </c>
      <c r="AM2889" t="s">
        <v>129</v>
      </c>
      <c r="AN2889" t="s">
        <v>130</v>
      </c>
      <c r="AP2889" t="s">
        <v>41</v>
      </c>
      <c r="AU2889" t="s">
        <v>46</v>
      </c>
      <c r="AZ2889" t="s">
        <v>51</v>
      </c>
      <c r="BA2889" t="s">
        <v>52</v>
      </c>
      <c r="BQ2889" t="s">
        <v>68</v>
      </c>
    </row>
    <row r="2890" spans="1:69" x14ac:dyDescent="0.2">
      <c r="A2890" t="s">
        <v>9786</v>
      </c>
      <c r="B2890" t="s">
        <v>9737</v>
      </c>
      <c r="C2890" t="s">
        <v>10003</v>
      </c>
      <c r="D2890" t="s">
        <v>9703</v>
      </c>
      <c r="E2890" t="s">
        <v>10004</v>
      </c>
      <c r="F2890" t="s">
        <v>118</v>
      </c>
      <c r="G2890" t="str">
        <f>HYPERLINK("https://vk.com/wall-61101621_254569?reply=254571")</f>
        <v>https://vk.com/wall-61101621_254569?reply=254571</v>
      </c>
      <c r="H2890" t="s">
        <v>119</v>
      </c>
      <c r="I2890" t="s">
        <v>5114</v>
      </c>
      <c r="J2890" t="str">
        <f>HYPERLINK("http://vk.com/id365357670")</f>
        <v>http://vk.com/id365357670</v>
      </c>
      <c r="K2890">
        <v>8</v>
      </c>
      <c r="L2890" t="s">
        <v>121</v>
      </c>
      <c r="M2890">
        <v>30</v>
      </c>
      <c r="N2890" t="s">
        <v>122</v>
      </c>
      <c r="O2890" t="s">
        <v>160</v>
      </c>
      <c r="P2890" t="str">
        <f>HYPERLINK("http://vk.com/club61101621")</f>
        <v>http://vk.com/club61101621</v>
      </c>
      <c r="Q2890">
        <v>21119</v>
      </c>
      <c r="R2890" t="s">
        <v>124</v>
      </c>
      <c r="S2890" t="s">
        <v>125</v>
      </c>
      <c r="T2890" t="s">
        <v>5115</v>
      </c>
      <c r="U2890" t="s">
        <v>5116</v>
      </c>
      <c r="AM2890" t="s">
        <v>129</v>
      </c>
      <c r="AN2890" t="s">
        <v>130</v>
      </c>
      <c r="AP2890" t="s">
        <v>41</v>
      </c>
      <c r="AU2890" t="s">
        <v>46</v>
      </c>
      <c r="AZ2890" t="s">
        <v>51</v>
      </c>
      <c r="BA2890" t="s">
        <v>52</v>
      </c>
    </row>
    <row r="2891" spans="1:69" x14ac:dyDescent="0.2">
      <c r="A2891" t="s">
        <v>9786</v>
      </c>
      <c r="B2891" t="s">
        <v>10005</v>
      </c>
      <c r="C2891" t="s">
        <v>10006</v>
      </c>
      <c r="D2891" t="s">
        <v>129</v>
      </c>
      <c r="E2891" t="s">
        <v>10007</v>
      </c>
      <c r="F2891" t="s">
        <v>180</v>
      </c>
      <c r="G2891" t="str">
        <f>HYPERLINK("https://vk.com/wall-22935147_368241")</f>
        <v>https://vk.com/wall-22935147_368241</v>
      </c>
      <c r="H2891" t="s">
        <v>119</v>
      </c>
      <c r="I2891" t="s">
        <v>10008</v>
      </c>
      <c r="J2891" t="str">
        <f>HYPERLINK("http://vk.com/id256169468")</f>
        <v>http://vk.com/id256169468</v>
      </c>
      <c r="K2891">
        <v>44</v>
      </c>
      <c r="L2891" t="s">
        <v>121</v>
      </c>
      <c r="M2891">
        <v>103</v>
      </c>
      <c r="N2891" t="s">
        <v>122</v>
      </c>
      <c r="O2891" t="s">
        <v>1093</v>
      </c>
      <c r="P2891" t="str">
        <f>HYPERLINK("http://vk.com/club22935147")</f>
        <v>http://vk.com/club22935147</v>
      </c>
      <c r="Q2891">
        <v>8943</v>
      </c>
      <c r="R2891" t="s">
        <v>124</v>
      </c>
      <c r="S2891" t="s">
        <v>125</v>
      </c>
      <c r="W2891">
        <v>8</v>
      </c>
      <c r="X2891">
        <v>8</v>
      </c>
      <c r="AE2891">
        <v>2</v>
      </c>
      <c r="AF2891">
        <v>0</v>
      </c>
      <c r="AG2891">
        <v>1851</v>
      </c>
      <c r="AM2891" t="s">
        <v>129</v>
      </c>
      <c r="AN2891" t="s">
        <v>130</v>
      </c>
      <c r="AP2891" t="s">
        <v>41</v>
      </c>
      <c r="AU2891" t="s">
        <v>46</v>
      </c>
      <c r="AW2891" t="s">
        <v>48</v>
      </c>
      <c r="BA2891" t="s">
        <v>52</v>
      </c>
      <c r="BE2891" t="s">
        <v>56</v>
      </c>
      <c r="BL2891" t="s">
        <v>63</v>
      </c>
    </row>
    <row r="2892" spans="1:69" x14ac:dyDescent="0.2">
      <c r="A2892" t="s">
        <v>9786</v>
      </c>
      <c r="B2892" t="s">
        <v>6898</v>
      </c>
      <c r="C2892" t="s">
        <v>10009</v>
      </c>
      <c r="D2892" t="s">
        <v>10010</v>
      </c>
      <c r="E2892" t="s">
        <v>10011</v>
      </c>
      <c r="F2892" t="s">
        <v>118</v>
      </c>
      <c r="G2892" t="str">
        <f>HYPERLINK("https://vk.com/wall-100484778_37111?reply=37323&amp;thread=37122")</f>
        <v>https://vk.com/wall-100484778_37111?reply=37323&amp;thread=37122</v>
      </c>
      <c r="H2892" t="s">
        <v>119</v>
      </c>
      <c r="I2892" t="s">
        <v>10012</v>
      </c>
      <c r="J2892" t="str">
        <f>HYPERLINK("http://vk.com/id410989234")</f>
        <v>http://vk.com/id410989234</v>
      </c>
      <c r="K2892">
        <v>192</v>
      </c>
      <c r="L2892" t="s">
        <v>121</v>
      </c>
      <c r="N2892" t="s">
        <v>122</v>
      </c>
      <c r="O2892" t="s">
        <v>10013</v>
      </c>
      <c r="P2892" t="str">
        <f>HYPERLINK("http://vk.com/club100484778")</f>
        <v>http://vk.com/club100484778</v>
      </c>
      <c r="Q2892">
        <v>6370</v>
      </c>
      <c r="R2892" t="s">
        <v>124</v>
      </c>
      <c r="AM2892" t="s">
        <v>129</v>
      </c>
      <c r="AN2892" t="s">
        <v>130</v>
      </c>
      <c r="AP2892" t="s">
        <v>41</v>
      </c>
      <c r="AZ2892" t="s">
        <v>51</v>
      </c>
      <c r="BA2892" t="s">
        <v>52</v>
      </c>
      <c r="BL2892" t="s">
        <v>63</v>
      </c>
    </row>
    <row r="2893" spans="1:69" x14ac:dyDescent="0.2">
      <c r="A2893" t="s">
        <v>9786</v>
      </c>
      <c r="B2893" t="s">
        <v>10014</v>
      </c>
      <c r="C2893" t="s">
        <v>6286</v>
      </c>
      <c r="D2893" t="s">
        <v>9699</v>
      </c>
      <c r="E2893" t="s">
        <v>10015</v>
      </c>
      <c r="F2893" t="s">
        <v>180</v>
      </c>
      <c r="G2893" t="str">
        <f>HYPERLINK("https://www.ozon.ru/context/detail/id/234295959/#57987595")</f>
        <v>https://www.ozon.ru/context/detail/id/234295959/#57987595</v>
      </c>
      <c r="H2893" t="s">
        <v>181</v>
      </c>
      <c r="I2893" t="s">
        <v>10016</v>
      </c>
      <c r="J2893" t="str">
        <f>HYPERLINK("https://www.ozon.ru/context/client_opinion/ClientGuid/6173f334-0c84-4e21-a2f5-6b344dee8c60/")</f>
        <v>https://www.ozon.ru/context/client_opinion/ClientGuid/6173f334-0c84-4e21-a2f5-6b344dee8c60/</v>
      </c>
      <c r="L2893" t="s">
        <v>121</v>
      </c>
      <c r="N2893" t="s">
        <v>183</v>
      </c>
      <c r="O2893" t="s">
        <v>9699</v>
      </c>
      <c r="P2893" t="str">
        <f>HYPERLINK("https://www.ozon.ru/context/detail/id/234295959/")</f>
        <v>https://www.ozon.ru/context/detail/id/234295959/</v>
      </c>
      <c r="R2893" t="s">
        <v>184</v>
      </c>
      <c r="S2893" t="s">
        <v>125</v>
      </c>
      <c r="W2893">
        <v>2</v>
      </c>
      <c r="X2893">
        <v>2</v>
      </c>
      <c r="AH2893">
        <v>5</v>
      </c>
      <c r="AM2893" t="s">
        <v>129</v>
      </c>
      <c r="AN2893" t="s">
        <v>130</v>
      </c>
      <c r="AP2893" t="s">
        <v>41</v>
      </c>
      <c r="AT2893" t="s">
        <v>45</v>
      </c>
      <c r="AZ2893" t="s">
        <v>51</v>
      </c>
      <c r="BA2893" t="s">
        <v>52</v>
      </c>
      <c r="BL2893" t="s">
        <v>63</v>
      </c>
    </row>
    <row r="2894" spans="1:69" x14ac:dyDescent="0.2">
      <c r="A2894" t="s">
        <v>9786</v>
      </c>
      <c r="B2894" t="s">
        <v>10017</v>
      </c>
      <c r="C2894" t="s">
        <v>10018</v>
      </c>
      <c r="D2894" t="s">
        <v>204</v>
      </c>
      <c r="E2894" t="s">
        <v>10019</v>
      </c>
      <c r="F2894" t="s">
        <v>180</v>
      </c>
      <c r="G2894" t="str">
        <f>HYPERLINK("https://play.google.com/store/apps/details?id=ru.iflex.android.a3colortv&amp;reviewId=gp:AOqpTOHo8nzonXtg1oWguGUWlcMbtUZAHNTIzQrYSURHjCf1xR2jNqftfzNABuoH-2DZwWASZjEy_HPh3uYTgw")</f>
        <v>https://play.google.com/store/apps/details?id=ru.iflex.android.a3colortv&amp;reviewId=gp:AOqpTOHo8nzonXtg1oWguGUWlcMbtUZAHNTIzQrYSURHjCf1xR2jNqftfzNABuoH-2DZwWASZjEy_HPh3uYTgw</v>
      </c>
      <c r="H2894" t="s">
        <v>228</v>
      </c>
      <c r="I2894" t="s">
        <v>10020</v>
      </c>
      <c r="J2894" t="str">
        <f>HYPERLINK("https://plus.google.com/101858723889874626139")</f>
        <v>https://plus.google.com/101858723889874626139</v>
      </c>
      <c r="L2894" t="s">
        <v>151</v>
      </c>
      <c r="N2894" t="s">
        <v>207</v>
      </c>
      <c r="O2894" t="s">
        <v>204</v>
      </c>
      <c r="P2894" t="str">
        <f>HYPERLINK("https://play.google.com/store/apps/details?id=ru.iflex.android.a3colortv&amp;hl=ru")</f>
        <v>https://play.google.com/store/apps/details?id=ru.iflex.android.a3colortv&amp;hl=ru</v>
      </c>
      <c r="R2894" t="s">
        <v>184</v>
      </c>
      <c r="S2894" t="s">
        <v>125</v>
      </c>
      <c r="W2894">
        <v>0</v>
      </c>
      <c r="X2894">
        <v>0</v>
      </c>
      <c r="AH2894">
        <v>1</v>
      </c>
      <c r="AM2894" t="s">
        <v>129</v>
      </c>
      <c r="AN2894" t="s">
        <v>130</v>
      </c>
      <c r="AP2894" t="s">
        <v>41</v>
      </c>
      <c r="AZ2894" t="s">
        <v>51</v>
      </c>
      <c r="BA2894" t="s">
        <v>52</v>
      </c>
      <c r="BQ2894" t="s">
        <v>68</v>
      </c>
    </row>
    <row r="2895" spans="1:69" x14ac:dyDescent="0.2">
      <c r="A2895" t="s">
        <v>9786</v>
      </c>
      <c r="B2895" t="s">
        <v>7922</v>
      </c>
      <c r="C2895" t="s">
        <v>10021</v>
      </c>
      <c r="D2895" t="s">
        <v>3261</v>
      </c>
      <c r="E2895" t="s">
        <v>10022</v>
      </c>
      <c r="F2895" t="s">
        <v>180</v>
      </c>
      <c r="G2895" t="str">
        <f>HYPERLINK("https://www.wildberries.ru/catalog/5691258/detail.aspx?targetUrl=ES#Comments")</f>
        <v>https://www.wildberries.ru/catalog/5691258/detail.aspx?targetUrl=ES#Comments</v>
      </c>
      <c r="H2895" t="s">
        <v>119</v>
      </c>
      <c r="I2895" t="s">
        <v>2198</v>
      </c>
      <c r="J2895" t="str">
        <f>HYPERLINK("https://www.wildberries.ru/profile/w7TDssOkw7PCu8KzwrjCtcKzwrbCtMK1wrk=")</f>
        <v>https://www.wildberries.ru/profile/w7TDssOkw7PCu8KzwrjCtcKzwrbCtMK1wrk=</v>
      </c>
      <c r="L2895" t="s">
        <v>151</v>
      </c>
      <c r="N2895" t="s">
        <v>534</v>
      </c>
      <c r="O2895" t="s">
        <v>3261</v>
      </c>
      <c r="P2895" t="str">
        <f>HYPERLINK("https://www.wildberries.ru/catalog/4570035/detail.aspx")</f>
        <v>https://www.wildberries.ru/catalog/4570035/detail.aspx</v>
      </c>
      <c r="R2895" t="s">
        <v>184</v>
      </c>
      <c r="S2895" t="s">
        <v>125</v>
      </c>
      <c r="W2895">
        <v>0</v>
      </c>
      <c r="X2895">
        <v>0</v>
      </c>
      <c r="AH2895">
        <v>1</v>
      </c>
      <c r="AJ2895" t="s">
        <v>129</v>
      </c>
      <c r="AK2895" t="s">
        <v>129</v>
      </c>
      <c r="AL2895" t="str">
        <f>HYPERLINK("http://feedbackphotos.wbstatic.net/feedbacks/457/4570035/1c8540e9-3114-41d1-9c9c-d4aa3ccc3897_fs.jpg")</f>
        <v>http://feedbackphotos.wbstatic.net/feedbacks/457/4570035/1c8540e9-3114-41d1-9c9c-d4aa3ccc3897_fs.jpg</v>
      </c>
      <c r="AM2895" t="s">
        <v>129</v>
      </c>
      <c r="AN2895" t="s">
        <v>130</v>
      </c>
      <c r="AP2895" t="s">
        <v>41</v>
      </c>
      <c r="AZ2895" t="s">
        <v>51</v>
      </c>
      <c r="BA2895" t="s">
        <v>52</v>
      </c>
      <c r="BK2895" t="s">
        <v>62</v>
      </c>
      <c r="BL2895" t="s">
        <v>63</v>
      </c>
    </row>
    <row r="2896" spans="1:69" x14ac:dyDescent="0.2">
      <c r="A2896" t="s">
        <v>9786</v>
      </c>
      <c r="B2896" t="s">
        <v>10023</v>
      </c>
      <c r="C2896" t="s">
        <v>10024</v>
      </c>
      <c r="D2896" t="s">
        <v>10025</v>
      </c>
      <c r="E2896" t="s">
        <v>10026</v>
      </c>
      <c r="F2896" t="s">
        <v>118</v>
      </c>
      <c r="G2896" t="str">
        <f>HYPERLINK("https://vk.com/wall-59509435_190296?reply=190374")</f>
        <v>https://vk.com/wall-59509435_190296?reply=190374</v>
      </c>
      <c r="H2896" t="s">
        <v>119</v>
      </c>
      <c r="I2896" t="s">
        <v>10027</v>
      </c>
      <c r="J2896" t="str">
        <f>HYPERLINK("http://vk.com/id287334888")</f>
        <v>http://vk.com/id287334888</v>
      </c>
      <c r="K2896">
        <v>146</v>
      </c>
      <c r="L2896" t="s">
        <v>151</v>
      </c>
      <c r="N2896" t="s">
        <v>122</v>
      </c>
      <c r="O2896" t="s">
        <v>10028</v>
      </c>
      <c r="P2896" t="str">
        <f>HYPERLINK("http://vk.com/club59509435")</f>
        <v>http://vk.com/club59509435</v>
      </c>
      <c r="Q2896">
        <v>20457</v>
      </c>
      <c r="R2896" t="s">
        <v>124</v>
      </c>
      <c r="S2896" t="s">
        <v>125</v>
      </c>
      <c r="T2896" t="s">
        <v>601</v>
      </c>
      <c r="U2896" t="s">
        <v>2004</v>
      </c>
      <c r="AM2896" t="s">
        <v>129</v>
      </c>
      <c r="AN2896" t="s">
        <v>130</v>
      </c>
      <c r="AP2896" t="s">
        <v>41</v>
      </c>
      <c r="AY2896" t="s">
        <v>50</v>
      </c>
      <c r="AZ2896" t="s">
        <v>51</v>
      </c>
      <c r="BA2896" t="s">
        <v>52</v>
      </c>
      <c r="BE2896" t="s">
        <v>56</v>
      </c>
    </row>
    <row r="2897" spans="1:69" x14ac:dyDescent="0.2">
      <c r="A2897" t="s">
        <v>9786</v>
      </c>
      <c r="B2897" t="s">
        <v>10023</v>
      </c>
      <c r="C2897" t="s">
        <v>10024</v>
      </c>
      <c r="D2897" t="s">
        <v>10025</v>
      </c>
      <c r="E2897" t="s">
        <v>10026</v>
      </c>
      <c r="F2897" t="s">
        <v>118</v>
      </c>
      <c r="G2897" t="str">
        <f>HYPERLINK("https://vk.com/wall-59509435_190296?reply=190373")</f>
        <v>https://vk.com/wall-59509435_190296?reply=190373</v>
      </c>
      <c r="H2897" t="s">
        <v>119</v>
      </c>
      <c r="I2897" t="s">
        <v>10027</v>
      </c>
      <c r="J2897" t="str">
        <f>HYPERLINK("http://vk.com/id287334888")</f>
        <v>http://vk.com/id287334888</v>
      </c>
      <c r="K2897">
        <v>146</v>
      </c>
      <c r="L2897" t="s">
        <v>151</v>
      </c>
      <c r="N2897" t="s">
        <v>122</v>
      </c>
      <c r="O2897" t="s">
        <v>10028</v>
      </c>
      <c r="P2897" t="str">
        <f>HYPERLINK("http://vk.com/club59509435")</f>
        <v>http://vk.com/club59509435</v>
      </c>
      <c r="Q2897">
        <v>20457</v>
      </c>
      <c r="R2897" t="s">
        <v>124</v>
      </c>
      <c r="S2897" t="s">
        <v>125</v>
      </c>
      <c r="T2897" t="s">
        <v>601</v>
      </c>
      <c r="U2897" t="s">
        <v>2004</v>
      </c>
      <c r="AM2897" t="s">
        <v>129</v>
      </c>
      <c r="AN2897" t="s">
        <v>130</v>
      </c>
      <c r="AP2897" t="s">
        <v>41</v>
      </c>
      <c r="AY2897" t="s">
        <v>50</v>
      </c>
      <c r="AZ2897" t="s">
        <v>51</v>
      </c>
      <c r="BA2897" t="s">
        <v>52</v>
      </c>
      <c r="BE2897" t="s">
        <v>56</v>
      </c>
    </row>
    <row r="2898" spans="1:69" x14ac:dyDescent="0.2">
      <c r="A2898" t="s">
        <v>9786</v>
      </c>
      <c r="B2898" t="s">
        <v>10029</v>
      </c>
      <c r="C2898" t="s">
        <v>10030</v>
      </c>
      <c r="D2898" t="s">
        <v>3659</v>
      </c>
      <c r="E2898" t="s">
        <v>10031</v>
      </c>
      <c r="F2898" t="s">
        <v>118</v>
      </c>
      <c r="G2898" t="str">
        <f>HYPERLINK("https://vk.com/wall-22935147_368227?w=wall-22935147_368227_r368239")</f>
        <v>https://vk.com/wall-22935147_368227?w=wall-22935147_368227_r368239</v>
      </c>
      <c r="H2898" t="s">
        <v>119</v>
      </c>
      <c r="I2898" t="s">
        <v>1722</v>
      </c>
      <c r="J2898" t="str">
        <f>HYPERLINK("http://vk.com/id240644107")</f>
        <v>http://vk.com/id240644107</v>
      </c>
      <c r="K2898">
        <v>33</v>
      </c>
      <c r="L2898" t="s">
        <v>121</v>
      </c>
      <c r="N2898" t="s">
        <v>122</v>
      </c>
      <c r="O2898" t="s">
        <v>1093</v>
      </c>
      <c r="P2898" t="str">
        <f>HYPERLINK("http://vk.com/club22935147")</f>
        <v>http://vk.com/club22935147</v>
      </c>
      <c r="Q2898">
        <v>8943</v>
      </c>
      <c r="R2898" t="s">
        <v>124</v>
      </c>
      <c r="S2898" t="s">
        <v>125</v>
      </c>
      <c r="T2898" t="s">
        <v>169</v>
      </c>
      <c r="U2898" t="s">
        <v>169</v>
      </c>
      <c r="W2898">
        <v>0</v>
      </c>
      <c r="X2898">
        <v>0</v>
      </c>
      <c r="AM2898" t="s">
        <v>129</v>
      </c>
      <c r="AN2898" t="s">
        <v>130</v>
      </c>
      <c r="AP2898" t="s">
        <v>41</v>
      </c>
      <c r="AU2898" t="s">
        <v>46</v>
      </c>
      <c r="AZ2898" t="s">
        <v>51</v>
      </c>
      <c r="BA2898" t="s">
        <v>52</v>
      </c>
    </row>
    <row r="2899" spans="1:69" x14ac:dyDescent="0.2">
      <c r="A2899" t="s">
        <v>9786</v>
      </c>
      <c r="B2899" t="s">
        <v>4503</v>
      </c>
      <c r="C2899" t="s">
        <v>10032</v>
      </c>
      <c r="D2899" t="s">
        <v>10033</v>
      </c>
      <c r="E2899" t="s">
        <v>10034</v>
      </c>
      <c r="F2899" t="s">
        <v>118</v>
      </c>
      <c r="G2899" t="str">
        <f>HYPERLINK("https://vk.com/wall-61168211_398373?reply=398517")</f>
        <v>https://vk.com/wall-61168211_398373?reply=398517</v>
      </c>
      <c r="H2899" t="s">
        <v>119</v>
      </c>
      <c r="I2899" t="s">
        <v>10035</v>
      </c>
      <c r="J2899" t="str">
        <f>HYPERLINK("http://vk.com/id79902150")</f>
        <v>http://vk.com/id79902150</v>
      </c>
      <c r="K2899">
        <v>614</v>
      </c>
      <c r="L2899" t="s">
        <v>121</v>
      </c>
      <c r="N2899" t="s">
        <v>122</v>
      </c>
      <c r="O2899" t="s">
        <v>10036</v>
      </c>
      <c r="P2899" t="str">
        <f>HYPERLINK("http://vk.com/club61168211")</f>
        <v>http://vk.com/club61168211</v>
      </c>
      <c r="Q2899">
        <v>18159</v>
      </c>
      <c r="R2899" t="s">
        <v>124</v>
      </c>
      <c r="S2899" t="s">
        <v>125</v>
      </c>
      <c r="T2899" t="s">
        <v>364</v>
      </c>
      <c r="U2899" t="s">
        <v>10037</v>
      </c>
      <c r="AM2899" t="s">
        <v>129</v>
      </c>
      <c r="AN2899" t="s">
        <v>130</v>
      </c>
      <c r="AP2899" t="s">
        <v>41</v>
      </c>
      <c r="AW2899" t="s">
        <v>48</v>
      </c>
      <c r="AZ2899" t="s">
        <v>51</v>
      </c>
      <c r="BA2899" t="s">
        <v>52</v>
      </c>
    </row>
    <row r="2900" spans="1:69" x14ac:dyDescent="0.2">
      <c r="A2900" t="s">
        <v>9786</v>
      </c>
      <c r="B2900" t="s">
        <v>10038</v>
      </c>
      <c r="C2900" t="s">
        <v>10039</v>
      </c>
      <c r="D2900" t="s">
        <v>10040</v>
      </c>
      <c r="E2900" t="s">
        <v>10041</v>
      </c>
      <c r="F2900" t="s">
        <v>180</v>
      </c>
      <c r="G2900" t="str">
        <f>HYPERLINK("https://otvet.mail.ru/answer/1993494543")</f>
        <v>https://otvet.mail.ru/answer/1993494543</v>
      </c>
      <c r="H2900" t="s">
        <v>119</v>
      </c>
      <c r="I2900" t="s">
        <v>8732</v>
      </c>
      <c r="J2900" t="str">
        <f>HYPERLINK("http://otvet.mail.ru/profile/id95494984")</f>
        <v>http://otvet.mail.ru/profile/id95494984</v>
      </c>
      <c r="L2900" t="s">
        <v>121</v>
      </c>
      <c r="N2900" t="s">
        <v>690</v>
      </c>
      <c r="O2900" t="s">
        <v>7252</v>
      </c>
      <c r="P2900" t="str">
        <f>HYPERLINK("https://otvet.mail.ru/technics/")</f>
        <v>https://otvet.mail.ru/technics/</v>
      </c>
      <c r="R2900" t="s">
        <v>295</v>
      </c>
      <c r="S2900" t="s">
        <v>125</v>
      </c>
      <c r="AM2900" t="s">
        <v>129</v>
      </c>
      <c r="AN2900" t="s">
        <v>130</v>
      </c>
      <c r="AP2900" t="s">
        <v>41</v>
      </c>
      <c r="AW2900" t="s">
        <v>48</v>
      </c>
      <c r="AZ2900" t="s">
        <v>51</v>
      </c>
      <c r="BA2900" t="s">
        <v>52</v>
      </c>
    </row>
    <row r="2901" spans="1:69" x14ac:dyDescent="0.2">
      <c r="A2901" t="s">
        <v>9786</v>
      </c>
      <c r="B2901" t="s">
        <v>10042</v>
      </c>
      <c r="C2901" t="s">
        <v>10043</v>
      </c>
      <c r="D2901" t="s">
        <v>10044</v>
      </c>
      <c r="E2901" t="s">
        <v>10045</v>
      </c>
      <c r="F2901" t="s">
        <v>118</v>
      </c>
      <c r="G2901" t="str">
        <f>HYPERLINK("https://vk.com/wall-22935147_368172?reply=368237")</f>
        <v>https://vk.com/wall-22935147_368172?reply=368237</v>
      </c>
      <c r="H2901" t="s">
        <v>181</v>
      </c>
      <c r="I2901" t="s">
        <v>1580</v>
      </c>
      <c r="J2901" t="str">
        <f>HYPERLINK("http://vk.com/id412163002")</f>
        <v>http://vk.com/id412163002</v>
      </c>
      <c r="K2901">
        <v>38</v>
      </c>
      <c r="L2901" t="s">
        <v>121</v>
      </c>
      <c r="N2901" t="s">
        <v>122</v>
      </c>
      <c r="O2901" t="s">
        <v>1093</v>
      </c>
      <c r="P2901" t="str">
        <f>HYPERLINK("http://vk.com/club22935147")</f>
        <v>http://vk.com/club22935147</v>
      </c>
      <c r="Q2901">
        <v>8943</v>
      </c>
      <c r="R2901" t="s">
        <v>124</v>
      </c>
      <c r="S2901" t="s">
        <v>125</v>
      </c>
      <c r="T2901" t="s">
        <v>1466</v>
      </c>
      <c r="U2901" t="s">
        <v>1467</v>
      </c>
      <c r="AM2901" t="s">
        <v>129</v>
      </c>
      <c r="AN2901" t="s">
        <v>130</v>
      </c>
      <c r="AP2901" t="s">
        <v>41</v>
      </c>
      <c r="AZ2901" t="s">
        <v>51</v>
      </c>
      <c r="BA2901" t="s">
        <v>52</v>
      </c>
    </row>
    <row r="2902" spans="1:69" x14ac:dyDescent="0.2">
      <c r="A2902" t="s">
        <v>9786</v>
      </c>
      <c r="B2902" t="s">
        <v>1834</v>
      </c>
      <c r="C2902" t="s">
        <v>10046</v>
      </c>
      <c r="D2902" t="s">
        <v>9804</v>
      </c>
      <c r="E2902" t="s">
        <v>10047</v>
      </c>
      <c r="F2902" t="s">
        <v>118</v>
      </c>
      <c r="G2902" t="str">
        <f>HYPERLINK("https://vk.com/wall-22935147_368183?reply=368236")</f>
        <v>https://vk.com/wall-22935147_368183?reply=368236</v>
      </c>
      <c r="H2902" t="s">
        <v>119</v>
      </c>
      <c r="I2902" t="s">
        <v>10048</v>
      </c>
      <c r="J2902" t="str">
        <f>HYPERLINK("http://vk.com/id651541653")</f>
        <v>http://vk.com/id651541653</v>
      </c>
      <c r="K2902">
        <v>3</v>
      </c>
      <c r="L2902" t="s">
        <v>121</v>
      </c>
      <c r="M2902">
        <v>118</v>
      </c>
      <c r="N2902" t="s">
        <v>122</v>
      </c>
      <c r="O2902" t="s">
        <v>1093</v>
      </c>
      <c r="P2902" t="str">
        <f>HYPERLINK("http://vk.com/club22935147")</f>
        <v>http://vk.com/club22935147</v>
      </c>
      <c r="Q2902">
        <v>8943</v>
      </c>
      <c r="R2902" t="s">
        <v>124</v>
      </c>
      <c r="S2902" t="s">
        <v>125</v>
      </c>
      <c r="T2902" t="s">
        <v>169</v>
      </c>
      <c r="U2902" t="s">
        <v>169</v>
      </c>
      <c r="W2902">
        <v>0</v>
      </c>
      <c r="X2902">
        <v>0</v>
      </c>
      <c r="AM2902" t="s">
        <v>129</v>
      </c>
      <c r="AN2902" t="s">
        <v>130</v>
      </c>
      <c r="AP2902" t="s">
        <v>41</v>
      </c>
      <c r="AU2902" t="s">
        <v>46</v>
      </c>
      <c r="AZ2902" t="s">
        <v>51</v>
      </c>
      <c r="BA2902" t="s">
        <v>52</v>
      </c>
    </row>
    <row r="2903" spans="1:69" x14ac:dyDescent="0.2">
      <c r="A2903" t="s">
        <v>9786</v>
      </c>
      <c r="B2903" t="s">
        <v>10049</v>
      </c>
      <c r="C2903" t="s">
        <v>10050</v>
      </c>
      <c r="D2903" t="s">
        <v>10051</v>
      </c>
      <c r="E2903" t="s">
        <v>10052</v>
      </c>
      <c r="F2903" t="s">
        <v>118</v>
      </c>
      <c r="G2903" t="str">
        <f>HYPERLINK("https://www.facebook.com/story.php?story_fbid=1230513740718653&amp;id=100012801165786&amp;comment_id=1230943834008977")</f>
        <v>https://www.facebook.com/story.php?story_fbid=1230513740718653&amp;id=100012801165786&amp;comment_id=1230943834008977</v>
      </c>
      <c r="H2903" t="s">
        <v>119</v>
      </c>
      <c r="I2903" t="s">
        <v>10053</v>
      </c>
      <c r="J2903" t="str">
        <f>HYPERLINK("https://www.facebook.com/100028315574219")</f>
        <v>https://www.facebook.com/100028315574219</v>
      </c>
      <c r="K2903">
        <v>0</v>
      </c>
      <c r="L2903" t="s">
        <v>121</v>
      </c>
      <c r="N2903" t="s">
        <v>305</v>
      </c>
      <c r="O2903" t="s">
        <v>10054</v>
      </c>
      <c r="P2903" t="str">
        <f>HYPERLINK("https://www.facebook.com/100012801165786")</f>
        <v>https://www.facebook.com/100012801165786</v>
      </c>
      <c r="Q2903">
        <v>789</v>
      </c>
      <c r="R2903" t="s">
        <v>124</v>
      </c>
      <c r="S2903" t="s">
        <v>125</v>
      </c>
      <c r="T2903" t="s">
        <v>137</v>
      </c>
      <c r="U2903" t="s">
        <v>137</v>
      </c>
      <c r="W2903">
        <v>0</v>
      </c>
      <c r="X2903">
        <v>0</v>
      </c>
      <c r="AE2903">
        <v>0</v>
      </c>
      <c r="AM2903" t="s">
        <v>129</v>
      </c>
      <c r="AN2903" t="s">
        <v>130</v>
      </c>
      <c r="AP2903" t="s">
        <v>41</v>
      </c>
      <c r="AW2903" t="s">
        <v>48</v>
      </c>
      <c r="AZ2903" t="s">
        <v>51</v>
      </c>
      <c r="BD2903" t="s">
        <v>55</v>
      </c>
      <c r="BM2903" t="s">
        <v>64</v>
      </c>
    </row>
    <row r="2904" spans="1:69" x14ac:dyDescent="0.2">
      <c r="A2904" t="s">
        <v>9786</v>
      </c>
      <c r="B2904" t="s">
        <v>5422</v>
      </c>
      <c r="C2904" t="s">
        <v>10055</v>
      </c>
      <c r="D2904" t="s">
        <v>204</v>
      </c>
      <c r="E2904" t="s">
        <v>10056</v>
      </c>
      <c r="F2904" t="s">
        <v>180</v>
      </c>
      <c r="G2904" t="str">
        <f>HYPERLINK("https://play.google.com/store/apps/details?id=ru.iflex.android.a3colortv&amp;reviewId=gp:AOqpTOF4uAgnVrXkWwRVj7C156eM20yc-fnBSIZOZEJPuFZXAcSdrz83uXyqKaMgzBVxXpZiw47Lv95qXTQPSA")</f>
        <v>https://play.google.com/store/apps/details?id=ru.iflex.android.a3colortv&amp;reviewId=gp:AOqpTOF4uAgnVrXkWwRVj7C156eM20yc-fnBSIZOZEJPuFZXAcSdrz83uXyqKaMgzBVxXpZiw47Lv95qXTQPSA</v>
      </c>
      <c r="H2904" t="s">
        <v>181</v>
      </c>
      <c r="I2904" t="s">
        <v>10057</v>
      </c>
      <c r="J2904" t="str">
        <f>HYPERLINK("https://plus.google.com/103129281071724756742")</f>
        <v>https://plus.google.com/103129281071724756742</v>
      </c>
      <c r="K2904">
        <v>0</v>
      </c>
      <c r="L2904" t="s">
        <v>151</v>
      </c>
      <c r="N2904" t="s">
        <v>207</v>
      </c>
      <c r="O2904" t="s">
        <v>204</v>
      </c>
      <c r="P2904" t="str">
        <f>HYPERLINK("https://play.google.com/store/apps/details?id=ru.iflex.android.a3colortv&amp;hl=ru")</f>
        <v>https://play.google.com/store/apps/details?id=ru.iflex.android.a3colortv&amp;hl=ru</v>
      </c>
      <c r="R2904" t="s">
        <v>184</v>
      </c>
      <c r="S2904" t="s">
        <v>125</v>
      </c>
      <c r="W2904">
        <v>0</v>
      </c>
      <c r="X2904">
        <v>0</v>
      </c>
      <c r="AH2904">
        <v>5</v>
      </c>
      <c r="AM2904" t="s">
        <v>129</v>
      </c>
      <c r="AN2904" t="s">
        <v>130</v>
      </c>
      <c r="AP2904" t="s">
        <v>41</v>
      </c>
      <c r="AT2904" t="s">
        <v>45</v>
      </c>
      <c r="AZ2904" t="s">
        <v>51</v>
      </c>
      <c r="BA2904" t="s">
        <v>52</v>
      </c>
      <c r="BQ2904" t="s">
        <v>68</v>
      </c>
    </row>
    <row r="2905" spans="1:69" x14ac:dyDescent="0.2">
      <c r="A2905" t="s">
        <v>9786</v>
      </c>
      <c r="B2905" t="s">
        <v>735</v>
      </c>
      <c r="C2905" t="s">
        <v>10058</v>
      </c>
      <c r="D2905" t="s">
        <v>10059</v>
      </c>
      <c r="E2905" t="s">
        <v>10060</v>
      </c>
      <c r="F2905" t="s">
        <v>118</v>
      </c>
      <c r="G2905" t="str">
        <f>HYPERLINK("https://vk.com/wall-70010161_674172?reply=674762")</f>
        <v>https://vk.com/wall-70010161_674172?reply=674762</v>
      </c>
      <c r="H2905" t="s">
        <v>119</v>
      </c>
      <c r="I2905" t="s">
        <v>10061</v>
      </c>
      <c r="J2905" t="str">
        <f>HYPERLINK("http://vk.com/id87977136")</f>
        <v>http://vk.com/id87977136</v>
      </c>
      <c r="K2905">
        <v>169</v>
      </c>
      <c r="L2905" t="s">
        <v>121</v>
      </c>
      <c r="M2905">
        <v>41</v>
      </c>
      <c r="N2905" t="s">
        <v>122</v>
      </c>
      <c r="O2905" t="s">
        <v>10062</v>
      </c>
      <c r="P2905" t="str">
        <f>HYPERLINK("http://vk.com/club70010161")</f>
        <v>http://vk.com/club70010161</v>
      </c>
      <c r="Q2905">
        <v>19314</v>
      </c>
      <c r="R2905" t="s">
        <v>124</v>
      </c>
      <c r="S2905" t="s">
        <v>125</v>
      </c>
      <c r="T2905" t="s">
        <v>667</v>
      </c>
      <c r="U2905" t="s">
        <v>668</v>
      </c>
      <c r="AM2905" t="s">
        <v>129</v>
      </c>
      <c r="AN2905" t="s">
        <v>130</v>
      </c>
      <c r="AP2905" t="s">
        <v>41</v>
      </c>
      <c r="AT2905" t="s">
        <v>45</v>
      </c>
      <c r="AZ2905" t="s">
        <v>51</v>
      </c>
      <c r="BA2905" t="s">
        <v>52</v>
      </c>
    </row>
    <row r="2906" spans="1:69" x14ac:dyDescent="0.2">
      <c r="A2906" t="s">
        <v>9786</v>
      </c>
      <c r="B2906" t="s">
        <v>6250</v>
      </c>
      <c r="C2906" t="s">
        <v>10063</v>
      </c>
      <c r="D2906" t="s">
        <v>3261</v>
      </c>
      <c r="E2906" t="s">
        <v>10064</v>
      </c>
      <c r="F2906" t="s">
        <v>180</v>
      </c>
      <c r="G2906" t="str">
        <f>HYPERLINK("https://www.wildberries.ru/catalog/5691258/detail.aspx?targetUrl=ES#Comments")</f>
        <v>https://www.wildberries.ru/catalog/5691258/detail.aspx?targetUrl=ES#Comments</v>
      </c>
      <c r="H2906" t="s">
        <v>181</v>
      </c>
      <c r="I2906" t="s">
        <v>4389</v>
      </c>
      <c r="J2906" t="str">
        <f>HYPERLINK("https://www.wildberries.ru/profile/w7TDssOkw7PCu8KwwrHCuMK5wrfCtsK0wrc=")</f>
        <v>https://www.wildberries.ru/profile/w7TDssOkw7PCu8KwwrHCuMK5wrfCtsK0wrc=</v>
      </c>
      <c r="L2906" t="s">
        <v>151</v>
      </c>
      <c r="N2906" t="s">
        <v>534</v>
      </c>
      <c r="O2906" t="s">
        <v>3261</v>
      </c>
      <c r="P2906" t="str">
        <f>HYPERLINK("https://www.wildberries.ru/catalog/4570035/detail.aspx")</f>
        <v>https://www.wildberries.ru/catalog/4570035/detail.aspx</v>
      </c>
      <c r="R2906" t="s">
        <v>184</v>
      </c>
      <c r="S2906" t="s">
        <v>125</v>
      </c>
      <c r="W2906">
        <v>0</v>
      </c>
      <c r="X2906">
        <v>0</v>
      </c>
      <c r="AH2906">
        <v>5</v>
      </c>
      <c r="AM2906" t="s">
        <v>129</v>
      </c>
      <c r="AN2906" t="s">
        <v>130</v>
      </c>
      <c r="AP2906" t="s">
        <v>41</v>
      </c>
      <c r="AZ2906" t="s">
        <v>51</v>
      </c>
      <c r="BA2906" t="s">
        <v>52</v>
      </c>
      <c r="BK2906" t="s">
        <v>62</v>
      </c>
      <c r="BL2906" t="s">
        <v>63</v>
      </c>
    </row>
    <row r="2907" spans="1:69" x14ac:dyDescent="0.2">
      <c r="A2907" t="s">
        <v>9786</v>
      </c>
      <c r="B2907" t="s">
        <v>10065</v>
      </c>
      <c r="C2907" t="s">
        <v>10066</v>
      </c>
      <c r="D2907" t="s">
        <v>6224</v>
      </c>
      <c r="E2907" t="s">
        <v>10067</v>
      </c>
      <c r="F2907" t="s">
        <v>118</v>
      </c>
      <c r="G2907" t="str">
        <f>HYPERLINK("https://www.youtube.com/watch?v=cuBcZGF3Yzc&amp;lc=UgxNoW_WKssJqwgz0L94AaABAg.9PW9FccEC9g9PW9_ZNkjyW")</f>
        <v>https://www.youtube.com/watch?v=cuBcZGF3Yzc&amp;lc=UgxNoW_WKssJqwgz0L94AaABAg.9PW9FccEC9g9PW9_ZNkjyW</v>
      </c>
      <c r="H2907" t="s">
        <v>181</v>
      </c>
      <c r="I2907" t="s">
        <v>10068</v>
      </c>
      <c r="J2907" t="str">
        <f>HYPERLINK("https://www.youtube.com/channel/UC9oJiOVu8P-Hk5atrX-F7yg")</f>
        <v>https://www.youtube.com/channel/UC9oJiOVu8P-Hk5atrX-F7yg</v>
      </c>
      <c r="K2907">
        <v>2</v>
      </c>
      <c r="N2907" t="s">
        <v>248</v>
      </c>
      <c r="O2907" t="s">
        <v>6227</v>
      </c>
      <c r="P2907" t="str">
        <f>HYPERLINK("https://www.youtube.com/channel/UCRP4EhX1Op-jL7D87PB3qhQ")</f>
        <v>https://www.youtube.com/channel/UCRP4EhX1Op-jL7D87PB3qhQ</v>
      </c>
      <c r="Q2907">
        <v>2820000</v>
      </c>
      <c r="R2907" t="s">
        <v>124</v>
      </c>
      <c r="S2907" t="s">
        <v>125</v>
      </c>
      <c r="W2907">
        <v>0</v>
      </c>
      <c r="X2907">
        <v>0</v>
      </c>
      <c r="AM2907" t="s">
        <v>129</v>
      </c>
      <c r="AN2907" t="s">
        <v>130</v>
      </c>
      <c r="AP2907" t="s">
        <v>41</v>
      </c>
      <c r="AY2907" t="s">
        <v>50</v>
      </c>
      <c r="AZ2907" t="s">
        <v>51</v>
      </c>
      <c r="BB2907" t="s">
        <v>53</v>
      </c>
    </row>
    <row r="2908" spans="1:69" x14ac:dyDescent="0.2">
      <c r="A2908" t="s">
        <v>9786</v>
      </c>
      <c r="B2908" t="s">
        <v>8379</v>
      </c>
      <c r="C2908" t="s">
        <v>10069</v>
      </c>
      <c r="D2908" t="s">
        <v>9972</v>
      </c>
      <c r="E2908" t="s">
        <v>10070</v>
      </c>
      <c r="F2908" t="s">
        <v>118</v>
      </c>
      <c r="G2908" t="str">
        <f>HYPERLINK("https://vk.com/wall-30799607_836591?reply=836643&amp;thread=836640")</f>
        <v>https://vk.com/wall-30799607_836591?reply=836643&amp;thread=836640</v>
      </c>
      <c r="H2908" t="s">
        <v>119</v>
      </c>
      <c r="I2908" t="s">
        <v>10071</v>
      </c>
      <c r="J2908" t="str">
        <f>HYPERLINK("http://vk.com/id40338447")</f>
        <v>http://vk.com/id40338447</v>
      </c>
      <c r="K2908">
        <v>112</v>
      </c>
      <c r="L2908" t="s">
        <v>151</v>
      </c>
      <c r="N2908" t="s">
        <v>122</v>
      </c>
      <c r="O2908" t="s">
        <v>7890</v>
      </c>
      <c r="P2908" t="str">
        <f>HYPERLINK("http://vk.com/club30799607")</f>
        <v>http://vk.com/club30799607</v>
      </c>
      <c r="Q2908">
        <v>23347</v>
      </c>
      <c r="R2908" t="s">
        <v>124</v>
      </c>
      <c r="S2908" t="s">
        <v>125</v>
      </c>
      <c r="T2908" t="s">
        <v>570</v>
      </c>
      <c r="U2908" t="s">
        <v>7919</v>
      </c>
      <c r="AM2908" t="s">
        <v>129</v>
      </c>
      <c r="AN2908" t="s">
        <v>130</v>
      </c>
      <c r="AP2908" t="s">
        <v>41</v>
      </c>
      <c r="AZ2908" t="s">
        <v>51</v>
      </c>
      <c r="BA2908" t="s">
        <v>52</v>
      </c>
      <c r="BL2908" t="s">
        <v>63</v>
      </c>
    </row>
    <row r="2909" spans="1:69" x14ac:dyDescent="0.2">
      <c r="A2909" t="s">
        <v>9786</v>
      </c>
      <c r="B2909" t="s">
        <v>10072</v>
      </c>
      <c r="C2909" t="s">
        <v>10073</v>
      </c>
      <c r="D2909" t="s">
        <v>10074</v>
      </c>
      <c r="E2909" t="s">
        <v>10075</v>
      </c>
      <c r="F2909" t="s">
        <v>180</v>
      </c>
      <c r="G2909" t="str">
        <f>HYPERLINK("https://www.wildberries.ru/catalog/11733831/detail.aspx?targetUrl=ES#Comments")</f>
        <v>https://www.wildberries.ru/catalog/11733831/detail.aspx?targetUrl=ES#Comments</v>
      </c>
      <c r="H2909" t="s">
        <v>181</v>
      </c>
      <c r="I2909" t="s">
        <v>10076</v>
      </c>
      <c r="J2909" t="str">
        <f>HYPERLINK("https://www.wildberries.ru/profile/w7TDssOkw7PCu8KzwrjCuMK2wrTCucK5")</f>
        <v>https://www.wildberries.ru/profile/w7TDssOkw7PCu8KzwrjCuMK2wrTCucK5</v>
      </c>
      <c r="N2909" t="s">
        <v>534</v>
      </c>
      <c r="O2909" t="s">
        <v>10074</v>
      </c>
      <c r="P2909" t="str">
        <f>HYPERLINK("https://www.wildberries.ru/catalog/8811713/detail.aspx")</f>
        <v>https://www.wildberries.ru/catalog/8811713/detail.aspx</v>
      </c>
      <c r="R2909" t="s">
        <v>184</v>
      </c>
      <c r="S2909" t="s">
        <v>125</v>
      </c>
      <c r="W2909">
        <v>1</v>
      </c>
      <c r="X2909">
        <v>1</v>
      </c>
      <c r="AH2909">
        <v>5</v>
      </c>
      <c r="AJ2909" t="s">
        <v>10077</v>
      </c>
      <c r="AK2909" t="s">
        <v>10078</v>
      </c>
      <c r="AL2909" t="str">
        <f>HYPERLINK("http://feedbackphotos.wbstatic.net/feedbacks/881/8811713/9a3d31a1-ba05-4fde-a70a-e9ffbc87ab21_fs.jpg")</f>
        <v>http://feedbackphotos.wbstatic.net/feedbacks/881/8811713/9a3d31a1-ba05-4fde-a70a-e9ffbc87ab21_fs.jpg</v>
      </c>
      <c r="AM2909" t="s">
        <v>129</v>
      </c>
      <c r="AN2909" t="s">
        <v>130</v>
      </c>
      <c r="AP2909" t="s">
        <v>41</v>
      </c>
      <c r="AT2909" t="s">
        <v>45</v>
      </c>
      <c r="AZ2909" t="s">
        <v>51</v>
      </c>
      <c r="BA2909" t="s">
        <v>52</v>
      </c>
      <c r="BK2909" t="s">
        <v>62</v>
      </c>
      <c r="BL2909" t="s">
        <v>63</v>
      </c>
    </row>
    <row r="2910" spans="1:69" x14ac:dyDescent="0.2">
      <c r="A2910" t="s">
        <v>9786</v>
      </c>
      <c r="B2910" t="s">
        <v>2270</v>
      </c>
      <c r="C2910" t="s">
        <v>5598</v>
      </c>
      <c r="D2910" t="s">
        <v>3482</v>
      </c>
      <c r="E2910" t="s">
        <v>10079</v>
      </c>
      <c r="F2910" t="s">
        <v>180</v>
      </c>
      <c r="G2910" t="str">
        <f>HYPERLINK("https://www.ozon.ru/context/detail/id/172098253/#57965046")</f>
        <v>https://www.ozon.ru/context/detail/id/172098253/#57965046</v>
      </c>
      <c r="H2910" t="s">
        <v>181</v>
      </c>
      <c r="I2910" t="s">
        <v>10080</v>
      </c>
      <c r="J2910" t="str">
        <f>HYPERLINK("https://www.ozon.ru/context/client_opinion/ClientGuid/b2908cee-8ddc-4908-adc8-773b613bc045/")</f>
        <v>https://www.ozon.ru/context/client_opinion/ClientGuid/b2908cee-8ddc-4908-adc8-773b613bc045/</v>
      </c>
      <c r="L2910" t="s">
        <v>151</v>
      </c>
      <c r="N2910" t="s">
        <v>183</v>
      </c>
      <c r="O2910" t="s">
        <v>3482</v>
      </c>
      <c r="P2910" t="str">
        <f>HYPERLINK("https://www.ozon.ru/context/detail/id/172098253/")</f>
        <v>https://www.ozon.ru/context/detail/id/172098253/</v>
      </c>
      <c r="R2910" t="s">
        <v>184</v>
      </c>
      <c r="S2910" t="s">
        <v>125</v>
      </c>
      <c r="W2910">
        <v>0</v>
      </c>
      <c r="X2910">
        <v>0</v>
      </c>
      <c r="AH2910">
        <v>5</v>
      </c>
      <c r="AM2910" t="s">
        <v>129</v>
      </c>
      <c r="AN2910" t="s">
        <v>130</v>
      </c>
      <c r="AP2910" t="s">
        <v>41</v>
      </c>
      <c r="AZ2910" t="s">
        <v>51</v>
      </c>
      <c r="BA2910" t="s">
        <v>52</v>
      </c>
      <c r="BK2910" t="s">
        <v>62</v>
      </c>
      <c r="BL2910" t="s">
        <v>63</v>
      </c>
    </row>
    <row r="2911" spans="1:69" x14ac:dyDescent="0.2">
      <c r="A2911" t="s">
        <v>10081</v>
      </c>
      <c r="B2911" t="s">
        <v>10082</v>
      </c>
      <c r="C2911" t="s">
        <v>10083</v>
      </c>
      <c r="D2911" t="s">
        <v>4147</v>
      </c>
      <c r="E2911" t="s">
        <v>10084</v>
      </c>
      <c r="F2911" t="s">
        <v>180</v>
      </c>
      <c r="G2911" t="str">
        <f>HYPERLINK("https://www.wildberries.ru/catalog/15145842/detail.aspx?targetUrl=ES#Comments")</f>
        <v>https://www.wildberries.ru/catalog/15145842/detail.aspx?targetUrl=ES#Comments</v>
      </c>
      <c r="H2911" t="s">
        <v>181</v>
      </c>
      <c r="I2911" t="s">
        <v>5826</v>
      </c>
      <c r="J2911" t="str">
        <f>HYPERLINK("https://www.wildberries.ru/profile/w7TDssOkw7PCu8KwwrfCsMKxwrjCt8K3wrU=")</f>
        <v>https://www.wildberries.ru/profile/w7TDssOkw7PCu8KwwrfCsMKxwrjCt8K3wrU=</v>
      </c>
      <c r="L2911" t="s">
        <v>121</v>
      </c>
      <c r="N2911" t="s">
        <v>534</v>
      </c>
      <c r="O2911" t="s">
        <v>4147</v>
      </c>
      <c r="P2911" t="str">
        <f>HYPERLINK("https://www.wildberries.ru/catalog/11323741/detail.aspx")</f>
        <v>https://www.wildberries.ru/catalog/11323741/detail.aspx</v>
      </c>
      <c r="R2911" t="s">
        <v>184</v>
      </c>
      <c r="S2911" t="s">
        <v>125</v>
      </c>
      <c r="W2911">
        <v>0</v>
      </c>
      <c r="X2911">
        <v>0</v>
      </c>
      <c r="AH2911">
        <v>5</v>
      </c>
      <c r="AM2911" t="s">
        <v>129</v>
      </c>
      <c r="AN2911" t="s">
        <v>130</v>
      </c>
      <c r="AP2911" t="s">
        <v>41</v>
      </c>
      <c r="AT2911" t="s">
        <v>45</v>
      </c>
      <c r="AZ2911" t="s">
        <v>51</v>
      </c>
      <c r="BA2911" t="s">
        <v>52</v>
      </c>
      <c r="BL2911" t="s">
        <v>63</v>
      </c>
    </row>
    <row r="2912" spans="1:69" x14ac:dyDescent="0.2">
      <c r="A2912" t="s">
        <v>10081</v>
      </c>
      <c r="B2912" t="s">
        <v>6594</v>
      </c>
      <c r="C2912" t="s">
        <v>10085</v>
      </c>
      <c r="D2912" t="s">
        <v>1408</v>
      </c>
      <c r="E2912" t="s">
        <v>10086</v>
      </c>
      <c r="F2912" t="s">
        <v>180</v>
      </c>
      <c r="G2912" t="str">
        <f>HYPERLINK("https://apps.apple.com/ru/app/триколор-кино-и-тв-онлайн/id1412797916#7550701479")</f>
        <v>https://apps.apple.com/ru/app/триколор-кино-и-тв-онлайн/id1412797916#7550701479</v>
      </c>
      <c r="H2912" t="s">
        <v>228</v>
      </c>
      <c r="I2912" t="s">
        <v>10087</v>
      </c>
      <c r="J2912" t="str">
        <f>HYPERLINK("https://itunes.apple.com/reviews?userProfileId=264266498")</f>
        <v>https://itunes.apple.com/reviews?userProfileId=264266498</v>
      </c>
      <c r="N2912" t="s">
        <v>1411</v>
      </c>
      <c r="O2912" t="s">
        <v>1408</v>
      </c>
      <c r="P2912" t="str">
        <f>HYPERLINK("https://apps.apple.com/ru/app/триколор-кино-и-тв-онлайн/id1412797916")</f>
        <v>https://apps.apple.com/ru/app/триколор-кино-и-тв-онлайн/id1412797916</v>
      </c>
      <c r="R2912" t="s">
        <v>184</v>
      </c>
      <c r="S2912" t="s">
        <v>125</v>
      </c>
      <c r="AH2912">
        <v>1</v>
      </c>
      <c r="AM2912" t="s">
        <v>129</v>
      </c>
      <c r="AN2912" t="s">
        <v>130</v>
      </c>
      <c r="AP2912" t="s">
        <v>41</v>
      </c>
      <c r="AU2912" t="s">
        <v>46</v>
      </c>
      <c r="AW2912" t="s">
        <v>48</v>
      </c>
      <c r="AY2912" t="s">
        <v>50</v>
      </c>
      <c r="AZ2912" t="s">
        <v>51</v>
      </c>
      <c r="BA2912" t="s">
        <v>52</v>
      </c>
      <c r="BQ2912" t="s">
        <v>68</v>
      </c>
    </row>
    <row r="2913" spans="1:69" x14ac:dyDescent="0.2">
      <c r="A2913" t="s">
        <v>10081</v>
      </c>
      <c r="B2913" t="s">
        <v>10088</v>
      </c>
      <c r="C2913" t="s">
        <v>5598</v>
      </c>
      <c r="D2913" t="s">
        <v>178</v>
      </c>
      <c r="E2913" t="s">
        <v>10089</v>
      </c>
      <c r="F2913" t="s">
        <v>180</v>
      </c>
      <c r="G2913" t="str">
        <f>HYPERLINK("https://www.ozon.ru/context/detail/id/218294118/#57960343")</f>
        <v>https://www.ozon.ru/context/detail/id/218294118/#57960343</v>
      </c>
      <c r="H2913" t="s">
        <v>119</v>
      </c>
      <c r="I2913" t="s">
        <v>512</v>
      </c>
      <c r="J2913" t="str">
        <f>HYPERLINK("https://www.ozon.ru/context/client_opinion/ClientGuid//")</f>
        <v>https://www.ozon.ru/context/client_opinion/ClientGuid//</v>
      </c>
      <c r="N2913" t="s">
        <v>183</v>
      </c>
      <c r="O2913" t="s">
        <v>178</v>
      </c>
      <c r="P2913" t="str">
        <f>HYPERLINK("https://www.ozon.ru/context/detail/id/218294118/")</f>
        <v>https://www.ozon.ru/context/detail/id/218294118/</v>
      </c>
      <c r="R2913" t="s">
        <v>184</v>
      </c>
      <c r="S2913" t="s">
        <v>125</v>
      </c>
      <c r="W2913">
        <v>0</v>
      </c>
      <c r="X2913">
        <v>0</v>
      </c>
      <c r="AH2913">
        <v>4</v>
      </c>
      <c r="AM2913" t="s">
        <v>129</v>
      </c>
      <c r="AN2913" t="s">
        <v>130</v>
      </c>
      <c r="AP2913" t="s">
        <v>41</v>
      </c>
      <c r="AT2913" t="s">
        <v>45</v>
      </c>
      <c r="AZ2913" t="s">
        <v>51</v>
      </c>
      <c r="BA2913" t="s">
        <v>52</v>
      </c>
      <c r="BL2913" t="s">
        <v>63</v>
      </c>
    </row>
    <row r="2914" spans="1:69" x14ac:dyDescent="0.2">
      <c r="A2914" t="s">
        <v>10081</v>
      </c>
      <c r="B2914" t="s">
        <v>771</v>
      </c>
      <c r="C2914" t="s">
        <v>10090</v>
      </c>
      <c r="D2914" t="s">
        <v>9999</v>
      </c>
      <c r="E2914" t="s">
        <v>10091</v>
      </c>
      <c r="F2914" t="s">
        <v>118</v>
      </c>
      <c r="G2914" t="str">
        <f>HYPERLINK("https://www.facebook.com/groups/biwiki/permalink/3978508065581851/?comment_id=3978609882238336")</f>
        <v>https://www.facebook.com/groups/biwiki/permalink/3978508065581851/?comment_id=3978609882238336</v>
      </c>
      <c r="H2914" t="s">
        <v>119</v>
      </c>
      <c r="I2914" t="s">
        <v>10092</v>
      </c>
      <c r="J2914" t="str">
        <f>HYPERLINK("https://www.facebook.com/100007809000568")</f>
        <v>https://www.facebook.com/100007809000568</v>
      </c>
      <c r="K2914">
        <v>587</v>
      </c>
      <c r="L2914" t="s">
        <v>121</v>
      </c>
      <c r="N2914" t="s">
        <v>305</v>
      </c>
      <c r="O2914" t="s">
        <v>10002</v>
      </c>
      <c r="P2914" t="str">
        <f>HYPERLINK("https://www.facebook.com/305589802873714")</f>
        <v>https://www.facebook.com/305589802873714</v>
      </c>
      <c r="Q2914">
        <v>195038</v>
      </c>
      <c r="R2914" t="s">
        <v>124</v>
      </c>
      <c r="S2914" t="s">
        <v>125</v>
      </c>
      <c r="T2914" t="s">
        <v>1027</v>
      </c>
      <c r="U2914" t="s">
        <v>1028</v>
      </c>
      <c r="W2914">
        <v>2</v>
      </c>
      <c r="X2914">
        <v>2</v>
      </c>
      <c r="AE2914">
        <v>0</v>
      </c>
      <c r="AM2914" t="s">
        <v>129</v>
      </c>
      <c r="AN2914" t="s">
        <v>130</v>
      </c>
      <c r="AP2914" t="s">
        <v>41</v>
      </c>
      <c r="AU2914" t="s">
        <v>46</v>
      </c>
      <c r="AZ2914" t="s">
        <v>51</v>
      </c>
      <c r="BB2914" t="s">
        <v>53</v>
      </c>
      <c r="BM2914" t="s">
        <v>64</v>
      </c>
      <c r="BQ2914" t="s">
        <v>68</v>
      </c>
    </row>
    <row r="2915" spans="1:69" x14ac:dyDescent="0.2">
      <c r="A2915" t="s">
        <v>10081</v>
      </c>
      <c r="B2915" t="s">
        <v>773</v>
      </c>
      <c r="C2915" t="s">
        <v>10090</v>
      </c>
      <c r="D2915" t="s">
        <v>9999</v>
      </c>
      <c r="E2915" t="s">
        <v>10093</v>
      </c>
      <c r="F2915" t="s">
        <v>118</v>
      </c>
      <c r="G2915" t="str">
        <f>HYPERLINK("https://www.facebook.com/groups/biwiki/permalink/3978508065581851/?comment_id=3978603595572298")</f>
        <v>https://www.facebook.com/groups/biwiki/permalink/3978508065581851/?comment_id=3978603595572298</v>
      </c>
      <c r="H2915" t="s">
        <v>181</v>
      </c>
      <c r="I2915" t="s">
        <v>10094</v>
      </c>
      <c r="J2915" t="str">
        <f>HYPERLINK("https://www.facebook.com/100001075016254")</f>
        <v>https://www.facebook.com/100001075016254</v>
      </c>
      <c r="K2915">
        <v>170</v>
      </c>
      <c r="L2915" t="s">
        <v>121</v>
      </c>
      <c r="N2915" t="s">
        <v>305</v>
      </c>
      <c r="O2915" t="s">
        <v>10002</v>
      </c>
      <c r="P2915" t="str">
        <f>HYPERLINK("https://www.facebook.com/305589802873714")</f>
        <v>https://www.facebook.com/305589802873714</v>
      </c>
      <c r="Q2915">
        <v>195038</v>
      </c>
      <c r="R2915" t="s">
        <v>124</v>
      </c>
      <c r="S2915" t="s">
        <v>125</v>
      </c>
      <c r="T2915" t="s">
        <v>169</v>
      </c>
      <c r="U2915" t="s">
        <v>169</v>
      </c>
      <c r="W2915">
        <v>1</v>
      </c>
      <c r="X2915">
        <v>1</v>
      </c>
      <c r="AE2915">
        <v>0</v>
      </c>
      <c r="AM2915" t="s">
        <v>129</v>
      </c>
      <c r="AN2915" t="s">
        <v>130</v>
      </c>
      <c r="AP2915" t="s">
        <v>41</v>
      </c>
      <c r="AU2915" t="s">
        <v>46</v>
      </c>
      <c r="AW2915" t="s">
        <v>48</v>
      </c>
      <c r="AZ2915" t="s">
        <v>51</v>
      </c>
      <c r="BA2915" t="s">
        <v>52</v>
      </c>
    </row>
    <row r="2916" spans="1:69" x14ac:dyDescent="0.2">
      <c r="A2916" t="s">
        <v>10081</v>
      </c>
      <c r="B2916" t="s">
        <v>791</v>
      </c>
      <c r="C2916" t="s">
        <v>10095</v>
      </c>
      <c r="D2916" t="s">
        <v>10096</v>
      </c>
      <c r="E2916" t="s">
        <v>10097</v>
      </c>
      <c r="F2916" t="s">
        <v>118</v>
      </c>
      <c r="G2916" t="str">
        <f>HYPERLINK("https://vk.com/wall-158352267_423071?reply=423228&amp;thread=423073")</f>
        <v>https://vk.com/wall-158352267_423071?reply=423228&amp;thread=423073</v>
      </c>
      <c r="H2916" t="s">
        <v>181</v>
      </c>
      <c r="I2916" t="s">
        <v>10098</v>
      </c>
      <c r="J2916" t="str">
        <f>HYPERLINK("http://vk.com/id32527355")</f>
        <v>http://vk.com/id32527355</v>
      </c>
      <c r="K2916">
        <v>218</v>
      </c>
      <c r="L2916" t="s">
        <v>121</v>
      </c>
      <c r="N2916" t="s">
        <v>122</v>
      </c>
      <c r="O2916" t="s">
        <v>10099</v>
      </c>
      <c r="P2916" t="str">
        <f>HYPERLINK("http://vk.com/club158352267")</f>
        <v>http://vk.com/club158352267</v>
      </c>
      <c r="Q2916">
        <v>134914</v>
      </c>
      <c r="R2916" t="s">
        <v>124</v>
      </c>
      <c r="S2916" t="s">
        <v>125</v>
      </c>
      <c r="AM2916" t="s">
        <v>129</v>
      </c>
      <c r="AN2916" t="s">
        <v>130</v>
      </c>
      <c r="AP2916" t="s">
        <v>41</v>
      </c>
      <c r="AU2916" t="s">
        <v>46</v>
      </c>
      <c r="AY2916" t="s">
        <v>50</v>
      </c>
      <c r="AZ2916" t="s">
        <v>51</v>
      </c>
      <c r="BB2916" t="s">
        <v>53</v>
      </c>
    </row>
    <row r="2917" spans="1:69" x14ac:dyDescent="0.2">
      <c r="A2917" t="s">
        <v>10081</v>
      </c>
      <c r="B2917" t="s">
        <v>2317</v>
      </c>
      <c r="C2917" t="s">
        <v>10100</v>
      </c>
      <c r="D2917" t="s">
        <v>9703</v>
      </c>
      <c r="E2917" t="s">
        <v>10101</v>
      </c>
      <c r="F2917" t="s">
        <v>118</v>
      </c>
      <c r="G2917" t="str">
        <f>HYPERLINK("https://vk.com/wall-61101621_254569?reply=254570")</f>
        <v>https://vk.com/wall-61101621_254569?reply=254570</v>
      </c>
      <c r="H2917" t="s">
        <v>119</v>
      </c>
      <c r="I2917" t="s">
        <v>3106</v>
      </c>
      <c r="J2917" t="str">
        <f>HYPERLINK("http://vk.com/id3438593")</f>
        <v>http://vk.com/id3438593</v>
      </c>
      <c r="K2917">
        <v>49</v>
      </c>
      <c r="L2917" t="s">
        <v>121</v>
      </c>
      <c r="N2917" t="s">
        <v>122</v>
      </c>
      <c r="O2917" t="s">
        <v>160</v>
      </c>
      <c r="P2917" t="str">
        <f>HYPERLINK("http://vk.com/club61101621")</f>
        <v>http://vk.com/club61101621</v>
      </c>
      <c r="Q2917">
        <v>21119</v>
      </c>
      <c r="R2917" t="s">
        <v>124</v>
      </c>
      <c r="S2917" t="s">
        <v>125</v>
      </c>
      <c r="T2917" t="s">
        <v>169</v>
      </c>
      <c r="U2917" t="s">
        <v>169</v>
      </c>
      <c r="AM2917" t="s">
        <v>129</v>
      </c>
      <c r="AN2917" t="s">
        <v>130</v>
      </c>
      <c r="AP2917" t="s">
        <v>41</v>
      </c>
      <c r="AU2917" t="s">
        <v>46</v>
      </c>
      <c r="AZ2917" t="s">
        <v>51</v>
      </c>
      <c r="BA2917" t="s">
        <v>52</v>
      </c>
    </row>
    <row r="2918" spans="1:69" x14ac:dyDescent="0.2">
      <c r="A2918" t="s">
        <v>10081</v>
      </c>
      <c r="B2918" t="s">
        <v>1313</v>
      </c>
      <c r="C2918" t="s">
        <v>10102</v>
      </c>
      <c r="D2918" t="s">
        <v>10103</v>
      </c>
      <c r="E2918" t="s">
        <v>10104</v>
      </c>
      <c r="F2918" t="s">
        <v>118</v>
      </c>
      <c r="G2918" t="str">
        <f>HYPERLINK("https://vk.com/wall-26552474_16440?reply=16450")</f>
        <v>https://vk.com/wall-26552474_16440?reply=16450</v>
      </c>
      <c r="H2918" t="s">
        <v>119</v>
      </c>
      <c r="I2918" t="s">
        <v>10105</v>
      </c>
      <c r="J2918" t="str">
        <f>HYPERLINK("http://vk.com/id558590675")</f>
        <v>http://vk.com/id558590675</v>
      </c>
      <c r="K2918">
        <v>185</v>
      </c>
      <c r="L2918" t="s">
        <v>121</v>
      </c>
      <c r="M2918">
        <v>31</v>
      </c>
      <c r="N2918" t="s">
        <v>122</v>
      </c>
      <c r="O2918" t="s">
        <v>10106</v>
      </c>
      <c r="P2918" t="str">
        <f>HYPERLINK("http://vk.com/club26552474")</f>
        <v>http://vk.com/club26552474</v>
      </c>
      <c r="Q2918">
        <v>12746</v>
      </c>
      <c r="R2918" t="s">
        <v>124</v>
      </c>
      <c r="S2918" t="s">
        <v>125</v>
      </c>
      <c r="T2918" t="s">
        <v>3158</v>
      </c>
      <c r="U2918" t="s">
        <v>5376</v>
      </c>
      <c r="AM2918" t="s">
        <v>129</v>
      </c>
      <c r="AN2918" t="s">
        <v>130</v>
      </c>
      <c r="AP2918" t="s">
        <v>41</v>
      </c>
      <c r="AU2918" t="s">
        <v>46</v>
      </c>
      <c r="AZ2918" t="s">
        <v>51</v>
      </c>
      <c r="BA2918" t="s">
        <v>52</v>
      </c>
    </row>
    <row r="2919" spans="1:69" x14ac:dyDescent="0.2">
      <c r="A2919" t="s">
        <v>10081</v>
      </c>
      <c r="B2919" t="s">
        <v>1313</v>
      </c>
      <c r="C2919" t="s">
        <v>10107</v>
      </c>
      <c r="D2919" t="s">
        <v>8502</v>
      </c>
      <c r="E2919" t="s">
        <v>10108</v>
      </c>
      <c r="F2919" t="s">
        <v>118</v>
      </c>
      <c r="G2919" t="str">
        <f>HYPERLINK("https://ok.ru/group/53318809747546/topic/153423195103322#MTYyNTY4NDAzNDg1MzotMTQ5NTk6MTYyNTY4NDAzNDg1MzoxNTM0MjMxOTUxMDMzMjI6MQ==")</f>
        <v>https://ok.ru/group/53318809747546/topic/153423195103322#MTYyNTY4NDAzNDg1MzotMTQ5NTk6MTYyNTY4NDAzNDg1MzoxNTM0MjMxOTUxMDMzMjI6MQ==</v>
      </c>
      <c r="H2919" t="s">
        <v>119</v>
      </c>
      <c r="I2919" t="s">
        <v>9860</v>
      </c>
      <c r="J2919" t="str">
        <f>HYPERLINK("https://ok.ru/profile/531030352832")</f>
        <v>https://ok.ru/profile/531030352832</v>
      </c>
      <c r="K2919">
        <v>10</v>
      </c>
      <c r="L2919" t="s">
        <v>121</v>
      </c>
      <c r="N2919" t="s">
        <v>347</v>
      </c>
      <c r="O2919" t="s">
        <v>8505</v>
      </c>
      <c r="P2919" t="str">
        <f>HYPERLINK("https://ok.ru/group/53318809747546")</f>
        <v>https://ok.ru/group/53318809747546</v>
      </c>
      <c r="Q2919">
        <v>16788</v>
      </c>
      <c r="R2919" t="s">
        <v>124</v>
      </c>
      <c r="S2919" t="s">
        <v>125</v>
      </c>
      <c r="T2919" t="s">
        <v>523</v>
      </c>
      <c r="U2919" t="s">
        <v>3874</v>
      </c>
      <c r="W2919">
        <v>0</v>
      </c>
      <c r="X2919">
        <v>0</v>
      </c>
      <c r="AM2919" t="s">
        <v>129</v>
      </c>
      <c r="AN2919" t="s">
        <v>130</v>
      </c>
      <c r="AP2919" t="s">
        <v>41</v>
      </c>
      <c r="AT2919" t="s">
        <v>45</v>
      </c>
      <c r="AZ2919" t="s">
        <v>51</v>
      </c>
      <c r="BA2919" t="s">
        <v>52</v>
      </c>
      <c r="BL2919" t="s">
        <v>63</v>
      </c>
    </row>
    <row r="2920" spans="1:69" x14ac:dyDescent="0.2">
      <c r="A2920" t="s">
        <v>10081</v>
      </c>
      <c r="B2920" t="s">
        <v>5480</v>
      </c>
      <c r="C2920" t="s">
        <v>10109</v>
      </c>
      <c r="D2920" t="s">
        <v>6224</v>
      </c>
      <c r="E2920" t="s">
        <v>10110</v>
      </c>
      <c r="F2920" t="s">
        <v>118</v>
      </c>
      <c r="G2920" t="str">
        <f>HYPERLINK("https://www.youtube.com/watch?v=cuBcZGF3Yzc&amp;lc=Ugwxw9islfV2WLii32h4AaABAg")</f>
        <v>https://www.youtube.com/watch?v=cuBcZGF3Yzc&amp;lc=Ugwxw9islfV2WLii32h4AaABAg</v>
      </c>
      <c r="H2920" t="s">
        <v>119</v>
      </c>
      <c r="I2920" t="s">
        <v>10111</v>
      </c>
      <c r="J2920" t="str">
        <f>HYPERLINK("https://www.youtube.com/channel/UCvyg9oZofxiNegj6b-5teqA")</f>
        <v>https://www.youtube.com/channel/UCvyg9oZofxiNegj6b-5teqA</v>
      </c>
      <c r="K2920">
        <v>0</v>
      </c>
      <c r="L2920" t="s">
        <v>121</v>
      </c>
      <c r="N2920" t="s">
        <v>248</v>
      </c>
      <c r="O2920" t="s">
        <v>6227</v>
      </c>
      <c r="P2920" t="str">
        <f>HYPERLINK("https://www.youtube.com/channel/UCRP4EhX1Op-jL7D87PB3qhQ")</f>
        <v>https://www.youtube.com/channel/UCRP4EhX1Op-jL7D87PB3qhQ</v>
      </c>
      <c r="Q2920">
        <v>2820000</v>
      </c>
      <c r="R2920" t="s">
        <v>124</v>
      </c>
      <c r="S2920" t="s">
        <v>125</v>
      </c>
      <c r="W2920">
        <v>0</v>
      </c>
      <c r="X2920">
        <v>0</v>
      </c>
      <c r="AE2920">
        <v>0</v>
      </c>
      <c r="AM2920" t="s">
        <v>129</v>
      </c>
      <c r="AN2920" t="s">
        <v>130</v>
      </c>
      <c r="AP2920" t="s">
        <v>41</v>
      </c>
      <c r="AZ2920" t="s">
        <v>51</v>
      </c>
      <c r="BB2920" t="s">
        <v>53</v>
      </c>
    </row>
    <row r="2921" spans="1:69" x14ac:dyDescent="0.2">
      <c r="A2921" t="s">
        <v>10081</v>
      </c>
      <c r="B2921" t="s">
        <v>5480</v>
      </c>
      <c r="C2921" t="s">
        <v>10112</v>
      </c>
      <c r="D2921" t="s">
        <v>9979</v>
      </c>
      <c r="E2921" t="s">
        <v>10113</v>
      </c>
      <c r="F2921" t="s">
        <v>118</v>
      </c>
      <c r="G2921" t="str">
        <f>HYPERLINK("https://vk.com/wall-14098618_8635?reply=8644")</f>
        <v>https://vk.com/wall-14098618_8635?reply=8644</v>
      </c>
      <c r="H2921" t="s">
        <v>119</v>
      </c>
      <c r="I2921" t="s">
        <v>10114</v>
      </c>
      <c r="J2921" t="str">
        <f>HYPERLINK("http://vk.com/id625477625")</f>
        <v>http://vk.com/id625477625</v>
      </c>
      <c r="K2921">
        <v>1</v>
      </c>
      <c r="L2921" t="s">
        <v>121</v>
      </c>
      <c r="M2921">
        <v>40</v>
      </c>
      <c r="N2921" t="s">
        <v>122</v>
      </c>
      <c r="O2921" t="s">
        <v>1663</v>
      </c>
      <c r="P2921" t="str">
        <f>HYPERLINK("http://vk.com/club14098618")</f>
        <v>http://vk.com/club14098618</v>
      </c>
      <c r="Q2921">
        <v>4681</v>
      </c>
      <c r="R2921" t="s">
        <v>124</v>
      </c>
      <c r="W2921">
        <v>0</v>
      </c>
      <c r="X2921">
        <v>0</v>
      </c>
      <c r="AM2921" t="s">
        <v>129</v>
      </c>
      <c r="AN2921" t="s">
        <v>130</v>
      </c>
      <c r="AP2921" t="s">
        <v>41</v>
      </c>
      <c r="AU2921" t="s">
        <v>46</v>
      </c>
      <c r="AZ2921" t="s">
        <v>51</v>
      </c>
      <c r="BA2921" t="s">
        <v>52</v>
      </c>
    </row>
    <row r="2922" spans="1:69" x14ac:dyDescent="0.2">
      <c r="A2922" t="s">
        <v>10081</v>
      </c>
      <c r="B2922" t="s">
        <v>185</v>
      </c>
      <c r="C2922" t="s">
        <v>9633</v>
      </c>
      <c r="D2922" t="s">
        <v>3848</v>
      </c>
      <c r="E2922" t="s">
        <v>10115</v>
      </c>
      <c r="F2922" t="s">
        <v>180</v>
      </c>
      <c r="G2922" t="str">
        <f>HYPERLINK("https://www.wildberries.ru/catalog/14118787/detail.aspx?targetUrl=ES#Comments")</f>
        <v>https://www.wildberries.ru/catalog/14118787/detail.aspx?targetUrl=ES#Comments</v>
      </c>
      <c r="H2922" t="s">
        <v>181</v>
      </c>
      <c r="I2922" t="s">
        <v>10116</v>
      </c>
      <c r="J2922" t="str">
        <f>HYPERLINK("https://www.wildberries.ru/profile/w7TDssOkw7PCu8KzwrTCuMK1wrbCssKxwrA=")</f>
        <v>https://www.wildberries.ru/profile/w7TDssOkw7PCu8KzwrTCuMK1wrbCssKxwrA=</v>
      </c>
      <c r="L2922" t="s">
        <v>151</v>
      </c>
      <c r="N2922" t="s">
        <v>534</v>
      </c>
      <c r="O2922" t="s">
        <v>3848</v>
      </c>
      <c r="P2922" t="str">
        <f>HYPERLINK("https://www.wildberries.ru/catalog/10561443/detail.aspx")</f>
        <v>https://www.wildberries.ru/catalog/10561443/detail.aspx</v>
      </c>
      <c r="R2922" t="s">
        <v>184</v>
      </c>
      <c r="S2922" t="s">
        <v>125</v>
      </c>
      <c r="W2922">
        <v>0</v>
      </c>
      <c r="X2922">
        <v>0</v>
      </c>
      <c r="AH2922">
        <v>5</v>
      </c>
      <c r="AM2922" t="s">
        <v>129</v>
      </c>
      <c r="AN2922" t="s">
        <v>130</v>
      </c>
      <c r="AP2922" t="s">
        <v>41</v>
      </c>
      <c r="AZ2922" t="s">
        <v>51</v>
      </c>
      <c r="BA2922" t="s">
        <v>52</v>
      </c>
    </row>
    <row r="2923" spans="1:69" x14ac:dyDescent="0.2">
      <c r="A2923" t="s">
        <v>10081</v>
      </c>
      <c r="B2923" t="s">
        <v>8822</v>
      </c>
      <c r="C2923" t="s">
        <v>10107</v>
      </c>
      <c r="D2923" t="s">
        <v>8502</v>
      </c>
      <c r="E2923" t="s">
        <v>10117</v>
      </c>
      <c r="F2923" t="s">
        <v>118</v>
      </c>
      <c r="G2923" t="str">
        <f>HYPERLINK("https://ok.ru/group/53318809747546/topic/153423195103322#MTYyNTY4MzE0MTcxNjotOTA4NzoxNjI1NjgzMTQxNzE2OjE1MzQyMzE5NTEwMzMyMjox")</f>
        <v>https://ok.ru/group/53318809747546/topic/153423195103322#MTYyNTY4MzE0MTcxNjotOTA4NzoxNjI1NjgzMTQxNzE2OjE1MzQyMzE5NTEwMzMyMjox</v>
      </c>
      <c r="H2923" t="s">
        <v>119</v>
      </c>
      <c r="I2923" t="s">
        <v>9860</v>
      </c>
      <c r="J2923" t="str">
        <f>HYPERLINK("https://ok.ru/profile/531030352832")</f>
        <v>https://ok.ru/profile/531030352832</v>
      </c>
      <c r="K2923">
        <v>10</v>
      </c>
      <c r="L2923" t="s">
        <v>121</v>
      </c>
      <c r="N2923" t="s">
        <v>347</v>
      </c>
      <c r="O2923" t="s">
        <v>8505</v>
      </c>
      <c r="P2923" t="str">
        <f>HYPERLINK("https://ok.ru/group/53318809747546")</f>
        <v>https://ok.ru/group/53318809747546</v>
      </c>
      <c r="Q2923">
        <v>16788</v>
      </c>
      <c r="R2923" t="s">
        <v>124</v>
      </c>
      <c r="S2923" t="s">
        <v>125</v>
      </c>
      <c r="T2923" t="s">
        <v>523</v>
      </c>
      <c r="U2923" t="s">
        <v>3874</v>
      </c>
      <c r="W2923">
        <v>0</v>
      </c>
      <c r="X2923">
        <v>0</v>
      </c>
      <c r="AM2923" t="s">
        <v>129</v>
      </c>
      <c r="AN2923" t="s">
        <v>130</v>
      </c>
      <c r="AP2923" t="s">
        <v>41</v>
      </c>
      <c r="AT2923" t="s">
        <v>45</v>
      </c>
      <c r="AZ2923" t="s">
        <v>51</v>
      </c>
      <c r="BA2923" t="s">
        <v>52</v>
      </c>
      <c r="BL2923" t="s">
        <v>63</v>
      </c>
    </row>
    <row r="2924" spans="1:69" x14ac:dyDescent="0.2">
      <c r="A2924" t="s">
        <v>10081</v>
      </c>
      <c r="B2924" t="s">
        <v>200</v>
      </c>
      <c r="C2924" t="s">
        <v>10107</v>
      </c>
      <c r="D2924" t="s">
        <v>8502</v>
      </c>
      <c r="E2924" t="s">
        <v>10118</v>
      </c>
      <c r="F2924" t="s">
        <v>118</v>
      </c>
      <c r="G2924" t="str">
        <f>HYPERLINK("https://ok.ru/group/53318809747546/topic/153423195103322#MTYyNTY4MzEwNDk3NzotOTM0MToxNjI1NjgzMTA0OTc3OjE1MzQyMzE5NTEwMzMyMjox")</f>
        <v>https://ok.ru/group/53318809747546/topic/153423195103322#MTYyNTY4MzEwNDk3NzotOTM0MToxNjI1NjgzMTA0OTc3OjE1MzQyMzE5NTEwMzMyMjox</v>
      </c>
      <c r="H2924" t="s">
        <v>119</v>
      </c>
      <c r="I2924" t="s">
        <v>10119</v>
      </c>
      <c r="J2924" t="str">
        <f>HYPERLINK("https://ok.ru/profile/575716412560")</f>
        <v>https://ok.ru/profile/575716412560</v>
      </c>
      <c r="K2924">
        <v>57</v>
      </c>
      <c r="L2924" t="s">
        <v>121</v>
      </c>
      <c r="N2924" t="s">
        <v>347</v>
      </c>
      <c r="O2924" t="s">
        <v>8505</v>
      </c>
      <c r="P2924" t="str">
        <f>HYPERLINK("https://ok.ru/group/53318809747546")</f>
        <v>https://ok.ru/group/53318809747546</v>
      </c>
      <c r="Q2924">
        <v>16788</v>
      </c>
      <c r="R2924" t="s">
        <v>124</v>
      </c>
      <c r="S2924" t="s">
        <v>125</v>
      </c>
      <c r="T2924" t="s">
        <v>5115</v>
      </c>
      <c r="U2924" t="s">
        <v>5116</v>
      </c>
      <c r="W2924">
        <v>0</v>
      </c>
      <c r="X2924">
        <v>0</v>
      </c>
      <c r="AM2924" t="s">
        <v>129</v>
      </c>
      <c r="AN2924" t="s">
        <v>130</v>
      </c>
      <c r="AP2924" t="s">
        <v>41</v>
      </c>
      <c r="AT2924" t="s">
        <v>45</v>
      </c>
      <c r="AZ2924" t="s">
        <v>51</v>
      </c>
      <c r="BA2924" t="s">
        <v>52</v>
      </c>
      <c r="BL2924" t="s">
        <v>63</v>
      </c>
    </row>
    <row r="2925" spans="1:69" x14ac:dyDescent="0.2">
      <c r="A2925" t="s">
        <v>10081</v>
      </c>
      <c r="B2925" t="s">
        <v>1324</v>
      </c>
      <c r="C2925" t="s">
        <v>10063</v>
      </c>
      <c r="D2925" t="s">
        <v>3261</v>
      </c>
      <c r="E2925" t="s">
        <v>10120</v>
      </c>
      <c r="F2925" t="s">
        <v>180</v>
      </c>
      <c r="G2925" t="str">
        <f>HYPERLINK("https://www.wildberries.ru/catalog/5691258/detail.aspx?targetUrl=ES#Comments")</f>
        <v>https://www.wildberries.ru/catalog/5691258/detail.aspx?targetUrl=ES#Comments</v>
      </c>
      <c r="H2925" t="s">
        <v>181</v>
      </c>
      <c r="I2925" t="s">
        <v>2198</v>
      </c>
      <c r="J2925" t="str">
        <f>HYPERLINK("https://www.wildberries.ru/profile/w7TDssOkw7PCu8KwwrfCuMKxwrXCuMK4wrU=")</f>
        <v>https://www.wildberries.ru/profile/w7TDssOkw7PCu8KwwrfCuMKxwrXCuMK4wrU=</v>
      </c>
      <c r="L2925" t="s">
        <v>151</v>
      </c>
      <c r="N2925" t="s">
        <v>534</v>
      </c>
      <c r="O2925" t="s">
        <v>3261</v>
      </c>
      <c r="P2925" t="str">
        <f>HYPERLINK("https://www.wildberries.ru/catalog/4570035/detail.aspx")</f>
        <v>https://www.wildberries.ru/catalog/4570035/detail.aspx</v>
      </c>
      <c r="R2925" t="s">
        <v>184</v>
      </c>
      <c r="S2925" t="s">
        <v>125</v>
      </c>
      <c r="W2925">
        <v>0</v>
      </c>
      <c r="X2925">
        <v>0</v>
      </c>
      <c r="AH2925">
        <v>5</v>
      </c>
      <c r="AM2925" t="s">
        <v>129</v>
      </c>
      <c r="AN2925" t="s">
        <v>130</v>
      </c>
      <c r="AP2925" t="s">
        <v>41</v>
      </c>
      <c r="AZ2925" t="s">
        <v>51</v>
      </c>
      <c r="BA2925" t="s">
        <v>52</v>
      </c>
      <c r="BK2925" t="s">
        <v>62</v>
      </c>
      <c r="BL2925" t="s">
        <v>63</v>
      </c>
    </row>
    <row r="2926" spans="1:69" x14ac:dyDescent="0.2">
      <c r="A2926" t="s">
        <v>10081</v>
      </c>
      <c r="B2926" t="s">
        <v>4141</v>
      </c>
      <c r="C2926" t="s">
        <v>10121</v>
      </c>
      <c r="D2926" t="s">
        <v>3046</v>
      </c>
      <c r="E2926" t="s">
        <v>10122</v>
      </c>
      <c r="F2926" t="s">
        <v>118</v>
      </c>
      <c r="G2926" t="str">
        <f>HYPERLINK("https://vk.com/wall-61101621_254540?w=wall-61101621_254540_r254566")</f>
        <v>https://vk.com/wall-61101621_254540?w=wall-61101621_254540_r254566</v>
      </c>
      <c r="H2926" t="s">
        <v>119</v>
      </c>
      <c r="I2926" t="s">
        <v>3070</v>
      </c>
      <c r="J2926" t="str">
        <f>HYPERLINK("http://vk.com/id50172316")</f>
        <v>http://vk.com/id50172316</v>
      </c>
      <c r="K2926">
        <v>90</v>
      </c>
      <c r="M2926">
        <v>37</v>
      </c>
      <c r="N2926" t="s">
        <v>122</v>
      </c>
      <c r="O2926" t="s">
        <v>160</v>
      </c>
      <c r="P2926" t="str">
        <f>HYPERLINK("http://vk.com/club61101621")</f>
        <v>http://vk.com/club61101621</v>
      </c>
      <c r="Q2926">
        <v>21119</v>
      </c>
      <c r="R2926" t="s">
        <v>124</v>
      </c>
      <c r="S2926" t="s">
        <v>125</v>
      </c>
      <c r="T2926" t="s">
        <v>989</v>
      </c>
      <c r="U2926" t="s">
        <v>3071</v>
      </c>
      <c r="W2926">
        <v>0</v>
      </c>
      <c r="X2926">
        <v>0</v>
      </c>
      <c r="AM2926" t="s">
        <v>129</v>
      </c>
      <c r="AN2926" t="s">
        <v>130</v>
      </c>
      <c r="AP2926" t="s">
        <v>41</v>
      </c>
      <c r="AU2926" t="s">
        <v>46</v>
      </c>
      <c r="AZ2926" t="s">
        <v>51</v>
      </c>
      <c r="BA2926" t="s">
        <v>52</v>
      </c>
    </row>
    <row r="2927" spans="1:69" x14ac:dyDescent="0.2">
      <c r="A2927" t="s">
        <v>10081</v>
      </c>
      <c r="B2927" t="s">
        <v>1930</v>
      </c>
      <c r="C2927" t="s">
        <v>10039</v>
      </c>
      <c r="D2927" t="s">
        <v>10040</v>
      </c>
      <c r="E2927" t="s">
        <v>10123</v>
      </c>
      <c r="F2927" t="s">
        <v>180</v>
      </c>
      <c r="G2927" t="str">
        <f>HYPERLINK("https://otvet.mail.ru/answer/1993488058")</f>
        <v>https://otvet.mail.ru/answer/1993488058</v>
      </c>
      <c r="H2927" t="s">
        <v>119</v>
      </c>
      <c r="I2927" t="s">
        <v>10124</v>
      </c>
      <c r="J2927" t="str">
        <f>HYPERLINK("http://otvet.mail.ru/profile/id13901338")</f>
        <v>http://otvet.mail.ru/profile/id13901338</v>
      </c>
      <c r="N2927" t="s">
        <v>690</v>
      </c>
      <c r="O2927" t="s">
        <v>7252</v>
      </c>
      <c r="P2927" t="str">
        <f>HYPERLINK("https://otvet.mail.ru/technics/")</f>
        <v>https://otvet.mail.ru/technics/</v>
      </c>
      <c r="R2927" t="s">
        <v>295</v>
      </c>
      <c r="S2927" t="s">
        <v>125</v>
      </c>
      <c r="AM2927" t="s">
        <v>129</v>
      </c>
      <c r="AN2927" t="s">
        <v>130</v>
      </c>
      <c r="AP2927" t="s">
        <v>41</v>
      </c>
      <c r="AU2927" t="s">
        <v>46</v>
      </c>
      <c r="AZ2927" t="s">
        <v>51</v>
      </c>
      <c r="BA2927" t="s">
        <v>52</v>
      </c>
    </row>
    <row r="2928" spans="1:69" x14ac:dyDescent="0.2">
      <c r="A2928" t="s">
        <v>10081</v>
      </c>
      <c r="B2928" t="s">
        <v>819</v>
      </c>
      <c r="C2928" t="s">
        <v>10107</v>
      </c>
      <c r="D2928" t="s">
        <v>8502</v>
      </c>
      <c r="E2928" t="s">
        <v>10125</v>
      </c>
      <c r="F2928" t="s">
        <v>118</v>
      </c>
      <c r="G2928" t="str">
        <f>HYPERLINK("https://ok.ru/group/53318809747546/topic/153423195103322#MTYyNTY3OTU2Mjk1MDotMTM4NDE6MTYyNTY3OTU2Mjk1MDoxNTM0MjMxOTUxMDMzMjI6MQ==")</f>
        <v>https://ok.ru/group/53318809747546/topic/153423195103322#MTYyNTY3OTU2Mjk1MDotMTM4NDE6MTYyNTY3OTU2Mjk1MDoxNTM0MjMxOTUxMDMzMjI6MQ==</v>
      </c>
      <c r="H2928" t="s">
        <v>181</v>
      </c>
      <c r="I2928" t="s">
        <v>10126</v>
      </c>
      <c r="J2928" t="str">
        <f>HYPERLINK("https://ok.ru/profile/561568989886")</f>
        <v>https://ok.ru/profile/561568989886</v>
      </c>
      <c r="K2928">
        <v>26</v>
      </c>
      <c r="L2928" t="s">
        <v>121</v>
      </c>
      <c r="N2928" t="s">
        <v>347</v>
      </c>
      <c r="O2928" t="s">
        <v>8505</v>
      </c>
      <c r="P2928" t="str">
        <f>HYPERLINK("https://ok.ru/group/53318809747546")</f>
        <v>https://ok.ru/group/53318809747546</v>
      </c>
      <c r="Q2928">
        <v>16788</v>
      </c>
      <c r="R2928" t="s">
        <v>124</v>
      </c>
      <c r="S2928" t="s">
        <v>125</v>
      </c>
      <c r="T2928" t="s">
        <v>169</v>
      </c>
      <c r="U2928" t="s">
        <v>169</v>
      </c>
      <c r="W2928">
        <v>0</v>
      </c>
      <c r="X2928">
        <v>0</v>
      </c>
      <c r="AM2928" t="s">
        <v>129</v>
      </c>
      <c r="AN2928" t="s">
        <v>130</v>
      </c>
      <c r="AP2928" t="s">
        <v>41</v>
      </c>
      <c r="AT2928" t="s">
        <v>45</v>
      </c>
      <c r="AZ2928" t="s">
        <v>51</v>
      </c>
      <c r="BA2928" t="s">
        <v>52</v>
      </c>
      <c r="BL2928" t="s">
        <v>63</v>
      </c>
    </row>
    <row r="2929" spans="1:69" x14ac:dyDescent="0.2">
      <c r="A2929" t="s">
        <v>10081</v>
      </c>
      <c r="B2929" t="s">
        <v>2384</v>
      </c>
      <c r="C2929" t="s">
        <v>10127</v>
      </c>
      <c r="D2929" t="s">
        <v>10128</v>
      </c>
      <c r="E2929" t="s">
        <v>10129</v>
      </c>
      <c r="F2929" t="s">
        <v>118</v>
      </c>
      <c r="G2929" t="str">
        <f>HYPERLINK("https://vk.com/wall-3877182_36037?reply=36044")</f>
        <v>https://vk.com/wall-3877182_36037?reply=36044</v>
      </c>
      <c r="H2929" t="s">
        <v>119</v>
      </c>
      <c r="I2929" t="s">
        <v>10130</v>
      </c>
      <c r="J2929" t="str">
        <f>HYPERLINK("http://vk.com/id134088531")</f>
        <v>http://vk.com/id134088531</v>
      </c>
      <c r="K2929">
        <v>199</v>
      </c>
      <c r="L2929" t="s">
        <v>121</v>
      </c>
      <c r="N2929" t="s">
        <v>122</v>
      </c>
      <c r="O2929" t="s">
        <v>10131</v>
      </c>
      <c r="P2929" t="str">
        <f>HYPERLINK("http://vk.com/club3877182")</f>
        <v>http://vk.com/club3877182</v>
      </c>
      <c r="Q2929">
        <v>2170</v>
      </c>
      <c r="R2929" t="s">
        <v>124</v>
      </c>
      <c r="S2929" t="s">
        <v>125</v>
      </c>
      <c r="T2929" t="s">
        <v>137</v>
      </c>
      <c r="U2929" t="s">
        <v>137</v>
      </c>
      <c r="AM2929" t="s">
        <v>129</v>
      </c>
      <c r="AN2929" t="s">
        <v>130</v>
      </c>
      <c r="AP2929" t="s">
        <v>41</v>
      </c>
      <c r="AT2929" t="s">
        <v>45</v>
      </c>
      <c r="AZ2929" t="s">
        <v>51</v>
      </c>
      <c r="BA2929" t="s">
        <v>52</v>
      </c>
      <c r="BM2929" t="s">
        <v>64</v>
      </c>
    </row>
    <row r="2930" spans="1:69" x14ac:dyDescent="0.2">
      <c r="A2930" t="s">
        <v>10081</v>
      </c>
      <c r="B2930" t="s">
        <v>270</v>
      </c>
      <c r="C2930" t="s">
        <v>10132</v>
      </c>
      <c r="D2930" t="s">
        <v>175</v>
      </c>
      <c r="E2930" t="s">
        <v>10133</v>
      </c>
      <c r="F2930" t="s">
        <v>180</v>
      </c>
      <c r="G2930" t="str">
        <f>HYPERLINK("https://yandex.ru/maps/org/47006992790#ulpOp4Zi54NjFHYH5nrJGjSO2xCE_pxx")</f>
        <v>https://yandex.ru/maps/org/47006992790#ulpOp4Zi54NjFHYH5nrJGjSO2xCE_pxx</v>
      </c>
      <c r="H2930" t="s">
        <v>181</v>
      </c>
      <c r="I2930" t="s">
        <v>10134</v>
      </c>
      <c r="J2930" t="str">
        <f>HYPERLINK("https://yandex.ru/user/nzgjwdk71myg5435f8z3pxn0kg")</f>
        <v>https://yandex.ru/user/nzgjwdk71myg5435f8z3pxn0kg</v>
      </c>
      <c r="L2930" t="s">
        <v>121</v>
      </c>
      <c r="N2930" t="s">
        <v>236</v>
      </c>
      <c r="O2930" t="s">
        <v>175</v>
      </c>
      <c r="P2930" t="str">
        <f>HYPERLINK("https://yandex.ru/maps/org/47006992790")</f>
        <v>https://yandex.ru/maps/org/47006992790</v>
      </c>
      <c r="R2930" t="s">
        <v>184</v>
      </c>
      <c r="S2930" t="s">
        <v>125</v>
      </c>
      <c r="T2930" t="s">
        <v>218</v>
      </c>
      <c r="U2930" t="s">
        <v>4314</v>
      </c>
      <c r="W2930">
        <v>0</v>
      </c>
      <c r="X2930">
        <v>0</v>
      </c>
      <c r="AH2930">
        <v>5</v>
      </c>
      <c r="AM2930" t="s">
        <v>129</v>
      </c>
      <c r="AN2930" t="s">
        <v>130</v>
      </c>
      <c r="AP2930" t="s">
        <v>41</v>
      </c>
      <c r="AX2930" t="s">
        <v>49</v>
      </c>
      <c r="AY2930" t="s">
        <v>50</v>
      </c>
      <c r="AZ2930" t="s">
        <v>51</v>
      </c>
      <c r="BD2930" t="s">
        <v>55</v>
      </c>
    </row>
    <row r="2931" spans="1:69" x14ac:dyDescent="0.2">
      <c r="A2931" t="s">
        <v>10081</v>
      </c>
      <c r="B2931" t="s">
        <v>5078</v>
      </c>
      <c r="C2931" t="s">
        <v>10135</v>
      </c>
      <c r="D2931" t="s">
        <v>3993</v>
      </c>
      <c r="E2931" t="s">
        <v>10136</v>
      </c>
      <c r="F2931" t="s">
        <v>118</v>
      </c>
      <c r="G2931" t="str">
        <f>HYPERLINK("https://vk.com/wall-27863223_291516?reply=291527")</f>
        <v>https://vk.com/wall-27863223_291516?reply=291527</v>
      </c>
      <c r="H2931" t="s">
        <v>119</v>
      </c>
      <c r="I2931" t="s">
        <v>10137</v>
      </c>
      <c r="J2931" t="str">
        <f>HYPERLINK("http://vk.com/id564091115")</f>
        <v>http://vk.com/id564091115</v>
      </c>
      <c r="K2931">
        <v>25</v>
      </c>
      <c r="L2931" t="s">
        <v>151</v>
      </c>
      <c r="M2931">
        <v>56</v>
      </c>
      <c r="N2931" t="s">
        <v>122</v>
      </c>
      <c r="O2931" t="s">
        <v>175</v>
      </c>
      <c r="P2931" t="str">
        <f>HYPERLINK("http://vk.com/club27863223")</f>
        <v>http://vk.com/club27863223</v>
      </c>
      <c r="Q2931">
        <v>134698</v>
      </c>
      <c r="R2931" t="s">
        <v>124</v>
      </c>
      <c r="W2931">
        <v>0</v>
      </c>
      <c r="X2931">
        <v>0</v>
      </c>
      <c r="AM2931" t="s">
        <v>129</v>
      </c>
      <c r="AN2931" t="s">
        <v>130</v>
      </c>
      <c r="AP2931" t="s">
        <v>41</v>
      </c>
      <c r="AU2931" t="s">
        <v>46</v>
      </c>
      <c r="AZ2931" t="s">
        <v>51</v>
      </c>
      <c r="BA2931" t="s">
        <v>52</v>
      </c>
    </row>
    <row r="2932" spans="1:69" x14ac:dyDescent="0.2">
      <c r="A2932" t="s">
        <v>10081</v>
      </c>
      <c r="B2932" t="s">
        <v>847</v>
      </c>
      <c r="C2932" t="s">
        <v>10138</v>
      </c>
      <c r="D2932" t="s">
        <v>204</v>
      </c>
      <c r="E2932" t="s">
        <v>10139</v>
      </c>
      <c r="F2932" t="s">
        <v>180</v>
      </c>
      <c r="G2932" t="str">
        <f>HYPERLINK("https://play.google.com/store/apps/details?id=ru.iflex.android.a3colortv&amp;reviewId=gp:AOqpTOFeySeUKrxDGyIbCABwIpvJLOLBzCjGFVOh9pfwHiZuqikQurkjHpib8HOJVrZzML40_CLA44JrGLf0yA")</f>
        <v>https://play.google.com/store/apps/details?id=ru.iflex.android.a3colortv&amp;reviewId=gp:AOqpTOFeySeUKrxDGyIbCABwIpvJLOLBzCjGFVOh9pfwHiZuqikQurkjHpib8HOJVrZzML40_CLA44JrGLf0yA</v>
      </c>
      <c r="H2932" t="s">
        <v>181</v>
      </c>
      <c r="I2932" t="s">
        <v>10140</v>
      </c>
      <c r="J2932" t="str">
        <f>HYPERLINK("https://plus.google.com/102389596117757337680")</f>
        <v>https://plus.google.com/102389596117757337680</v>
      </c>
      <c r="L2932" t="s">
        <v>151</v>
      </c>
      <c r="N2932" t="s">
        <v>207</v>
      </c>
      <c r="O2932" t="s">
        <v>204</v>
      </c>
      <c r="P2932" t="str">
        <f>HYPERLINK("https://play.google.com/store/apps/details?id=ru.iflex.android.a3colortv&amp;hl=ru")</f>
        <v>https://play.google.com/store/apps/details?id=ru.iflex.android.a3colortv&amp;hl=ru</v>
      </c>
      <c r="R2932" t="s">
        <v>184</v>
      </c>
      <c r="S2932" t="s">
        <v>125</v>
      </c>
      <c r="W2932">
        <v>0</v>
      </c>
      <c r="X2932">
        <v>0</v>
      </c>
      <c r="AH2932">
        <v>5</v>
      </c>
      <c r="AM2932" t="s">
        <v>129</v>
      </c>
      <c r="AN2932" t="s">
        <v>130</v>
      </c>
      <c r="AP2932" t="s">
        <v>41</v>
      </c>
      <c r="AZ2932" t="s">
        <v>51</v>
      </c>
      <c r="BA2932" t="s">
        <v>52</v>
      </c>
      <c r="BQ2932" t="s">
        <v>68</v>
      </c>
    </row>
    <row r="2933" spans="1:69" x14ac:dyDescent="0.2">
      <c r="A2933" t="s">
        <v>10081</v>
      </c>
      <c r="B2933" t="s">
        <v>847</v>
      </c>
      <c r="C2933" t="s">
        <v>10141</v>
      </c>
      <c r="D2933" t="s">
        <v>6224</v>
      </c>
      <c r="E2933" t="s">
        <v>10142</v>
      </c>
      <c r="F2933" t="s">
        <v>118</v>
      </c>
      <c r="G2933" t="str">
        <f>HYPERLINK("https://www.youtube.com/watch?v=cuBcZGF3Yzc&amp;lc=UgyDTftygz0ZdVzeZVR4AaABAg")</f>
        <v>https://www.youtube.com/watch?v=cuBcZGF3Yzc&amp;lc=UgyDTftygz0ZdVzeZVR4AaABAg</v>
      </c>
      <c r="H2933" t="s">
        <v>119</v>
      </c>
      <c r="I2933" t="s">
        <v>10143</v>
      </c>
      <c r="J2933" t="str">
        <f>HYPERLINK("https://www.youtube.com/channel/UCm0S4-TE2K6Z5RaMw-00n_w")</f>
        <v>https://www.youtube.com/channel/UCm0S4-TE2K6Z5RaMw-00n_w</v>
      </c>
      <c r="K2933">
        <v>7</v>
      </c>
      <c r="N2933" t="s">
        <v>248</v>
      </c>
      <c r="O2933" t="s">
        <v>6227</v>
      </c>
      <c r="P2933" t="str">
        <f>HYPERLINK("https://www.youtube.com/channel/UCRP4EhX1Op-jL7D87PB3qhQ")</f>
        <v>https://www.youtube.com/channel/UCRP4EhX1Op-jL7D87PB3qhQ</v>
      </c>
      <c r="Q2933">
        <v>2820000</v>
      </c>
      <c r="R2933" t="s">
        <v>124</v>
      </c>
      <c r="S2933" t="s">
        <v>125</v>
      </c>
      <c r="W2933">
        <v>0</v>
      </c>
      <c r="X2933">
        <v>0</v>
      </c>
      <c r="AE2933">
        <v>0</v>
      </c>
      <c r="AM2933" t="s">
        <v>129</v>
      </c>
      <c r="AN2933" t="s">
        <v>130</v>
      </c>
      <c r="AP2933" t="s">
        <v>41</v>
      </c>
      <c r="AW2933" t="s">
        <v>48</v>
      </c>
      <c r="AZ2933" t="s">
        <v>51</v>
      </c>
      <c r="BB2933" t="s">
        <v>53</v>
      </c>
    </row>
    <row r="2934" spans="1:69" x14ac:dyDescent="0.2">
      <c r="A2934" t="s">
        <v>10081</v>
      </c>
      <c r="B2934" t="s">
        <v>4209</v>
      </c>
      <c r="C2934" t="s">
        <v>10144</v>
      </c>
      <c r="D2934" t="s">
        <v>3659</v>
      </c>
      <c r="E2934" t="s">
        <v>10145</v>
      </c>
      <c r="F2934" t="s">
        <v>118</v>
      </c>
      <c r="G2934" t="str">
        <f>HYPERLINK("https://vk.com/wall-22935147_368227?reply=368230")</f>
        <v>https://vk.com/wall-22935147_368227?reply=368230</v>
      </c>
      <c r="H2934" t="s">
        <v>119</v>
      </c>
      <c r="I2934" t="s">
        <v>5114</v>
      </c>
      <c r="J2934" t="str">
        <f>HYPERLINK("http://vk.com/id365357670")</f>
        <v>http://vk.com/id365357670</v>
      </c>
      <c r="K2934">
        <v>8</v>
      </c>
      <c r="L2934" t="s">
        <v>121</v>
      </c>
      <c r="M2934">
        <v>30</v>
      </c>
      <c r="N2934" t="s">
        <v>122</v>
      </c>
      <c r="O2934" t="s">
        <v>1093</v>
      </c>
      <c r="P2934" t="str">
        <f>HYPERLINK("http://vk.com/club22935147")</f>
        <v>http://vk.com/club22935147</v>
      </c>
      <c r="Q2934">
        <v>8943</v>
      </c>
      <c r="R2934" t="s">
        <v>124</v>
      </c>
      <c r="S2934" t="s">
        <v>125</v>
      </c>
      <c r="T2934" t="s">
        <v>5115</v>
      </c>
      <c r="U2934" t="s">
        <v>5116</v>
      </c>
      <c r="AM2934" t="s">
        <v>129</v>
      </c>
      <c r="AN2934" t="s">
        <v>130</v>
      </c>
      <c r="AP2934" t="s">
        <v>41</v>
      </c>
      <c r="AU2934" t="s">
        <v>46</v>
      </c>
      <c r="AZ2934" t="s">
        <v>51</v>
      </c>
      <c r="BA2934" t="s">
        <v>52</v>
      </c>
    </row>
    <row r="2935" spans="1:69" x14ac:dyDescent="0.2">
      <c r="A2935" t="s">
        <v>10081</v>
      </c>
      <c r="B2935" t="s">
        <v>883</v>
      </c>
      <c r="C2935" t="s">
        <v>10146</v>
      </c>
      <c r="D2935" t="s">
        <v>3993</v>
      </c>
      <c r="E2935" t="s">
        <v>10147</v>
      </c>
      <c r="F2935" t="s">
        <v>118</v>
      </c>
      <c r="G2935" t="str">
        <f>HYPERLINK("https://vk.com/wall-27863223_291516?reply=291525&amp;thread=291518")</f>
        <v>https://vk.com/wall-27863223_291516?reply=291525&amp;thread=291518</v>
      </c>
      <c r="H2935" t="s">
        <v>228</v>
      </c>
      <c r="I2935" t="s">
        <v>3162</v>
      </c>
      <c r="J2935" t="str">
        <f>HYPERLINK("http://vk.com/id529175466")</f>
        <v>http://vk.com/id529175466</v>
      </c>
      <c r="K2935">
        <v>0</v>
      </c>
      <c r="L2935" t="s">
        <v>151</v>
      </c>
      <c r="N2935" t="s">
        <v>122</v>
      </c>
      <c r="O2935" t="s">
        <v>175</v>
      </c>
      <c r="P2935" t="str">
        <f>HYPERLINK("http://vk.com/club27863223")</f>
        <v>http://vk.com/club27863223</v>
      </c>
      <c r="Q2935">
        <v>134698</v>
      </c>
      <c r="R2935" t="s">
        <v>124</v>
      </c>
      <c r="AM2935" t="s">
        <v>129</v>
      </c>
      <c r="AN2935" t="s">
        <v>130</v>
      </c>
      <c r="AP2935" t="s">
        <v>41</v>
      </c>
      <c r="AZ2935" t="s">
        <v>51</v>
      </c>
      <c r="BA2935" t="s">
        <v>52</v>
      </c>
    </row>
    <row r="2936" spans="1:69" x14ac:dyDescent="0.2">
      <c r="A2936" t="s">
        <v>10081</v>
      </c>
      <c r="B2936" t="s">
        <v>1967</v>
      </c>
      <c r="C2936" t="s">
        <v>10021</v>
      </c>
      <c r="D2936" t="s">
        <v>2052</v>
      </c>
      <c r="E2936" t="s">
        <v>10148</v>
      </c>
      <c r="F2936" t="s">
        <v>180</v>
      </c>
      <c r="G2936" t="str">
        <f>HYPERLINK("https://www.wildberries.ru/catalog/17288086/detail.aspx?targetUrl=ES#Comments")</f>
        <v>https://www.wildberries.ru/catalog/17288086/detail.aspx?targetUrl=ES#Comments</v>
      </c>
      <c r="H2936" t="s">
        <v>181</v>
      </c>
      <c r="I2936" t="s">
        <v>5122</v>
      </c>
      <c r="J2936" t="str">
        <f>HYPERLINK("https://www.wildberries.ru/profile/w7TDssOkw7PCu8KwwrjCtsKwwrTCscK3wrg=")</f>
        <v>https://www.wildberries.ru/profile/w7TDssOkw7PCu8KwwrjCtsKwwrTCscK3wrg=</v>
      </c>
      <c r="L2936" t="s">
        <v>151</v>
      </c>
      <c r="N2936" t="s">
        <v>534</v>
      </c>
      <c r="O2936" t="s">
        <v>2052</v>
      </c>
      <c r="P2936" t="str">
        <f>HYPERLINK("https://www.wildberries.ru/catalog/12874318/detail.aspx")</f>
        <v>https://www.wildberries.ru/catalog/12874318/detail.aspx</v>
      </c>
      <c r="R2936" t="s">
        <v>184</v>
      </c>
      <c r="S2936" t="s">
        <v>125</v>
      </c>
      <c r="W2936">
        <v>0</v>
      </c>
      <c r="X2936">
        <v>0</v>
      </c>
      <c r="AH2936">
        <v>5</v>
      </c>
      <c r="AM2936" t="s">
        <v>129</v>
      </c>
      <c r="AN2936" t="s">
        <v>130</v>
      </c>
      <c r="AP2936" t="s">
        <v>41</v>
      </c>
      <c r="AZ2936" t="s">
        <v>51</v>
      </c>
      <c r="BA2936" t="s">
        <v>52</v>
      </c>
      <c r="BK2936" t="s">
        <v>62</v>
      </c>
      <c r="BL2936" t="s">
        <v>63</v>
      </c>
    </row>
    <row r="2937" spans="1:69" x14ac:dyDescent="0.2">
      <c r="A2937" t="s">
        <v>10081</v>
      </c>
      <c r="B2937" t="s">
        <v>1429</v>
      </c>
      <c r="C2937" t="s">
        <v>10141</v>
      </c>
      <c r="D2937" t="s">
        <v>6224</v>
      </c>
      <c r="E2937" t="s">
        <v>10149</v>
      </c>
      <c r="F2937" t="s">
        <v>118</v>
      </c>
      <c r="G2937" t="str">
        <f>HYPERLINK("https://www.youtube.com/watch?v=cuBcZGF3Yzc&amp;lc=UgxevY9m3tDMrZveXAt4AaABAg")</f>
        <v>https://www.youtube.com/watch?v=cuBcZGF3Yzc&amp;lc=UgxevY9m3tDMrZveXAt4AaABAg</v>
      </c>
      <c r="H2937" t="s">
        <v>228</v>
      </c>
      <c r="I2937" t="s">
        <v>10150</v>
      </c>
      <c r="J2937" t="str">
        <f>HYPERLINK("https://www.youtube.com/channel/UCBM0j5yrxxpvrLYkR3p1inA")</f>
        <v>https://www.youtube.com/channel/UCBM0j5yrxxpvrLYkR3p1inA</v>
      </c>
      <c r="K2937">
        <v>502</v>
      </c>
      <c r="L2937" t="s">
        <v>121</v>
      </c>
      <c r="N2937" t="s">
        <v>248</v>
      </c>
      <c r="O2937" t="s">
        <v>6227</v>
      </c>
      <c r="P2937" t="str">
        <f>HYPERLINK("https://www.youtube.com/channel/UCRP4EhX1Op-jL7D87PB3qhQ")</f>
        <v>https://www.youtube.com/channel/UCRP4EhX1Op-jL7D87PB3qhQ</v>
      </c>
      <c r="Q2937">
        <v>2820000</v>
      </c>
      <c r="R2937" t="s">
        <v>124</v>
      </c>
      <c r="S2937" t="s">
        <v>125</v>
      </c>
      <c r="W2937">
        <v>1</v>
      </c>
      <c r="X2937">
        <v>1</v>
      </c>
      <c r="AE2937">
        <v>1</v>
      </c>
      <c r="AM2937" t="s">
        <v>129</v>
      </c>
      <c r="AN2937" t="s">
        <v>130</v>
      </c>
      <c r="AP2937" t="s">
        <v>41</v>
      </c>
      <c r="AY2937" t="s">
        <v>50</v>
      </c>
      <c r="AZ2937" t="s">
        <v>51</v>
      </c>
      <c r="BB2937" t="s">
        <v>53</v>
      </c>
    </row>
    <row r="2938" spans="1:69" x14ac:dyDescent="0.2">
      <c r="A2938" t="s">
        <v>10081</v>
      </c>
      <c r="B2938" t="s">
        <v>308</v>
      </c>
      <c r="C2938" t="s">
        <v>10141</v>
      </c>
      <c r="D2938" t="s">
        <v>6224</v>
      </c>
      <c r="E2938" t="s">
        <v>10151</v>
      </c>
      <c r="F2938" t="s">
        <v>118</v>
      </c>
      <c r="G2938" t="str">
        <f>HYPERLINK("https://www.youtube.com/watch?v=cuBcZGF3Yzc&amp;lc=Ugz-KspDCcFvSJ2N4GV4AaABAg.9PVVCN7HGzS9PVWSYjlOJ3")</f>
        <v>https://www.youtube.com/watch?v=cuBcZGF3Yzc&amp;lc=Ugz-KspDCcFvSJ2N4GV4AaABAg.9PVVCN7HGzS9PVWSYjlOJ3</v>
      </c>
      <c r="H2938" t="s">
        <v>119</v>
      </c>
      <c r="I2938" t="s">
        <v>10152</v>
      </c>
      <c r="J2938" t="str">
        <f>HYPERLINK("https://www.youtube.com/channel/UCEkTV5oSJ-DqAsVtZ_SXX4A")</f>
        <v>https://www.youtube.com/channel/UCEkTV5oSJ-DqAsVtZ_SXX4A</v>
      </c>
      <c r="K2938">
        <v>930</v>
      </c>
      <c r="N2938" t="s">
        <v>248</v>
      </c>
      <c r="O2938" t="s">
        <v>6227</v>
      </c>
      <c r="P2938" t="str">
        <f>HYPERLINK("https://www.youtube.com/channel/UCRP4EhX1Op-jL7D87PB3qhQ")</f>
        <v>https://www.youtube.com/channel/UCRP4EhX1Op-jL7D87PB3qhQ</v>
      </c>
      <c r="Q2938">
        <v>2820000</v>
      </c>
      <c r="R2938" t="s">
        <v>124</v>
      </c>
      <c r="S2938" t="s">
        <v>125</v>
      </c>
      <c r="W2938">
        <v>1</v>
      </c>
      <c r="X2938">
        <v>1</v>
      </c>
      <c r="AM2938" t="s">
        <v>129</v>
      </c>
      <c r="AN2938" t="s">
        <v>130</v>
      </c>
      <c r="AP2938" t="s">
        <v>41</v>
      </c>
      <c r="AW2938" t="s">
        <v>48</v>
      </c>
      <c r="AY2938" t="s">
        <v>50</v>
      </c>
      <c r="AZ2938" t="s">
        <v>51</v>
      </c>
      <c r="BB2938" t="s">
        <v>53</v>
      </c>
    </row>
    <row r="2939" spans="1:69" x14ac:dyDescent="0.2">
      <c r="A2939" t="s">
        <v>10081</v>
      </c>
      <c r="B2939" t="s">
        <v>10153</v>
      </c>
      <c r="C2939" t="s">
        <v>10141</v>
      </c>
      <c r="D2939" t="s">
        <v>6224</v>
      </c>
      <c r="E2939" t="s">
        <v>10154</v>
      </c>
      <c r="F2939" t="s">
        <v>118</v>
      </c>
      <c r="G2939" t="str">
        <f>HYPERLINK("https://www.youtube.com/watch?v=cuBcZGF3Yzc&amp;lc=UgzfQwRn3TQoiUMaOod4AaABAg.9PVV4iBg7NI9PVVvtskXrD")</f>
        <v>https://www.youtube.com/watch?v=cuBcZGF3Yzc&amp;lc=UgzfQwRn3TQoiUMaOod4AaABAg.9PVV4iBg7NI9PVVvtskXrD</v>
      </c>
      <c r="H2939" t="s">
        <v>119</v>
      </c>
      <c r="I2939" t="s">
        <v>10155</v>
      </c>
      <c r="J2939" t="str">
        <f>HYPERLINK("https://www.youtube.com/channel/UCy7T82mMAHJ6o3vjskCAJJA")</f>
        <v>https://www.youtube.com/channel/UCy7T82mMAHJ6o3vjskCAJJA</v>
      </c>
      <c r="K2939">
        <v>0</v>
      </c>
      <c r="L2939" t="s">
        <v>121</v>
      </c>
      <c r="N2939" t="s">
        <v>248</v>
      </c>
      <c r="O2939" t="s">
        <v>6227</v>
      </c>
      <c r="P2939" t="str">
        <f>HYPERLINK("https://www.youtube.com/channel/UCRP4EhX1Op-jL7D87PB3qhQ")</f>
        <v>https://www.youtube.com/channel/UCRP4EhX1Op-jL7D87PB3qhQ</v>
      </c>
      <c r="Q2939">
        <v>2820000</v>
      </c>
      <c r="R2939" t="s">
        <v>124</v>
      </c>
      <c r="S2939" t="s">
        <v>125</v>
      </c>
      <c r="W2939">
        <v>15</v>
      </c>
      <c r="X2939">
        <v>15</v>
      </c>
      <c r="AM2939" t="s">
        <v>129</v>
      </c>
      <c r="AN2939" t="s">
        <v>130</v>
      </c>
      <c r="AP2939" t="s">
        <v>41</v>
      </c>
      <c r="AW2939" t="s">
        <v>48</v>
      </c>
      <c r="AZ2939" t="s">
        <v>51</v>
      </c>
      <c r="BB2939" t="s">
        <v>53</v>
      </c>
    </row>
    <row r="2940" spans="1:69" x14ac:dyDescent="0.2">
      <c r="A2940" t="s">
        <v>10081</v>
      </c>
      <c r="B2940" t="s">
        <v>2977</v>
      </c>
      <c r="C2940" t="s">
        <v>10141</v>
      </c>
      <c r="D2940" t="s">
        <v>6224</v>
      </c>
      <c r="E2940" t="s">
        <v>10156</v>
      </c>
      <c r="F2940" t="s">
        <v>118</v>
      </c>
      <c r="G2940" t="str">
        <f>HYPERLINK("https://www.youtube.com/watch?v=cuBcZGF3Yzc&amp;lc=Ugw0WPHfvozGxotkWTx4AaABAg.9PVVJBo8_hS9PVVT3h5dXZ")</f>
        <v>https://www.youtube.com/watch?v=cuBcZGF3Yzc&amp;lc=Ugw0WPHfvozGxotkWTx4AaABAg.9PVVJBo8_hS9PVVT3h5dXZ</v>
      </c>
      <c r="H2940" t="s">
        <v>228</v>
      </c>
      <c r="I2940" t="s">
        <v>10157</v>
      </c>
      <c r="J2940" t="str">
        <f>HYPERLINK("https://www.youtube.com/channel/UCS9YOPDpbjr8v0W5PlP7h9w")</f>
        <v>https://www.youtube.com/channel/UCS9YOPDpbjr8v0W5PlP7h9w</v>
      </c>
      <c r="K2940">
        <v>21</v>
      </c>
      <c r="N2940" t="s">
        <v>248</v>
      </c>
      <c r="O2940" t="s">
        <v>6227</v>
      </c>
      <c r="P2940" t="str">
        <f>HYPERLINK("https://www.youtube.com/channel/UCRP4EhX1Op-jL7D87PB3qhQ")</f>
        <v>https://www.youtube.com/channel/UCRP4EhX1Op-jL7D87PB3qhQ</v>
      </c>
      <c r="Q2940">
        <v>2820000</v>
      </c>
      <c r="R2940" t="s">
        <v>124</v>
      </c>
      <c r="S2940" t="s">
        <v>125</v>
      </c>
      <c r="W2940">
        <v>2</v>
      </c>
      <c r="X2940">
        <v>2</v>
      </c>
      <c r="AM2940" t="s">
        <v>129</v>
      </c>
      <c r="AN2940" t="s">
        <v>130</v>
      </c>
      <c r="AP2940" t="s">
        <v>41</v>
      </c>
      <c r="AW2940" t="s">
        <v>48</v>
      </c>
      <c r="AY2940" t="s">
        <v>50</v>
      </c>
      <c r="AZ2940" t="s">
        <v>51</v>
      </c>
      <c r="BA2940" t="s">
        <v>52</v>
      </c>
    </row>
    <row r="2941" spans="1:69" x14ac:dyDescent="0.2">
      <c r="A2941" t="s">
        <v>10081</v>
      </c>
      <c r="B2941" t="s">
        <v>2459</v>
      </c>
      <c r="C2941" t="s">
        <v>10158</v>
      </c>
      <c r="D2941" t="s">
        <v>3993</v>
      </c>
      <c r="E2941" t="s">
        <v>10159</v>
      </c>
      <c r="F2941" t="s">
        <v>118</v>
      </c>
      <c r="G2941" t="str">
        <f>HYPERLINK("https://vk.com/wall-27863223_291516?w=wall-27863223_291516_r291521")</f>
        <v>https://vk.com/wall-27863223_291516?w=wall-27863223_291516_r291521</v>
      </c>
      <c r="H2941" t="s">
        <v>119</v>
      </c>
      <c r="I2941" t="s">
        <v>3162</v>
      </c>
      <c r="J2941" t="str">
        <f>HYPERLINK("http://vk.com/id529175466")</f>
        <v>http://vk.com/id529175466</v>
      </c>
      <c r="K2941">
        <v>0</v>
      </c>
      <c r="L2941" t="s">
        <v>151</v>
      </c>
      <c r="N2941" t="s">
        <v>122</v>
      </c>
      <c r="O2941" t="s">
        <v>175</v>
      </c>
      <c r="P2941" t="str">
        <f>HYPERLINK("http://vk.com/club27863223")</f>
        <v>http://vk.com/club27863223</v>
      </c>
      <c r="Q2941">
        <v>134698</v>
      </c>
      <c r="R2941" t="s">
        <v>124</v>
      </c>
      <c r="W2941">
        <v>0</v>
      </c>
      <c r="X2941">
        <v>0</v>
      </c>
      <c r="AM2941" t="s">
        <v>129</v>
      </c>
      <c r="AN2941" t="s">
        <v>130</v>
      </c>
      <c r="AP2941" t="s">
        <v>41</v>
      </c>
      <c r="AU2941" t="s">
        <v>46</v>
      </c>
      <c r="AY2941" t="s">
        <v>50</v>
      </c>
      <c r="AZ2941" t="s">
        <v>51</v>
      </c>
      <c r="BA2941" t="s">
        <v>52</v>
      </c>
    </row>
    <row r="2942" spans="1:69" x14ac:dyDescent="0.2">
      <c r="A2942" t="s">
        <v>10081</v>
      </c>
      <c r="B2942" t="s">
        <v>902</v>
      </c>
      <c r="C2942" t="s">
        <v>10160</v>
      </c>
      <c r="D2942" t="s">
        <v>10161</v>
      </c>
      <c r="E2942" t="s">
        <v>10162</v>
      </c>
      <c r="F2942" t="s">
        <v>180</v>
      </c>
      <c r="G2942" t="str">
        <f>HYPERLINK("https://market.yandex.ru/shop/1150024/reviews?id=134173586")</f>
        <v>https://market.yandex.ru/shop/1150024/reviews?id=134173586</v>
      </c>
      <c r="H2942" t="s">
        <v>181</v>
      </c>
      <c r="I2942" t="s">
        <v>10163</v>
      </c>
      <c r="J2942" t="str">
        <f>HYPERLINK("https://market.yandex.ru/user/z5kpfp1xqawk07t679j6x6gahr/reviews")</f>
        <v>https://market.yandex.ru/user/z5kpfp1xqawk07t679j6x6gahr/reviews</v>
      </c>
      <c r="L2942" t="s">
        <v>121</v>
      </c>
      <c r="N2942" t="s">
        <v>611</v>
      </c>
      <c r="O2942" t="s">
        <v>10161</v>
      </c>
      <c r="P2942" t="str">
        <f>HYPERLINK("https://market.yandex.ru/shop/1150024/reviews")</f>
        <v>https://market.yandex.ru/shop/1150024/reviews</v>
      </c>
      <c r="R2942" t="s">
        <v>184</v>
      </c>
      <c r="S2942" t="s">
        <v>125</v>
      </c>
      <c r="T2942" t="s">
        <v>169</v>
      </c>
      <c r="U2942" t="s">
        <v>169</v>
      </c>
      <c r="W2942">
        <v>0</v>
      </c>
      <c r="X2942">
        <v>0</v>
      </c>
      <c r="AH2942">
        <v>5</v>
      </c>
      <c r="AM2942" t="s">
        <v>129</v>
      </c>
      <c r="AN2942" t="s">
        <v>130</v>
      </c>
      <c r="AP2942" t="s">
        <v>41</v>
      </c>
      <c r="AT2942" t="s">
        <v>45</v>
      </c>
      <c r="AW2942" t="s">
        <v>48</v>
      </c>
      <c r="AY2942" t="s">
        <v>50</v>
      </c>
      <c r="AZ2942" t="s">
        <v>51</v>
      </c>
      <c r="BA2942" t="s">
        <v>52</v>
      </c>
      <c r="BO2942" t="s">
        <v>66</v>
      </c>
    </row>
    <row r="2943" spans="1:69" x14ac:dyDescent="0.2">
      <c r="A2943" t="s">
        <v>10081</v>
      </c>
      <c r="B2943" t="s">
        <v>1980</v>
      </c>
      <c r="C2943" t="s">
        <v>10164</v>
      </c>
      <c r="D2943" t="s">
        <v>10059</v>
      </c>
      <c r="E2943" t="s">
        <v>10165</v>
      </c>
      <c r="F2943" t="s">
        <v>118</v>
      </c>
      <c r="G2943" t="str">
        <f>HYPERLINK("https://vk.com/wall-70010161_674172?reply=674661&amp;thread=674173")</f>
        <v>https://vk.com/wall-70010161_674172?reply=674661&amp;thread=674173</v>
      </c>
      <c r="H2943" t="s">
        <v>119</v>
      </c>
      <c r="I2943" t="s">
        <v>10166</v>
      </c>
      <c r="J2943" t="str">
        <f>HYPERLINK("http://vk.com/id73057383")</f>
        <v>http://vk.com/id73057383</v>
      </c>
      <c r="K2943">
        <v>90</v>
      </c>
      <c r="L2943" t="s">
        <v>121</v>
      </c>
      <c r="M2943">
        <v>46</v>
      </c>
      <c r="N2943" t="s">
        <v>122</v>
      </c>
      <c r="O2943" t="s">
        <v>10062</v>
      </c>
      <c r="P2943" t="str">
        <f>HYPERLINK("http://vk.com/club70010161")</f>
        <v>http://vk.com/club70010161</v>
      </c>
      <c r="Q2943">
        <v>19314</v>
      </c>
      <c r="R2943" t="s">
        <v>124</v>
      </c>
      <c r="S2943" t="s">
        <v>125</v>
      </c>
      <c r="AM2943" t="s">
        <v>129</v>
      </c>
      <c r="AN2943" t="s">
        <v>130</v>
      </c>
      <c r="AP2943" t="s">
        <v>41</v>
      </c>
      <c r="AU2943" t="s">
        <v>46</v>
      </c>
      <c r="AZ2943" t="s">
        <v>51</v>
      </c>
      <c r="BA2943" t="s">
        <v>52</v>
      </c>
      <c r="BM2943" t="s">
        <v>64</v>
      </c>
    </row>
    <row r="2944" spans="1:69" x14ac:dyDescent="0.2">
      <c r="A2944" t="s">
        <v>10081</v>
      </c>
      <c r="B2944" t="s">
        <v>322</v>
      </c>
      <c r="C2944" t="s">
        <v>10158</v>
      </c>
      <c r="D2944" t="s">
        <v>3993</v>
      </c>
      <c r="E2944" t="s">
        <v>10167</v>
      </c>
      <c r="F2944" t="s">
        <v>118</v>
      </c>
      <c r="G2944" t="str">
        <f>HYPERLINK("https://vk.com/wall-27863223_291516?reply=291518")</f>
        <v>https://vk.com/wall-27863223_291516?reply=291518</v>
      </c>
      <c r="H2944" t="s">
        <v>119</v>
      </c>
      <c r="I2944" t="s">
        <v>10168</v>
      </c>
      <c r="J2944" t="str">
        <f>HYPERLINK("http://vk.com/id439017434")</f>
        <v>http://vk.com/id439017434</v>
      </c>
      <c r="K2944">
        <v>0</v>
      </c>
      <c r="L2944" t="s">
        <v>151</v>
      </c>
      <c r="M2944">
        <v>66</v>
      </c>
      <c r="N2944" t="s">
        <v>122</v>
      </c>
      <c r="O2944" t="s">
        <v>175</v>
      </c>
      <c r="P2944" t="str">
        <f>HYPERLINK("http://vk.com/club27863223")</f>
        <v>http://vk.com/club27863223</v>
      </c>
      <c r="Q2944">
        <v>134698</v>
      </c>
      <c r="R2944" t="s">
        <v>124</v>
      </c>
      <c r="W2944">
        <v>0</v>
      </c>
      <c r="X2944">
        <v>0</v>
      </c>
      <c r="AM2944" t="s">
        <v>129</v>
      </c>
      <c r="AN2944" t="s">
        <v>130</v>
      </c>
      <c r="AU2944" t="s">
        <v>46</v>
      </c>
      <c r="AZ2944" t="s">
        <v>51</v>
      </c>
      <c r="BA2944" t="s">
        <v>52</v>
      </c>
      <c r="BE2944" t="s">
        <v>56</v>
      </c>
    </row>
    <row r="2945" spans="1:69" x14ac:dyDescent="0.2">
      <c r="A2945" t="s">
        <v>10081</v>
      </c>
      <c r="B2945" t="s">
        <v>5126</v>
      </c>
      <c r="C2945" t="s">
        <v>10169</v>
      </c>
      <c r="D2945" t="s">
        <v>129</v>
      </c>
      <c r="E2945" t="s">
        <v>9537</v>
      </c>
      <c r="F2945" t="s">
        <v>180</v>
      </c>
      <c r="G2945" t="str">
        <f>HYPERLINK("https://vk.com/wall-22935147_368228")</f>
        <v>https://vk.com/wall-22935147_368228</v>
      </c>
      <c r="H2945" t="s">
        <v>119</v>
      </c>
      <c r="I2945" t="s">
        <v>9539</v>
      </c>
      <c r="J2945" t="str">
        <f>HYPERLINK("http://vk.com/id142992750")</f>
        <v>http://vk.com/id142992750</v>
      </c>
      <c r="K2945">
        <v>400</v>
      </c>
      <c r="L2945" t="s">
        <v>121</v>
      </c>
      <c r="M2945">
        <v>45</v>
      </c>
      <c r="N2945" t="s">
        <v>122</v>
      </c>
      <c r="O2945" t="s">
        <v>1093</v>
      </c>
      <c r="P2945" t="str">
        <f>HYPERLINK("http://vk.com/club22935147")</f>
        <v>http://vk.com/club22935147</v>
      </c>
      <c r="Q2945">
        <v>8943</v>
      </c>
      <c r="R2945" t="s">
        <v>124</v>
      </c>
      <c r="S2945" t="s">
        <v>125</v>
      </c>
      <c r="T2945" t="s">
        <v>1027</v>
      </c>
      <c r="U2945" t="s">
        <v>1028</v>
      </c>
      <c r="W2945">
        <v>9</v>
      </c>
      <c r="X2945">
        <v>9</v>
      </c>
      <c r="AE2945">
        <v>5</v>
      </c>
      <c r="AF2945">
        <v>0</v>
      </c>
      <c r="AG2945">
        <v>1847</v>
      </c>
      <c r="AM2945" t="s">
        <v>129</v>
      </c>
      <c r="AN2945" t="s">
        <v>130</v>
      </c>
      <c r="AP2945" t="s">
        <v>41</v>
      </c>
      <c r="BA2945" t="s">
        <v>52</v>
      </c>
      <c r="BE2945" t="s">
        <v>56</v>
      </c>
    </row>
    <row r="2946" spans="1:69" x14ac:dyDescent="0.2">
      <c r="A2946" t="s">
        <v>10081</v>
      </c>
      <c r="B2946" t="s">
        <v>3755</v>
      </c>
      <c r="C2946" t="s">
        <v>10170</v>
      </c>
      <c r="D2946" t="s">
        <v>10171</v>
      </c>
      <c r="E2946" t="s">
        <v>10172</v>
      </c>
      <c r="F2946" t="s">
        <v>180</v>
      </c>
      <c r="G2946" t="str">
        <f>HYPERLINK("https://market.yandex.ru/product/734917711/reviews?id=134172124")</f>
        <v>https://market.yandex.ru/product/734917711/reviews?id=134172124</v>
      </c>
      <c r="H2946" t="s">
        <v>181</v>
      </c>
      <c r="I2946" t="s">
        <v>10173</v>
      </c>
      <c r="J2946" t="str">
        <f>HYPERLINK("https://market.yandex.ru/user/33c3vw89jtky8nzjbam26qu528/reviews")</f>
        <v>https://market.yandex.ru/user/33c3vw89jtky8nzjbam26qu528/reviews</v>
      </c>
      <c r="L2946" t="s">
        <v>121</v>
      </c>
      <c r="N2946" t="s">
        <v>611</v>
      </c>
      <c r="O2946" t="s">
        <v>10171</v>
      </c>
      <c r="P2946" t="str">
        <f>HYPERLINK("https://market.yandex.ru/product/734917711")</f>
        <v>https://market.yandex.ru/product/734917711</v>
      </c>
      <c r="R2946" t="s">
        <v>184</v>
      </c>
      <c r="S2946" t="s">
        <v>125</v>
      </c>
      <c r="T2946" t="s">
        <v>169</v>
      </c>
      <c r="U2946" t="s">
        <v>169</v>
      </c>
      <c r="W2946">
        <v>0</v>
      </c>
      <c r="X2946">
        <v>0</v>
      </c>
      <c r="AH2946">
        <v>5</v>
      </c>
      <c r="AJ2946" t="s">
        <v>10174</v>
      </c>
      <c r="AK2946" t="s">
        <v>129</v>
      </c>
      <c r="AL2946" t="str">
        <f>HYPERLINK("https://avatars.mds.yandex.net/get-market-ugc/329447/2a0000017a817d3792eb957a155bbc1dc690/1920-1920")</f>
        <v>https://avatars.mds.yandex.net/get-market-ugc/329447/2a0000017a817d3792eb957a155bbc1dc690/1920-1920</v>
      </c>
      <c r="AM2946" t="s">
        <v>129</v>
      </c>
      <c r="AN2946" t="s">
        <v>130</v>
      </c>
      <c r="AP2946" t="s">
        <v>41</v>
      </c>
      <c r="AT2946" t="s">
        <v>45</v>
      </c>
      <c r="AW2946" t="s">
        <v>48</v>
      </c>
      <c r="AY2946" t="s">
        <v>50</v>
      </c>
      <c r="AZ2946" t="s">
        <v>51</v>
      </c>
      <c r="BA2946" t="s">
        <v>52</v>
      </c>
    </row>
    <row r="2947" spans="1:69" x14ac:dyDescent="0.2">
      <c r="A2947" t="s">
        <v>10081</v>
      </c>
      <c r="B2947" t="s">
        <v>913</v>
      </c>
      <c r="C2947" t="s">
        <v>10050</v>
      </c>
      <c r="D2947" t="s">
        <v>10175</v>
      </c>
      <c r="E2947" t="s">
        <v>10176</v>
      </c>
      <c r="F2947" t="s">
        <v>180</v>
      </c>
      <c r="G2947" t="str">
        <f>HYPERLINK("https://market.yandex.ru/product/663081320/reviews?id=134171845")</f>
        <v>https://market.yandex.ru/product/663081320/reviews?id=134171845</v>
      </c>
      <c r="H2947" t="s">
        <v>181</v>
      </c>
      <c r="I2947" t="s">
        <v>10173</v>
      </c>
      <c r="J2947" t="str">
        <f>HYPERLINK("https://market.yandex.ru/user/33c3vw89jtky8nzjbam26qu528/reviews")</f>
        <v>https://market.yandex.ru/user/33c3vw89jtky8nzjbam26qu528/reviews</v>
      </c>
      <c r="L2947" t="s">
        <v>121</v>
      </c>
      <c r="N2947" t="s">
        <v>611</v>
      </c>
      <c r="O2947" t="s">
        <v>10175</v>
      </c>
      <c r="P2947" t="str">
        <f>HYPERLINK("https://market.yandex.ru/product/663081320")</f>
        <v>https://market.yandex.ru/product/663081320</v>
      </c>
      <c r="R2947" t="s">
        <v>184</v>
      </c>
      <c r="S2947" t="s">
        <v>125</v>
      </c>
      <c r="T2947" t="s">
        <v>169</v>
      </c>
      <c r="U2947" t="s">
        <v>169</v>
      </c>
      <c r="W2947">
        <v>0</v>
      </c>
      <c r="X2947">
        <v>0</v>
      </c>
      <c r="AH2947">
        <v>5</v>
      </c>
      <c r="AJ2947" t="s">
        <v>10177</v>
      </c>
      <c r="AK2947" t="s">
        <v>129</v>
      </c>
      <c r="AL2947" t="str">
        <f>HYPERLINK("https://avatars.mds.yandex.net/get-market-ugc/2268252/2a0000017a817726d76a3a9359c4f7e72eeb/1920-1920")</f>
        <v>https://avatars.mds.yandex.net/get-market-ugc/2268252/2a0000017a817726d76a3a9359c4f7e72eeb/1920-1920</v>
      </c>
      <c r="AM2947" t="s">
        <v>129</v>
      </c>
      <c r="AN2947" t="s">
        <v>130</v>
      </c>
      <c r="AP2947" t="s">
        <v>41</v>
      </c>
      <c r="AT2947" t="s">
        <v>45</v>
      </c>
      <c r="AW2947" t="s">
        <v>48</v>
      </c>
      <c r="AZ2947" t="s">
        <v>51</v>
      </c>
      <c r="BA2947" t="s">
        <v>52</v>
      </c>
    </row>
    <row r="2948" spans="1:69" x14ac:dyDescent="0.2">
      <c r="A2948" t="s">
        <v>10081</v>
      </c>
      <c r="B2948" t="s">
        <v>7412</v>
      </c>
      <c r="C2948" t="s">
        <v>10178</v>
      </c>
      <c r="D2948" t="s">
        <v>2326</v>
      </c>
      <c r="E2948" t="s">
        <v>10179</v>
      </c>
      <c r="F2948" t="s">
        <v>118</v>
      </c>
      <c r="G2948" t="str">
        <f>HYPERLINK("https://vk.com/topic-27863223_35421989?post=115834")</f>
        <v>https://vk.com/topic-27863223_35421989?post=115834</v>
      </c>
      <c r="H2948" t="s">
        <v>119</v>
      </c>
      <c r="I2948" t="s">
        <v>6749</v>
      </c>
      <c r="J2948" t="str">
        <f>HYPERLINK("http://vk.com/id488082610")</f>
        <v>http://vk.com/id488082610</v>
      </c>
      <c r="K2948">
        <v>10</v>
      </c>
      <c r="L2948" t="s">
        <v>121</v>
      </c>
      <c r="M2948">
        <v>31</v>
      </c>
      <c r="N2948" t="s">
        <v>122</v>
      </c>
      <c r="O2948" t="s">
        <v>175</v>
      </c>
      <c r="P2948" t="str">
        <f>HYPERLINK("http://vk.com/club27863223")</f>
        <v>http://vk.com/club27863223</v>
      </c>
      <c r="Q2948">
        <v>134698</v>
      </c>
      <c r="R2948" t="s">
        <v>124</v>
      </c>
      <c r="S2948" t="s">
        <v>125</v>
      </c>
      <c r="T2948" t="s">
        <v>494</v>
      </c>
      <c r="U2948" t="s">
        <v>6750</v>
      </c>
      <c r="AM2948" t="s">
        <v>129</v>
      </c>
      <c r="AN2948" t="s">
        <v>130</v>
      </c>
      <c r="AP2948" t="s">
        <v>41</v>
      </c>
      <c r="AU2948" t="s">
        <v>46</v>
      </c>
      <c r="AZ2948" t="s">
        <v>51</v>
      </c>
      <c r="BA2948" t="s">
        <v>52</v>
      </c>
    </row>
    <row r="2949" spans="1:69" x14ac:dyDescent="0.2">
      <c r="A2949" t="s">
        <v>10081</v>
      </c>
      <c r="B2949" t="s">
        <v>360</v>
      </c>
      <c r="C2949" t="s">
        <v>10180</v>
      </c>
      <c r="D2949" t="s">
        <v>204</v>
      </c>
      <c r="E2949" t="s">
        <v>10181</v>
      </c>
      <c r="F2949" t="s">
        <v>180</v>
      </c>
      <c r="G2949" t="str">
        <f>HYPERLINK("https://play.google.com/store/apps/details?id=ru.iflex.android.a3colortv&amp;reviewId=gp:AOqpTOHl3xUThnPZ0-eKRYWG4NCUJ4HDIUWM5-KDOKqp4gMD3fR5LvThcwF_T--Kxz4zMJtoPHisjQ6UaHDBmg")</f>
        <v>https://play.google.com/store/apps/details?id=ru.iflex.android.a3colortv&amp;reviewId=gp:AOqpTOHl3xUThnPZ0-eKRYWG4NCUJ4HDIUWM5-KDOKqp4gMD3fR5LvThcwF_T--Kxz4zMJtoPHisjQ6UaHDBmg</v>
      </c>
      <c r="H2949" t="s">
        <v>181</v>
      </c>
      <c r="I2949" t="s">
        <v>10182</v>
      </c>
      <c r="J2949" t="str">
        <f>HYPERLINK("https://plus.google.com/116021025636100420649")</f>
        <v>https://plus.google.com/116021025636100420649</v>
      </c>
      <c r="L2949" t="s">
        <v>121</v>
      </c>
      <c r="N2949" t="s">
        <v>207</v>
      </c>
      <c r="O2949" t="s">
        <v>204</v>
      </c>
      <c r="P2949" t="str">
        <f>HYPERLINK("https://play.google.com/store/apps/details?id=ru.iflex.android.a3colortv&amp;hl=ru")</f>
        <v>https://play.google.com/store/apps/details?id=ru.iflex.android.a3colortv&amp;hl=ru</v>
      </c>
      <c r="R2949" t="s">
        <v>184</v>
      </c>
      <c r="S2949" t="s">
        <v>125</v>
      </c>
      <c r="W2949">
        <v>0</v>
      </c>
      <c r="X2949">
        <v>0</v>
      </c>
      <c r="AH2949">
        <v>5</v>
      </c>
      <c r="AM2949" t="s">
        <v>129</v>
      </c>
      <c r="AN2949" t="s">
        <v>130</v>
      </c>
      <c r="AP2949" t="s">
        <v>41</v>
      </c>
      <c r="AZ2949" t="s">
        <v>51</v>
      </c>
      <c r="BA2949" t="s">
        <v>52</v>
      </c>
      <c r="BQ2949" t="s">
        <v>68</v>
      </c>
    </row>
    <row r="2950" spans="1:69" x14ac:dyDescent="0.2">
      <c r="A2950" t="s">
        <v>10081</v>
      </c>
      <c r="B2950" t="s">
        <v>2484</v>
      </c>
      <c r="C2950" t="s">
        <v>10183</v>
      </c>
      <c r="D2950" t="s">
        <v>175</v>
      </c>
      <c r="E2950" t="s">
        <v>10184</v>
      </c>
      <c r="F2950" t="s">
        <v>180</v>
      </c>
      <c r="G2950" t="str">
        <f>HYPERLINK("https://yandex.ru/maps/org/187508802690#0ThZKRJpV8fwTiFjig37szM1BAEDu3O")</f>
        <v>https://yandex.ru/maps/org/187508802690#0ThZKRJpV8fwTiFjig37szM1BAEDu3O</v>
      </c>
      <c r="H2950" t="s">
        <v>228</v>
      </c>
      <c r="I2950" t="s">
        <v>10185</v>
      </c>
      <c r="J2950" t="str">
        <f>HYPERLINK("https://yandex.ru/user/0u3xq6dc1m4knk1a2rmuua540m")</f>
        <v>https://yandex.ru/user/0u3xq6dc1m4knk1a2rmuua540m</v>
      </c>
      <c r="L2950" t="s">
        <v>121</v>
      </c>
      <c r="N2950" t="s">
        <v>236</v>
      </c>
      <c r="O2950" t="s">
        <v>175</v>
      </c>
      <c r="P2950" t="str">
        <f>HYPERLINK("https://yandex.ru/maps/org/187508802690")</f>
        <v>https://yandex.ru/maps/org/187508802690</v>
      </c>
      <c r="R2950" t="s">
        <v>184</v>
      </c>
      <c r="S2950" t="s">
        <v>125</v>
      </c>
      <c r="T2950" t="s">
        <v>169</v>
      </c>
      <c r="U2950" t="s">
        <v>169</v>
      </c>
      <c r="W2950">
        <v>0</v>
      </c>
      <c r="X2950">
        <v>0</v>
      </c>
      <c r="AH2950">
        <v>2</v>
      </c>
      <c r="AM2950" t="s">
        <v>129</v>
      </c>
      <c r="AN2950" t="s">
        <v>130</v>
      </c>
      <c r="AP2950" t="s">
        <v>41</v>
      </c>
      <c r="AU2950" t="s">
        <v>46</v>
      </c>
      <c r="AY2950" t="s">
        <v>50</v>
      </c>
      <c r="AZ2950" t="s">
        <v>51</v>
      </c>
      <c r="BA2950" t="s">
        <v>52</v>
      </c>
    </row>
    <row r="2951" spans="1:69" x14ac:dyDescent="0.2">
      <c r="A2951" t="s">
        <v>10081</v>
      </c>
      <c r="B2951" t="s">
        <v>2494</v>
      </c>
      <c r="C2951" t="s">
        <v>10186</v>
      </c>
      <c r="D2951" t="s">
        <v>10187</v>
      </c>
      <c r="E2951" t="s">
        <v>10188</v>
      </c>
      <c r="F2951" t="s">
        <v>118</v>
      </c>
      <c r="G2951" t="str">
        <f>HYPERLINK("https://vk.com/wall-22759696_1467120?reply=1467128")</f>
        <v>https://vk.com/wall-22759696_1467120?reply=1467128</v>
      </c>
      <c r="H2951" t="s">
        <v>119</v>
      </c>
      <c r="I2951" t="s">
        <v>10189</v>
      </c>
      <c r="J2951" t="str">
        <f>HYPERLINK("http://vk.com/id246660788")</f>
        <v>http://vk.com/id246660788</v>
      </c>
      <c r="K2951">
        <v>98</v>
      </c>
      <c r="L2951" t="s">
        <v>121</v>
      </c>
      <c r="M2951">
        <v>62</v>
      </c>
      <c r="N2951" t="s">
        <v>122</v>
      </c>
      <c r="O2951" t="s">
        <v>10190</v>
      </c>
      <c r="P2951" t="str">
        <f>HYPERLINK("http://vk.com/club22759696")</f>
        <v>http://vk.com/club22759696</v>
      </c>
      <c r="Q2951">
        <v>390636</v>
      </c>
      <c r="R2951" t="s">
        <v>124</v>
      </c>
      <c r="S2951" t="s">
        <v>125</v>
      </c>
      <c r="T2951" t="s">
        <v>237</v>
      </c>
      <c r="U2951" t="s">
        <v>238</v>
      </c>
      <c r="AM2951" t="s">
        <v>129</v>
      </c>
      <c r="AN2951" t="s">
        <v>130</v>
      </c>
      <c r="AP2951" t="s">
        <v>41</v>
      </c>
      <c r="AU2951" t="s">
        <v>46</v>
      </c>
      <c r="AZ2951" t="s">
        <v>51</v>
      </c>
      <c r="BA2951" t="s">
        <v>52</v>
      </c>
    </row>
    <row r="2952" spans="1:69" x14ac:dyDescent="0.2">
      <c r="A2952" t="s">
        <v>10081</v>
      </c>
      <c r="B2952" t="s">
        <v>4264</v>
      </c>
      <c r="C2952" t="s">
        <v>10191</v>
      </c>
      <c r="D2952" t="s">
        <v>9804</v>
      </c>
      <c r="E2952" t="s">
        <v>10192</v>
      </c>
      <c r="F2952" t="s">
        <v>118</v>
      </c>
      <c r="G2952" t="str">
        <f>HYPERLINK("https://vk.com/wall-22935147_368183?reply=368225")</f>
        <v>https://vk.com/wall-22935147_368183?reply=368225</v>
      </c>
      <c r="H2952" t="s">
        <v>119</v>
      </c>
      <c r="I2952" t="s">
        <v>10193</v>
      </c>
      <c r="J2952" t="str">
        <f>HYPERLINK("http://vk.com/id32080737")</f>
        <v>http://vk.com/id32080737</v>
      </c>
      <c r="K2952">
        <v>57</v>
      </c>
      <c r="L2952" t="s">
        <v>121</v>
      </c>
      <c r="N2952" t="s">
        <v>122</v>
      </c>
      <c r="O2952" t="s">
        <v>1093</v>
      </c>
      <c r="P2952" t="str">
        <f>HYPERLINK("http://vk.com/club22935147")</f>
        <v>http://vk.com/club22935147</v>
      </c>
      <c r="Q2952">
        <v>8943</v>
      </c>
      <c r="R2952" t="s">
        <v>124</v>
      </c>
      <c r="S2952" t="s">
        <v>125</v>
      </c>
      <c r="T2952" t="s">
        <v>828</v>
      </c>
      <c r="U2952" t="s">
        <v>829</v>
      </c>
      <c r="W2952">
        <v>0</v>
      </c>
      <c r="X2952">
        <v>0</v>
      </c>
      <c r="AM2952" t="s">
        <v>129</v>
      </c>
      <c r="AN2952" t="s">
        <v>130</v>
      </c>
      <c r="AP2952" t="s">
        <v>41</v>
      </c>
      <c r="AW2952" t="s">
        <v>48</v>
      </c>
      <c r="AZ2952" t="s">
        <v>51</v>
      </c>
      <c r="BA2952" t="s">
        <v>52</v>
      </c>
    </row>
    <row r="2953" spans="1:69" x14ac:dyDescent="0.2">
      <c r="A2953" t="s">
        <v>10081</v>
      </c>
      <c r="B2953" t="s">
        <v>4264</v>
      </c>
      <c r="C2953" t="s">
        <v>10194</v>
      </c>
      <c r="D2953" t="s">
        <v>3993</v>
      </c>
      <c r="E2953" t="s">
        <v>10195</v>
      </c>
      <c r="F2953" t="s">
        <v>180</v>
      </c>
      <c r="G2953" t="str">
        <f>HYPERLINK("https://ok.ru/group/51085510115462/topic/153418730218886")</f>
        <v>https://ok.ru/group/51085510115462/topic/153418730218886</v>
      </c>
      <c r="H2953" t="s">
        <v>119</v>
      </c>
      <c r="I2953" t="s">
        <v>175</v>
      </c>
      <c r="J2953" t="str">
        <f>HYPERLINK("https://ok.ru/group/51085510115462")</f>
        <v>https://ok.ru/group/51085510115462</v>
      </c>
      <c r="K2953">
        <v>94768</v>
      </c>
      <c r="L2953" t="s">
        <v>340</v>
      </c>
      <c r="N2953" t="s">
        <v>347</v>
      </c>
      <c r="O2953" t="s">
        <v>175</v>
      </c>
      <c r="P2953" t="str">
        <f>HYPERLINK("https://ok.ru/group/51085510115462")</f>
        <v>https://ok.ru/group/51085510115462</v>
      </c>
      <c r="Q2953">
        <v>94768</v>
      </c>
      <c r="R2953" t="s">
        <v>124</v>
      </c>
      <c r="W2953">
        <v>15</v>
      </c>
      <c r="X2953">
        <v>15</v>
      </c>
      <c r="Y2953">
        <v>0</v>
      </c>
      <c r="Z2953">
        <v>0</v>
      </c>
      <c r="AA2953">
        <v>0</v>
      </c>
      <c r="AB2953">
        <v>0</v>
      </c>
      <c r="AE2953">
        <v>0</v>
      </c>
      <c r="AF2953">
        <v>0</v>
      </c>
      <c r="AJ2953" t="s">
        <v>875</v>
      </c>
      <c r="AK2953" t="s">
        <v>876</v>
      </c>
      <c r="AL2953" t="str">
        <f>HYPERLINK("https://i.mycdn.me/image?id=918243276422&amp;t=20&amp;plc=API&amp;aid=1131601408&amp;tkn=*u88OJkGBCpMNHVQDIP7rYfkpan8")</f>
        <v>https://i.mycdn.me/image?id=918243276422&amp;t=20&amp;plc=API&amp;aid=1131601408&amp;tkn=*u88OJkGBCpMNHVQDIP7rYfkpan8</v>
      </c>
      <c r="AM2953" t="s">
        <v>129</v>
      </c>
      <c r="AN2953" t="s">
        <v>130</v>
      </c>
      <c r="BI2953" t="s">
        <v>60</v>
      </c>
    </row>
    <row r="2954" spans="1:69" x14ac:dyDescent="0.2">
      <c r="A2954" t="s">
        <v>10081</v>
      </c>
      <c r="B2954" t="s">
        <v>8131</v>
      </c>
      <c r="C2954" t="s">
        <v>10196</v>
      </c>
      <c r="D2954" t="s">
        <v>175</v>
      </c>
      <c r="E2954" t="s">
        <v>10197</v>
      </c>
      <c r="F2954" t="s">
        <v>180</v>
      </c>
      <c r="G2954" t="str">
        <f>HYPERLINK("https://yandex.ru/maps/org/95683783617#DOQRYKWDBhiVHMXYj6n3enPwZdm1UFS8D")</f>
        <v>https://yandex.ru/maps/org/95683783617#DOQRYKWDBhiVHMXYj6n3enPwZdm1UFS8D</v>
      </c>
      <c r="H2954" t="s">
        <v>181</v>
      </c>
      <c r="I2954" t="s">
        <v>10198</v>
      </c>
      <c r="J2954" t="str">
        <f>HYPERLINK("https://yandex.ru/user/t5k8vf4tg9xuumjgatubqpd3vc")</f>
        <v>https://yandex.ru/user/t5k8vf4tg9xuumjgatubqpd3vc</v>
      </c>
      <c r="L2954" t="s">
        <v>151</v>
      </c>
      <c r="N2954" t="s">
        <v>236</v>
      </c>
      <c r="O2954" t="s">
        <v>175</v>
      </c>
      <c r="P2954" t="str">
        <f>HYPERLINK("https://yandex.ru/maps/org/95683783617")</f>
        <v>https://yandex.ru/maps/org/95683783617</v>
      </c>
      <c r="R2954" t="s">
        <v>184</v>
      </c>
      <c r="S2954" t="s">
        <v>125</v>
      </c>
      <c r="T2954" t="s">
        <v>627</v>
      </c>
      <c r="U2954" t="s">
        <v>8063</v>
      </c>
      <c r="W2954">
        <v>0</v>
      </c>
      <c r="X2954">
        <v>0</v>
      </c>
      <c r="AH2954">
        <v>5</v>
      </c>
      <c r="AM2954" t="s">
        <v>129</v>
      </c>
      <c r="AN2954" t="s">
        <v>130</v>
      </c>
      <c r="AP2954" t="s">
        <v>41</v>
      </c>
      <c r="AX2954" t="s">
        <v>49</v>
      </c>
      <c r="AZ2954" t="s">
        <v>51</v>
      </c>
      <c r="BD2954" t="s">
        <v>55</v>
      </c>
    </row>
    <row r="2955" spans="1:69" x14ac:dyDescent="0.2">
      <c r="A2955" t="s">
        <v>10081</v>
      </c>
      <c r="B2955" t="s">
        <v>3029</v>
      </c>
      <c r="C2955" t="s">
        <v>10199</v>
      </c>
      <c r="D2955" t="s">
        <v>129</v>
      </c>
      <c r="E2955" t="s">
        <v>7045</v>
      </c>
      <c r="F2955" t="s">
        <v>180</v>
      </c>
      <c r="G2955" t="str">
        <f>HYPERLINK("https://www.facebook.com/tricolortv/posts/4064734666914106")</f>
        <v>https://www.facebook.com/tricolortv/posts/4064734666914106</v>
      </c>
      <c r="H2955" t="s">
        <v>119</v>
      </c>
      <c r="I2955" t="s">
        <v>175</v>
      </c>
      <c r="J2955" t="str">
        <f>HYPERLINK("https://www.facebook.com/206198386101106")</f>
        <v>https://www.facebook.com/206198386101106</v>
      </c>
      <c r="K2955">
        <v>16432</v>
      </c>
      <c r="L2955" t="s">
        <v>340</v>
      </c>
      <c r="N2955" t="s">
        <v>305</v>
      </c>
      <c r="O2955" t="s">
        <v>175</v>
      </c>
      <c r="P2955" t="str">
        <f>HYPERLINK("https://www.facebook.com/206198386101106")</f>
        <v>https://www.facebook.com/206198386101106</v>
      </c>
      <c r="Q2955">
        <v>16432</v>
      </c>
      <c r="R2955" t="s">
        <v>124</v>
      </c>
      <c r="W2955">
        <v>0</v>
      </c>
      <c r="X2955">
        <v>0</v>
      </c>
      <c r="Y2955">
        <v>0</v>
      </c>
      <c r="Z2955">
        <v>0</v>
      </c>
      <c r="AA2955">
        <v>0</v>
      </c>
      <c r="AB2955">
        <v>0</v>
      </c>
      <c r="AC2955">
        <v>0</v>
      </c>
      <c r="AE2955">
        <v>0</v>
      </c>
      <c r="AF2955">
        <v>0</v>
      </c>
      <c r="AJ2955" t="s">
        <v>875</v>
      </c>
      <c r="AK2955" t="s">
        <v>876</v>
      </c>
      <c r="AL2955" t="s">
        <v>10200</v>
      </c>
      <c r="AM2955" t="s">
        <v>129</v>
      </c>
      <c r="AN2955" t="s">
        <v>130</v>
      </c>
      <c r="BI2955" t="s">
        <v>60</v>
      </c>
    </row>
    <row r="2956" spans="1:69" x14ac:dyDescent="0.2">
      <c r="A2956" t="s">
        <v>10081</v>
      </c>
      <c r="B2956" t="s">
        <v>3029</v>
      </c>
      <c r="C2956" t="s">
        <v>10183</v>
      </c>
      <c r="D2956" t="s">
        <v>175</v>
      </c>
      <c r="E2956" t="s">
        <v>10201</v>
      </c>
      <c r="F2956" t="s">
        <v>180</v>
      </c>
      <c r="G2956" t="str">
        <f>HYPERLINK("https://yandex.ru/maps/org/205354517407#DMYh6cUEBQrahGhXEqChHHNohq8b3pk")</f>
        <v>https://yandex.ru/maps/org/205354517407#DMYh6cUEBQrahGhXEqChHHNohq8b3pk</v>
      </c>
      <c r="H2956" t="s">
        <v>228</v>
      </c>
      <c r="I2956" t="s">
        <v>10202</v>
      </c>
      <c r="J2956" t="str">
        <f>HYPERLINK("https://yandex.ru/user/xr20t2na1gr4cn2c6dgqv93bt0")</f>
        <v>https://yandex.ru/user/xr20t2na1gr4cn2c6dgqv93bt0</v>
      </c>
      <c r="L2956" t="s">
        <v>151</v>
      </c>
      <c r="N2956" t="s">
        <v>236</v>
      </c>
      <c r="O2956" t="s">
        <v>175</v>
      </c>
      <c r="P2956" t="str">
        <f>HYPERLINK("https://yandex.ru/maps/org/205354517407")</f>
        <v>https://yandex.ru/maps/org/205354517407</v>
      </c>
      <c r="R2956" t="s">
        <v>184</v>
      </c>
      <c r="S2956" t="s">
        <v>125</v>
      </c>
      <c r="T2956" t="s">
        <v>989</v>
      </c>
      <c r="U2956" t="s">
        <v>10203</v>
      </c>
      <c r="W2956">
        <v>0</v>
      </c>
      <c r="X2956">
        <v>0</v>
      </c>
      <c r="AH2956">
        <v>1</v>
      </c>
      <c r="AM2956" t="s">
        <v>129</v>
      </c>
      <c r="AN2956" t="s">
        <v>130</v>
      </c>
      <c r="AP2956" t="s">
        <v>41</v>
      </c>
      <c r="AX2956" t="s">
        <v>49</v>
      </c>
      <c r="AZ2956" t="s">
        <v>51</v>
      </c>
      <c r="BD2956" t="s">
        <v>55</v>
      </c>
    </row>
    <row r="2957" spans="1:69" x14ac:dyDescent="0.2">
      <c r="A2957" t="s">
        <v>10081</v>
      </c>
      <c r="B2957" t="s">
        <v>10204</v>
      </c>
      <c r="C2957" t="s">
        <v>10205</v>
      </c>
      <c r="D2957" t="s">
        <v>9143</v>
      </c>
      <c r="E2957" t="s">
        <v>10206</v>
      </c>
      <c r="F2957" t="s">
        <v>118</v>
      </c>
      <c r="G2957" t="str">
        <f>HYPERLINK("https://vk.com/wall-32414643_1057192?reply=1057195")</f>
        <v>https://vk.com/wall-32414643_1057192?reply=1057195</v>
      </c>
      <c r="H2957" t="s">
        <v>181</v>
      </c>
      <c r="I2957" t="s">
        <v>10207</v>
      </c>
      <c r="J2957" t="str">
        <f>HYPERLINK("http://vk.com/id304845094")</f>
        <v>http://vk.com/id304845094</v>
      </c>
      <c r="K2957">
        <v>102</v>
      </c>
      <c r="L2957" t="s">
        <v>121</v>
      </c>
      <c r="N2957" t="s">
        <v>122</v>
      </c>
      <c r="O2957" t="s">
        <v>10208</v>
      </c>
      <c r="P2957" t="str">
        <f>HYPERLINK("http://vk.com/club32414643")</f>
        <v>http://vk.com/club32414643</v>
      </c>
      <c r="Q2957">
        <v>433652</v>
      </c>
      <c r="R2957" t="s">
        <v>124</v>
      </c>
      <c r="S2957" t="s">
        <v>125</v>
      </c>
      <c r="AJ2957" t="s">
        <v>10209</v>
      </c>
      <c r="AK2957" t="s">
        <v>2425</v>
      </c>
      <c r="AL2957" t="str">
        <f>HYPERLINK("https://sun1-25.userapi.com/impg/CpynfwqK57blk4iTxSuOdHKxrM53MAMr-QgS_g/-t297Ymmvo0.jpg?size=750x386&amp;quality=96&amp;sign=4587fbb1205204f4c21bfa8f6119c1d6&amp;c_uniq_tag=WBTSLQquTWf5YDcm4J6qA2U2fIyg1KT1BoafU7mt7Mw&amp;type=album")</f>
        <v>https://sun1-25.userapi.com/impg/CpynfwqK57blk4iTxSuOdHKxrM53MAMr-QgS_g/-t297Ymmvo0.jpg?size=750x386&amp;quality=96&amp;sign=4587fbb1205204f4c21bfa8f6119c1d6&amp;c_uniq_tag=WBTSLQquTWf5YDcm4J6qA2U2fIyg1KT1BoafU7mt7Mw&amp;type=album</v>
      </c>
      <c r="AM2957" t="s">
        <v>129</v>
      </c>
      <c r="AN2957" t="s">
        <v>130</v>
      </c>
      <c r="AP2957" t="s">
        <v>41</v>
      </c>
      <c r="AY2957" t="s">
        <v>50</v>
      </c>
      <c r="AZ2957" t="s">
        <v>51</v>
      </c>
      <c r="BB2957" t="s">
        <v>53</v>
      </c>
    </row>
    <row r="2958" spans="1:69" x14ac:dyDescent="0.2">
      <c r="A2958" t="s">
        <v>10081</v>
      </c>
      <c r="B2958" t="s">
        <v>8496</v>
      </c>
      <c r="C2958" t="s">
        <v>10210</v>
      </c>
      <c r="D2958" t="s">
        <v>10211</v>
      </c>
      <c r="E2958" t="s">
        <v>10212</v>
      </c>
      <c r="F2958" t="s">
        <v>118</v>
      </c>
      <c r="G2958" t="str">
        <f>HYPERLINK("https://vk.com/wall-22781583_3378248?reply=3378379")</f>
        <v>https://vk.com/wall-22781583_3378248?reply=3378379</v>
      </c>
      <c r="H2958" t="s">
        <v>119</v>
      </c>
      <c r="I2958" t="s">
        <v>10213</v>
      </c>
      <c r="J2958" t="str">
        <f>HYPERLINK("http://vk.com/id157833805")</f>
        <v>http://vk.com/id157833805</v>
      </c>
      <c r="K2958">
        <v>163</v>
      </c>
      <c r="L2958" t="s">
        <v>121</v>
      </c>
      <c r="M2958">
        <v>28</v>
      </c>
      <c r="N2958" t="s">
        <v>122</v>
      </c>
      <c r="O2958" t="s">
        <v>10214</v>
      </c>
      <c r="P2958" t="str">
        <f>HYPERLINK("http://vk.com/club22781583")</f>
        <v>http://vk.com/club22781583</v>
      </c>
      <c r="Q2958">
        <v>406700</v>
      </c>
      <c r="R2958" t="s">
        <v>124</v>
      </c>
      <c r="S2958" t="s">
        <v>125</v>
      </c>
      <c r="T2958" t="s">
        <v>1229</v>
      </c>
      <c r="U2958" t="s">
        <v>10215</v>
      </c>
      <c r="AM2958" t="s">
        <v>129</v>
      </c>
      <c r="AN2958" t="s">
        <v>130</v>
      </c>
      <c r="AP2958" t="s">
        <v>41</v>
      </c>
      <c r="AU2958" t="s">
        <v>46</v>
      </c>
      <c r="AZ2958" t="s">
        <v>51</v>
      </c>
      <c r="BB2958" t="s">
        <v>53</v>
      </c>
    </row>
    <row r="2959" spans="1:69" x14ac:dyDescent="0.2">
      <c r="A2959" t="s">
        <v>10081</v>
      </c>
      <c r="B2959" t="s">
        <v>392</v>
      </c>
      <c r="C2959" t="s">
        <v>10216</v>
      </c>
      <c r="D2959" t="s">
        <v>10217</v>
      </c>
      <c r="E2959" t="s">
        <v>10218</v>
      </c>
      <c r="F2959" t="s">
        <v>180</v>
      </c>
      <c r="G2959" t="str">
        <f>HYPERLINK("https://telesputnik.ru/materials/novosti-kompanii/news/trikolor-pokazhet-kontsert-k-yubileyu-vladimira-shainskogo-s-uchastiem-zvezd-estrady/")</f>
        <v>https://telesputnik.ru/materials/novosti-kompanii/news/trikolor-pokazhet-kontsert-k-yubileyu-vladimira-shainskogo-s-uchastiem-zvezd-estrady/</v>
      </c>
      <c r="H2959" t="s">
        <v>119</v>
      </c>
      <c r="N2959" t="s">
        <v>335</v>
      </c>
      <c r="R2959" t="s">
        <v>785</v>
      </c>
      <c r="S2959" t="s">
        <v>125</v>
      </c>
      <c r="AM2959" t="s">
        <v>129</v>
      </c>
      <c r="AN2959" t="s">
        <v>130</v>
      </c>
      <c r="AV2959" t="s">
        <v>47</v>
      </c>
    </row>
    <row r="2960" spans="1:69" x14ac:dyDescent="0.2">
      <c r="A2960" t="s">
        <v>10081</v>
      </c>
      <c r="B2960" t="s">
        <v>2528</v>
      </c>
      <c r="C2960" t="s">
        <v>10219</v>
      </c>
      <c r="D2960" t="s">
        <v>3825</v>
      </c>
      <c r="E2960" t="s">
        <v>10220</v>
      </c>
      <c r="F2960" t="s">
        <v>180</v>
      </c>
      <c r="G2960" t="str">
        <f>HYPERLINK("https://www.google.com/maps/reviews/data=!4m5!14m4!1m3!1m2!1s114903144492295477723!2s0x0:0xfb8088db2bd0e700?hl=en-AE")</f>
        <v>https://www.google.com/maps/reviews/data=!4m5!14m4!1m3!1m2!1s114903144492295477723!2s0x0:0xfb8088db2bd0e700?hl=en-AE</v>
      </c>
      <c r="H2960" t="s">
        <v>119</v>
      </c>
      <c r="I2960" t="s">
        <v>10221</v>
      </c>
      <c r="J2960" t="str">
        <f>HYPERLINK("https://maps.google.com/maps/contrib/114903144492295477723")</f>
        <v>https://maps.google.com/maps/contrib/114903144492295477723</v>
      </c>
      <c r="L2960" t="s">
        <v>151</v>
      </c>
      <c r="N2960" t="s">
        <v>673</v>
      </c>
      <c r="O2960" t="s">
        <v>3825</v>
      </c>
      <c r="P2960" t="str">
        <f>HYPERLINK("https://maps.google.com/maps/place/data=!3m1!4b1!4m5!3m4!1s0x0:0xfb8088db2bd0e700!8m2!3d64.551510!4d40.571780")</f>
        <v>https://maps.google.com/maps/place/data=!3m1!4b1!4m5!3m4!1s0x0:0xfb8088db2bd0e700!8m2!3d64.551510!4d40.571780</v>
      </c>
      <c r="R2960" t="s">
        <v>184</v>
      </c>
      <c r="S2960" t="s">
        <v>125</v>
      </c>
      <c r="T2960" t="s">
        <v>1229</v>
      </c>
      <c r="U2960" t="s">
        <v>3413</v>
      </c>
      <c r="W2960">
        <v>0</v>
      </c>
      <c r="X2960">
        <v>0</v>
      </c>
      <c r="AH2960">
        <v>3</v>
      </c>
      <c r="AM2960" t="s">
        <v>129</v>
      </c>
      <c r="AN2960" t="s">
        <v>130</v>
      </c>
      <c r="AP2960" t="s">
        <v>41</v>
      </c>
      <c r="AX2960" t="s">
        <v>49</v>
      </c>
      <c r="AZ2960" t="s">
        <v>51</v>
      </c>
      <c r="BA2960" t="s">
        <v>52</v>
      </c>
    </row>
    <row r="2961" spans="1:69" x14ac:dyDescent="0.2">
      <c r="A2961" t="s">
        <v>10081</v>
      </c>
      <c r="B2961" t="s">
        <v>3072</v>
      </c>
      <c r="C2961" t="s">
        <v>9688</v>
      </c>
      <c r="D2961" t="s">
        <v>3021</v>
      </c>
      <c r="E2961" t="s">
        <v>10222</v>
      </c>
      <c r="F2961" t="s">
        <v>180</v>
      </c>
      <c r="G2961" t="str">
        <f>HYPERLINK("https://www.wildberries.ru/catalog/10284738/detail.aspx?targetUrl=ES#Comments")</f>
        <v>https://www.wildberries.ru/catalog/10284738/detail.aspx?targetUrl=ES#Comments</v>
      </c>
      <c r="H2961" t="s">
        <v>228</v>
      </c>
      <c r="I2961" t="s">
        <v>10223</v>
      </c>
      <c r="J2961" t="str">
        <f>HYPERLINK("https://www.wildberries.ru/profile/w7TDssOkw7PCu8KzwrXCtcK2wrPCtcKwwrE=")</f>
        <v>https://www.wildberries.ru/profile/w7TDssOkw7PCu8KzwrXCtcK2wrPCtcKwwrE=</v>
      </c>
      <c r="L2961" t="s">
        <v>151</v>
      </c>
      <c r="N2961" t="s">
        <v>534</v>
      </c>
      <c r="O2961" t="s">
        <v>3021</v>
      </c>
      <c r="P2961" t="str">
        <f>HYPERLINK("https://www.wildberries.ru/catalog/7813912/detail.aspx")</f>
        <v>https://www.wildberries.ru/catalog/7813912/detail.aspx</v>
      </c>
      <c r="R2961" t="s">
        <v>184</v>
      </c>
      <c r="S2961" t="s">
        <v>125</v>
      </c>
      <c r="W2961">
        <v>1</v>
      </c>
      <c r="X2961">
        <v>1</v>
      </c>
      <c r="AH2961">
        <v>1</v>
      </c>
      <c r="AM2961" t="s">
        <v>129</v>
      </c>
      <c r="AN2961" t="s">
        <v>130</v>
      </c>
      <c r="AP2961" t="s">
        <v>41</v>
      </c>
      <c r="AU2961" t="s">
        <v>46</v>
      </c>
      <c r="AZ2961" t="s">
        <v>51</v>
      </c>
      <c r="BA2961" t="s">
        <v>52</v>
      </c>
      <c r="BL2961" t="s">
        <v>63</v>
      </c>
    </row>
    <row r="2962" spans="1:69" x14ac:dyDescent="0.2">
      <c r="A2962" t="s">
        <v>10081</v>
      </c>
      <c r="B2962" t="s">
        <v>3072</v>
      </c>
      <c r="C2962" t="s">
        <v>9688</v>
      </c>
      <c r="D2962" t="s">
        <v>3021</v>
      </c>
      <c r="E2962" t="s">
        <v>10224</v>
      </c>
      <c r="F2962" t="s">
        <v>118</v>
      </c>
      <c r="G2962" t="str">
        <f>HYPERLINK("https://www.wildberries.ru/catalog/10284738/detail.aspx?targetUrl=ES#Comments")</f>
        <v>https://www.wildberries.ru/catalog/10284738/detail.aspx?targetUrl=ES#Comments</v>
      </c>
      <c r="H2962" t="s">
        <v>119</v>
      </c>
      <c r="I2962" t="s">
        <v>3023</v>
      </c>
      <c r="J2962" t="str">
        <f>HYPERLINK("https://www.wildberries.ru/brands/trikolor")</f>
        <v>https://www.wildberries.ru/brands/trikolor</v>
      </c>
      <c r="L2962" t="s">
        <v>340</v>
      </c>
      <c r="N2962" t="s">
        <v>534</v>
      </c>
      <c r="O2962" t="s">
        <v>3021</v>
      </c>
      <c r="P2962" t="str">
        <f>HYPERLINK("https://www.wildberries.ru/catalog/7813912/detail.aspx")</f>
        <v>https://www.wildberries.ru/catalog/7813912/detail.aspx</v>
      </c>
      <c r="R2962" t="s">
        <v>184</v>
      </c>
      <c r="S2962" t="s">
        <v>125</v>
      </c>
      <c r="AM2962" t="s">
        <v>129</v>
      </c>
      <c r="AN2962" t="s">
        <v>130</v>
      </c>
      <c r="BI2962" t="s">
        <v>60</v>
      </c>
    </row>
    <row r="2963" spans="1:69" x14ac:dyDescent="0.2">
      <c r="A2963" t="s">
        <v>10081</v>
      </c>
      <c r="B2963" t="s">
        <v>1504</v>
      </c>
      <c r="C2963" t="s">
        <v>10225</v>
      </c>
      <c r="D2963" t="s">
        <v>7966</v>
      </c>
      <c r="E2963" t="s">
        <v>10226</v>
      </c>
      <c r="F2963" t="s">
        <v>180</v>
      </c>
      <c r="G2963" t="str">
        <f>HYPERLINK("https://www.ozon.ru/context/detail/id/178007561/#57878483")</f>
        <v>https://www.ozon.ru/context/detail/id/178007561/#57878483</v>
      </c>
      <c r="H2963" t="s">
        <v>181</v>
      </c>
      <c r="I2963" t="s">
        <v>10227</v>
      </c>
      <c r="J2963" t="str">
        <f>HYPERLINK("https://www.ozon.ru/context/client_opinion/ClientGuid/66c9f91a-67b2-4d3f-9721-eb82140d6b27/")</f>
        <v>https://www.ozon.ru/context/client_opinion/ClientGuid/66c9f91a-67b2-4d3f-9721-eb82140d6b27/</v>
      </c>
      <c r="L2963" t="s">
        <v>151</v>
      </c>
      <c r="N2963" t="s">
        <v>183</v>
      </c>
      <c r="O2963" t="s">
        <v>7966</v>
      </c>
      <c r="P2963" t="str">
        <f>HYPERLINK("https://www.ozon.ru/context/detail/id/178007561/")</f>
        <v>https://www.ozon.ru/context/detail/id/178007561/</v>
      </c>
      <c r="R2963" t="s">
        <v>184</v>
      </c>
      <c r="S2963" t="s">
        <v>125</v>
      </c>
      <c r="W2963">
        <v>0</v>
      </c>
      <c r="X2963">
        <v>0</v>
      </c>
      <c r="AH2963">
        <v>5</v>
      </c>
      <c r="AM2963" t="s">
        <v>129</v>
      </c>
      <c r="AN2963" t="s">
        <v>130</v>
      </c>
      <c r="AP2963" t="s">
        <v>41</v>
      </c>
      <c r="AT2963" t="s">
        <v>45</v>
      </c>
      <c r="AZ2963" t="s">
        <v>51</v>
      </c>
      <c r="BA2963" t="s">
        <v>52</v>
      </c>
      <c r="BL2963" t="s">
        <v>63</v>
      </c>
    </row>
    <row r="2964" spans="1:69" x14ac:dyDescent="0.2">
      <c r="A2964" t="s">
        <v>10081</v>
      </c>
      <c r="B2964" t="s">
        <v>2019</v>
      </c>
      <c r="C2964" t="s">
        <v>10228</v>
      </c>
      <c r="D2964" t="s">
        <v>204</v>
      </c>
      <c r="E2964" t="s">
        <v>10229</v>
      </c>
      <c r="F2964" t="s">
        <v>180</v>
      </c>
      <c r="G2964" t="str">
        <f>HYPERLINK("https://play.google.com/store/apps/details?id=ru.iflex.android.a3colortv&amp;reviewId=gp:AOqpTOEr-bXBn5oWivsY8GLlWpPKDwKAKkO6-CGJa_2k6YOPb6R1jhpZ4WHa1i91QEGYoDz3yNJ8l2BTbiq0dg")</f>
        <v>https://play.google.com/store/apps/details?id=ru.iflex.android.a3colortv&amp;reviewId=gp:AOqpTOEr-bXBn5oWivsY8GLlWpPKDwKAKkO6-CGJa_2k6YOPb6R1jhpZ4WHa1i91QEGYoDz3yNJ8l2BTbiq0dg</v>
      </c>
      <c r="H2964" t="s">
        <v>181</v>
      </c>
      <c r="I2964" t="s">
        <v>10230</v>
      </c>
      <c r="J2964" t="str">
        <f>HYPERLINK("https://plus.google.com/100277113983914235974")</f>
        <v>https://plus.google.com/100277113983914235974</v>
      </c>
      <c r="L2964" t="s">
        <v>121</v>
      </c>
      <c r="N2964" t="s">
        <v>207</v>
      </c>
      <c r="O2964" t="s">
        <v>204</v>
      </c>
      <c r="P2964" t="str">
        <f>HYPERLINK("https://play.google.com/store/apps/details?id=ru.iflex.android.a3colortv&amp;hl=ru")</f>
        <v>https://play.google.com/store/apps/details?id=ru.iflex.android.a3colortv&amp;hl=ru</v>
      </c>
      <c r="R2964" t="s">
        <v>184</v>
      </c>
      <c r="S2964" t="s">
        <v>125</v>
      </c>
      <c r="W2964">
        <v>0</v>
      </c>
      <c r="X2964">
        <v>0</v>
      </c>
      <c r="AH2964">
        <v>5</v>
      </c>
      <c r="AM2964" t="s">
        <v>129</v>
      </c>
      <c r="AN2964" t="s">
        <v>130</v>
      </c>
      <c r="AP2964" t="s">
        <v>41</v>
      </c>
      <c r="AZ2964" t="s">
        <v>51</v>
      </c>
      <c r="BA2964" t="s">
        <v>52</v>
      </c>
      <c r="BP2964" t="s">
        <v>67</v>
      </c>
      <c r="BQ2964" t="s">
        <v>68</v>
      </c>
    </row>
    <row r="2965" spans="1:69" x14ac:dyDescent="0.2">
      <c r="A2965" t="s">
        <v>10081</v>
      </c>
      <c r="B2965" t="s">
        <v>3812</v>
      </c>
      <c r="C2965" t="s">
        <v>10039</v>
      </c>
      <c r="D2965" t="s">
        <v>10040</v>
      </c>
      <c r="E2965" t="s">
        <v>10231</v>
      </c>
      <c r="F2965" t="s">
        <v>180</v>
      </c>
      <c r="G2965" t="str">
        <f>HYPERLINK("https://otvet.mail.ru/answer/1993479405/cid-330793255/")</f>
        <v>https://otvet.mail.ru/answer/1993479405/cid-330793255/</v>
      </c>
      <c r="H2965" t="s">
        <v>119</v>
      </c>
      <c r="I2965" t="s">
        <v>10232</v>
      </c>
      <c r="J2965" t="str">
        <f>HYPERLINK("http://otvet.mail.ru/profile/id284786968")</f>
        <v>http://otvet.mail.ru/profile/id284786968</v>
      </c>
      <c r="N2965" t="s">
        <v>690</v>
      </c>
      <c r="O2965" t="s">
        <v>7252</v>
      </c>
      <c r="P2965" t="str">
        <f>HYPERLINK("https://otvet.mail.ru/technics/")</f>
        <v>https://otvet.mail.ru/technics/</v>
      </c>
      <c r="R2965" t="s">
        <v>295</v>
      </c>
      <c r="S2965" t="s">
        <v>125</v>
      </c>
      <c r="AM2965" t="s">
        <v>129</v>
      </c>
      <c r="AN2965" t="s">
        <v>130</v>
      </c>
      <c r="AP2965" t="s">
        <v>41</v>
      </c>
      <c r="AZ2965" t="s">
        <v>51</v>
      </c>
      <c r="BA2965" t="s">
        <v>52</v>
      </c>
      <c r="BL2965" t="s">
        <v>63</v>
      </c>
    </row>
    <row r="2966" spans="1:69" x14ac:dyDescent="0.2">
      <c r="A2966" t="s">
        <v>10081</v>
      </c>
      <c r="B2966" t="s">
        <v>2575</v>
      </c>
      <c r="C2966" t="s">
        <v>10233</v>
      </c>
      <c r="D2966" t="s">
        <v>204</v>
      </c>
      <c r="E2966" t="s">
        <v>10234</v>
      </c>
      <c r="F2966" t="s">
        <v>180</v>
      </c>
      <c r="G2966" t="str">
        <f>HYPERLINK("https://play.google.com/store/apps/details?id=ru.iflex.android.a3colortv&amp;reviewId=gp:AOqpTOHiQaSh0CvKJ8l3Z0G0i45P4-l8l_UnqJ8bvBWFnC8lSxNR_07QojrpS440ejJmNSWmVZTjiJQbCewCfQ")</f>
        <v>https://play.google.com/store/apps/details?id=ru.iflex.android.a3colortv&amp;reviewId=gp:AOqpTOHiQaSh0CvKJ8l3Z0G0i45P4-l8l_UnqJ8bvBWFnC8lSxNR_07QojrpS440ejJmNSWmVZTjiJQbCewCfQ</v>
      </c>
      <c r="H2966" t="s">
        <v>119</v>
      </c>
      <c r="I2966" t="s">
        <v>10235</v>
      </c>
      <c r="J2966" t="str">
        <f>HYPERLINK("https://plus.google.com/112481314159008217766")</f>
        <v>https://plus.google.com/112481314159008217766</v>
      </c>
      <c r="L2966" t="s">
        <v>121</v>
      </c>
      <c r="N2966" t="s">
        <v>207</v>
      </c>
      <c r="O2966" t="s">
        <v>204</v>
      </c>
      <c r="P2966" t="str">
        <f>HYPERLINK("https://play.google.com/store/apps/details?id=ru.iflex.android.a3colortv&amp;hl=ru")</f>
        <v>https://play.google.com/store/apps/details?id=ru.iflex.android.a3colortv&amp;hl=ru</v>
      </c>
      <c r="R2966" t="s">
        <v>184</v>
      </c>
      <c r="S2966" t="s">
        <v>125</v>
      </c>
      <c r="W2966">
        <v>0</v>
      </c>
      <c r="X2966">
        <v>0</v>
      </c>
      <c r="AH2966">
        <v>4</v>
      </c>
      <c r="AM2966" t="s">
        <v>129</v>
      </c>
      <c r="AN2966" t="s">
        <v>130</v>
      </c>
      <c r="AP2966" t="s">
        <v>41</v>
      </c>
      <c r="AU2966" t="s">
        <v>46</v>
      </c>
      <c r="AZ2966" t="s">
        <v>51</v>
      </c>
      <c r="BA2966" t="s">
        <v>52</v>
      </c>
      <c r="BQ2966" t="s">
        <v>68</v>
      </c>
    </row>
    <row r="2967" spans="1:69" x14ac:dyDescent="0.2">
      <c r="A2967" t="s">
        <v>10081</v>
      </c>
      <c r="B2967" t="s">
        <v>7464</v>
      </c>
      <c r="C2967" t="s">
        <v>10039</v>
      </c>
      <c r="D2967" t="s">
        <v>10040</v>
      </c>
      <c r="E2967" t="s">
        <v>10236</v>
      </c>
      <c r="F2967" t="s">
        <v>180</v>
      </c>
      <c r="G2967" t="str">
        <f>HYPERLINK("https://otvet.mail.ru/answer/1993479405")</f>
        <v>https://otvet.mail.ru/answer/1993479405</v>
      </c>
      <c r="H2967" t="s">
        <v>119</v>
      </c>
      <c r="I2967" t="s">
        <v>10237</v>
      </c>
      <c r="J2967" t="str">
        <f>HYPERLINK("http://otvet.mail.ru/profile/id7598207")</f>
        <v>http://otvet.mail.ru/profile/id7598207</v>
      </c>
      <c r="L2967" t="s">
        <v>121</v>
      </c>
      <c r="N2967" t="s">
        <v>690</v>
      </c>
      <c r="O2967" t="s">
        <v>7252</v>
      </c>
      <c r="P2967" t="str">
        <f>HYPERLINK("https://otvet.mail.ru/technics/")</f>
        <v>https://otvet.mail.ru/technics/</v>
      </c>
      <c r="R2967" t="s">
        <v>295</v>
      </c>
      <c r="S2967" t="s">
        <v>125</v>
      </c>
      <c r="AM2967" t="s">
        <v>129</v>
      </c>
      <c r="AN2967" t="s">
        <v>130</v>
      </c>
      <c r="AP2967" t="s">
        <v>41</v>
      </c>
      <c r="AZ2967" t="s">
        <v>51</v>
      </c>
      <c r="BA2967" t="s">
        <v>52</v>
      </c>
      <c r="BL2967" t="s">
        <v>63</v>
      </c>
    </row>
    <row r="2968" spans="1:69" x14ac:dyDescent="0.2">
      <c r="A2968" t="s">
        <v>10081</v>
      </c>
      <c r="B2968" t="s">
        <v>1527</v>
      </c>
      <c r="C2968" t="s">
        <v>10039</v>
      </c>
      <c r="D2968" t="s">
        <v>10040</v>
      </c>
      <c r="E2968" t="s">
        <v>10238</v>
      </c>
      <c r="F2968" t="s">
        <v>180</v>
      </c>
      <c r="G2968" t="str">
        <f>HYPERLINK("https://otvet.mail.ru/question/225475175")</f>
        <v>https://otvet.mail.ru/question/225475175</v>
      </c>
      <c r="H2968" t="s">
        <v>119</v>
      </c>
      <c r="I2968" t="s">
        <v>10232</v>
      </c>
      <c r="J2968" t="str">
        <f>HYPERLINK("http://otvet.mail.ru/profile/id284786968")</f>
        <v>http://otvet.mail.ru/profile/id284786968</v>
      </c>
      <c r="N2968" t="s">
        <v>690</v>
      </c>
      <c r="O2968" t="s">
        <v>7252</v>
      </c>
      <c r="P2968" t="str">
        <f>HYPERLINK("https://otvet.mail.ru/technics/")</f>
        <v>https://otvet.mail.ru/technics/</v>
      </c>
      <c r="R2968" t="s">
        <v>295</v>
      </c>
      <c r="S2968" t="s">
        <v>125</v>
      </c>
      <c r="AM2968" t="s">
        <v>129</v>
      </c>
      <c r="AN2968" t="s">
        <v>130</v>
      </c>
      <c r="AP2968" t="s">
        <v>41</v>
      </c>
      <c r="AU2968" t="s">
        <v>46</v>
      </c>
      <c r="AW2968" t="s">
        <v>48</v>
      </c>
      <c r="BA2968" t="s">
        <v>52</v>
      </c>
      <c r="BE2968" t="s">
        <v>56</v>
      </c>
      <c r="BL2968" t="s">
        <v>63</v>
      </c>
    </row>
    <row r="2969" spans="1:69" x14ac:dyDescent="0.2">
      <c r="A2969" t="s">
        <v>10081</v>
      </c>
      <c r="B2969" t="s">
        <v>3468</v>
      </c>
      <c r="C2969" t="s">
        <v>10239</v>
      </c>
      <c r="D2969" t="s">
        <v>3046</v>
      </c>
      <c r="E2969" t="s">
        <v>10240</v>
      </c>
      <c r="F2969" t="s">
        <v>118</v>
      </c>
      <c r="G2969" t="str">
        <f>HYPERLINK("https://vk.com/wall-61101621_254540?reply=254561")</f>
        <v>https://vk.com/wall-61101621_254540?reply=254561</v>
      </c>
      <c r="H2969" t="s">
        <v>181</v>
      </c>
      <c r="I2969" t="s">
        <v>5114</v>
      </c>
      <c r="J2969" t="str">
        <f>HYPERLINK("http://vk.com/id365357670")</f>
        <v>http://vk.com/id365357670</v>
      </c>
      <c r="K2969">
        <v>8</v>
      </c>
      <c r="L2969" t="s">
        <v>121</v>
      </c>
      <c r="M2969">
        <v>30</v>
      </c>
      <c r="N2969" t="s">
        <v>122</v>
      </c>
      <c r="O2969" t="s">
        <v>160</v>
      </c>
      <c r="P2969" t="str">
        <f>HYPERLINK("http://vk.com/club61101621")</f>
        <v>http://vk.com/club61101621</v>
      </c>
      <c r="Q2969">
        <v>21119</v>
      </c>
      <c r="R2969" t="s">
        <v>124</v>
      </c>
      <c r="S2969" t="s">
        <v>125</v>
      </c>
      <c r="T2969" t="s">
        <v>5115</v>
      </c>
      <c r="U2969" t="s">
        <v>5116</v>
      </c>
      <c r="AM2969" t="s">
        <v>129</v>
      </c>
      <c r="AN2969" t="s">
        <v>130</v>
      </c>
      <c r="AP2969" t="s">
        <v>41</v>
      </c>
      <c r="AU2969" t="s">
        <v>46</v>
      </c>
      <c r="AZ2969" t="s">
        <v>51</v>
      </c>
      <c r="BA2969" t="s">
        <v>52</v>
      </c>
    </row>
    <row r="2970" spans="1:69" x14ac:dyDescent="0.2">
      <c r="A2970" t="s">
        <v>10081</v>
      </c>
      <c r="B2970" t="s">
        <v>7121</v>
      </c>
      <c r="C2970" t="s">
        <v>10241</v>
      </c>
      <c r="D2970" t="s">
        <v>10242</v>
      </c>
      <c r="E2970" t="s">
        <v>10243</v>
      </c>
      <c r="F2970" t="s">
        <v>118</v>
      </c>
      <c r="G2970" t="str">
        <f>HYPERLINK("https://www.youtube.com/watch?v=fQ9vzQtZPKg&amp;lc=UgwY88F42OdLD_jJ0RF4AaABAg")</f>
        <v>https://www.youtube.com/watch?v=fQ9vzQtZPKg&amp;lc=UgwY88F42OdLD_jJ0RF4AaABAg</v>
      </c>
      <c r="H2970" t="s">
        <v>181</v>
      </c>
      <c r="I2970" t="s">
        <v>10244</v>
      </c>
      <c r="J2970" t="str">
        <f>HYPERLINK("https://www.youtube.com/channel/UC0fj1CEcT79_GEw7xxTln8w")</f>
        <v>https://www.youtube.com/channel/UC0fj1CEcT79_GEw7xxTln8w</v>
      </c>
      <c r="K2970">
        <v>1</v>
      </c>
      <c r="L2970" t="s">
        <v>151</v>
      </c>
      <c r="N2970" t="s">
        <v>248</v>
      </c>
      <c r="O2970" t="s">
        <v>5564</v>
      </c>
      <c r="P2970" t="str">
        <f>HYPERLINK("https://www.youtube.com/channel/UCTUx4EVcZIIKPG517num88g")</f>
        <v>https://www.youtube.com/channel/UCTUx4EVcZIIKPG517num88g</v>
      </c>
      <c r="Q2970">
        <v>2430</v>
      </c>
      <c r="R2970" t="s">
        <v>124</v>
      </c>
      <c r="S2970" t="s">
        <v>125</v>
      </c>
      <c r="W2970">
        <v>0</v>
      </c>
      <c r="X2970">
        <v>0</v>
      </c>
      <c r="AE2970">
        <v>0</v>
      </c>
      <c r="AM2970" t="s">
        <v>129</v>
      </c>
      <c r="AN2970" t="s">
        <v>130</v>
      </c>
      <c r="AP2970" t="s">
        <v>41</v>
      </c>
      <c r="AU2970" t="s">
        <v>46</v>
      </c>
      <c r="AZ2970" t="s">
        <v>51</v>
      </c>
      <c r="BA2970" t="s">
        <v>52</v>
      </c>
      <c r="BK2970" t="s">
        <v>62</v>
      </c>
      <c r="BL2970" t="s">
        <v>63</v>
      </c>
    </row>
    <row r="2971" spans="1:69" x14ac:dyDescent="0.2">
      <c r="A2971" t="s">
        <v>10081</v>
      </c>
      <c r="B2971" t="s">
        <v>2600</v>
      </c>
      <c r="C2971" t="s">
        <v>10245</v>
      </c>
      <c r="D2971" t="s">
        <v>129</v>
      </c>
      <c r="E2971" t="s">
        <v>10246</v>
      </c>
      <c r="F2971" t="s">
        <v>180</v>
      </c>
      <c r="G2971" t="str">
        <f>HYPERLINK("https://vk.com/wall-16861_598286")</f>
        <v>https://vk.com/wall-16861_598286</v>
      </c>
      <c r="H2971" t="s">
        <v>228</v>
      </c>
      <c r="I2971" t="s">
        <v>10247</v>
      </c>
      <c r="J2971" t="str">
        <f>HYPERLINK("http://vk.com/id13798270")</f>
        <v>http://vk.com/id13798270</v>
      </c>
      <c r="K2971">
        <v>465</v>
      </c>
      <c r="L2971" t="s">
        <v>151</v>
      </c>
      <c r="N2971" t="s">
        <v>122</v>
      </c>
      <c r="O2971" t="s">
        <v>10248</v>
      </c>
      <c r="P2971" t="str">
        <f>HYPERLINK("http://vk.com/club16861")</f>
        <v>http://vk.com/club16861</v>
      </c>
      <c r="Q2971">
        <v>21725</v>
      </c>
      <c r="R2971" t="s">
        <v>124</v>
      </c>
      <c r="S2971" t="s">
        <v>125</v>
      </c>
      <c r="T2971" t="s">
        <v>137</v>
      </c>
      <c r="U2971" t="s">
        <v>137</v>
      </c>
      <c r="AM2971" t="s">
        <v>129</v>
      </c>
      <c r="AN2971" t="s">
        <v>130</v>
      </c>
      <c r="AP2971" t="s">
        <v>41</v>
      </c>
      <c r="AW2971" t="s">
        <v>48</v>
      </c>
      <c r="AZ2971" t="s">
        <v>51</v>
      </c>
      <c r="BA2971" t="s">
        <v>52</v>
      </c>
    </row>
    <row r="2972" spans="1:69" x14ac:dyDescent="0.2">
      <c r="A2972" t="s">
        <v>10081</v>
      </c>
      <c r="B2972" t="s">
        <v>1015</v>
      </c>
      <c r="C2972" t="s">
        <v>10249</v>
      </c>
      <c r="D2972" t="s">
        <v>10250</v>
      </c>
      <c r="E2972" t="s">
        <v>10251</v>
      </c>
      <c r="F2972" t="s">
        <v>118</v>
      </c>
      <c r="G2972" t="str">
        <f>HYPERLINK("https://ok.ru/group/51085510115462/topic/153363912107398#MTYyNTY1Njk0NDc5MTotOTY4NzoxNjI1NjU2OTQ0NzkxOjE1MzM2MzkxMjEwNzM5ODox")</f>
        <v>https://ok.ru/group/51085510115462/topic/153363912107398#MTYyNTY1Njk0NDc5MTotOTY4NzoxNjI1NjU2OTQ0NzkxOjE1MzM2MzkxMjEwNzM5ODox</v>
      </c>
      <c r="H2972" t="s">
        <v>119</v>
      </c>
      <c r="I2972" t="s">
        <v>175</v>
      </c>
      <c r="J2972" t="str">
        <f>HYPERLINK("https://ok.ru/group/51085510115462")</f>
        <v>https://ok.ru/group/51085510115462</v>
      </c>
      <c r="K2972">
        <v>94768</v>
      </c>
      <c r="L2972" t="s">
        <v>340</v>
      </c>
      <c r="N2972" t="s">
        <v>347</v>
      </c>
      <c r="O2972" t="s">
        <v>175</v>
      </c>
      <c r="P2972" t="str">
        <f>HYPERLINK("https://ok.ru/group/51085510115462")</f>
        <v>https://ok.ru/group/51085510115462</v>
      </c>
      <c r="Q2972">
        <v>94768</v>
      </c>
      <c r="R2972" t="s">
        <v>124</v>
      </c>
      <c r="W2972">
        <v>0</v>
      </c>
      <c r="X2972">
        <v>0</v>
      </c>
      <c r="AM2972" t="s">
        <v>129</v>
      </c>
      <c r="AN2972" t="s">
        <v>130</v>
      </c>
      <c r="BI2972" t="s">
        <v>60</v>
      </c>
    </row>
    <row r="2973" spans="1:69" x14ac:dyDescent="0.2">
      <c r="A2973" t="s">
        <v>10081</v>
      </c>
      <c r="B2973" t="s">
        <v>10252</v>
      </c>
      <c r="C2973" t="s">
        <v>10253</v>
      </c>
      <c r="D2973" t="s">
        <v>10059</v>
      </c>
      <c r="E2973" t="s">
        <v>10254</v>
      </c>
      <c r="F2973" t="s">
        <v>118</v>
      </c>
      <c r="G2973" t="str">
        <f>HYPERLINK("https://vk.com/wall-70010161_674172?reply=674603&amp;thread=674174")</f>
        <v>https://vk.com/wall-70010161_674172?reply=674603&amp;thread=674174</v>
      </c>
      <c r="H2973" t="s">
        <v>119</v>
      </c>
      <c r="I2973" t="s">
        <v>6064</v>
      </c>
      <c r="J2973" t="str">
        <f>HYPERLINK("http://vk.com/id594710692")</f>
        <v>http://vk.com/id594710692</v>
      </c>
      <c r="K2973">
        <v>6</v>
      </c>
      <c r="L2973" t="s">
        <v>121</v>
      </c>
      <c r="M2973">
        <v>41</v>
      </c>
      <c r="N2973" t="s">
        <v>122</v>
      </c>
      <c r="O2973" t="s">
        <v>10062</v>
      </c>
      <c r="P2973" t="str">
        <f>HYPERLINK("http://vk.com/club70010161")</f>
        <v>http://vk.com/club70010161</v>
      </c>
      <c r="Q2973">
        <v>19314</v>
      </c>
      <c r="R2973" t="s">
        <v>124</v>
      </c>
      <c r="S2973" t="s">
        <v>125</v>
      </c>
      <c r="T2973" t="s">
        <v>667</v>
      </c>
      <c r="U2973" t="s">
        <v>10255</v>
      </c>
      <c r="AM2973" t="s">
        <v>129</v>
      </c>
      <c r="AN2973" t="s">
        <v>130</v>
      </c>
      <c r="AP2973" t="s">
        <v>41</v>
      </c>
      <c r="AT2973" t="s">
        <v>45</v>
      </c>
      <c r="AZ2973" t="s">
        <v>51</v>
      </c>
      <c r="BA2973" t="s">
        <v>52</v>
      </c>
    </row>
    <row r="2974" spans="1:69" x14ac:dyDescent="0.2">
      <c r="A2974" t="s">
        <v>10081</v>
      </c>
      <c r="B2974" t="s">
        <v>1604</v>
      </c>
      <c r="C2974" t="s">
        <v>10256</v>
      </c>
      <c r="D2974" t="s">
        <v>10257</v>
      </c>
      <c r="E2974" t="s">
        <v>10258</v>
      </c>
      <c r="F2974" t="s">
        <v>118</v>
      </c>
      <c r="G2974" t="str">
        <f>HYPERLINK("https://vk.com/wall-106889396_1011457?reply=1011771&amp;thread=1011536")</f>
        <v>https://vk.com/wall-106889396_1011457?reply=1011771&amp;thread=1011536</v>
      </c>
      <c r="H2974" t="s">
        <v>119</v>
      </c>
      <c r="I2974" t="s">
        <v>6064</v>
      </c>
      <c r="J2974" t="str">
        <f>HYPERLINK("http://vk.com/id594710692")</f>
        <v>http://vk.com/id594710692</v>
      </c>
      <c r="K2974">
        <v>6</v>
      </c>
      <c r="L2974" t="s">
        <v>121</v>
      </c>
      <c r="M2974">
        <v>41</v>
      </c>
      <c r="N2974" t="s">
        <v>122</v>
      </c>
      <c r="O2974" t="s">
        <v>10259</v>
      </c>
      <c r="P2974" t="str">
        <f>HYPERLINK("http://vk.com/club106889396")</f>
        <v>http://vk.com/club106889396</v>
      </c>
      <c r="Q2974">
        <v>30808</v>
      </c>
      <c r="R2974" t="s">
        <v>124</v>
      </c>
      <c r="S2974" t="s">
        <v>125</v>
      </c>
      <c r="T2974" t="s">
        <v>2225</v>
      </c>
      <c r="U2974" t="s">
        <v>2861</v>
      </c>
      <c r="AM2974" t="s">
        <v>129</v>
      </c>
      <c r="AN2974" t="s">
        <v>130</v>
      </c>
      <c r="AP2974" t="s">
        <v>41</v>
      </c>
      <c r="AT2974" t="s">
        <v>45</v>
      </c>
      <c r="AX2974" t="s">
        <v>49</v>
      </c>
      <c r="AZ2974" t="s">
        <v>51</v>
      </c>
      <c r="BB2974" t="s">
        <v>53</v>
      </c>
    </row>
    <row r="2975" spans="1:69" x14ac:dyDescent="0.2">
      <c r="A2975" t="s">
        <v>10081</v>
      </c>
      <c r="B2975" t="s">
        <v>1604</v>
      </c>
      <c r="C2975" t="s">
        <v>10256</v>
      </c>
      <c r="D2975" t="s">
        <v>10059</v>
      </c>
      <c r="E2975" t="s">
        <v>10260</v>
      </c>
      <c r="F2975" t="s">
        <v>118</v>
      </c>
      <c r="G2975" t="str">
        <f>HYPERLINK("https://vk.com/wall-70010161_674172?reply=674602&amp;thread=674173")</f>
        <v>https://vk.com/wall-70010161_674172?reply=674602&amp;thread=674173</v>
      </c>
      <c r="H2975" t="s">
        <v>119</v>
      </c>
      <c r="I2975" t="s">
        <v>6064</v>
      </c>
      <c r="J2975" t="str">
        <f>HYPERLINK("http://vk.com/id594710692")</f>
        <v>http://vk.com/id594710692</v>
      </c>
      <c r="K2975">
        <v>6</v>
      </c>
      <c r="L2975" t="s">
        <v>121</v>
      </c>
      <c r="M2975">
        <v>41</v>
      </c>
      <c r="N2975" t="s">
        <v>122</v>
      </c>
      <c r="O2975" t="s">
        <v>10062</v>
      </c>
      <c r="P2975" t="str">
        <f>HYPERLINK("http://vk.com/club70010161")</f>
        <v>http://vk.com/club70010161</v>
      </c>
      <c r="Q2975">
        <v>19314</v>
      </c>
      <c r="R2975" t="s">
        <v>124</v>
      </c>
      <c r="S2975" t="s">
        <v>125</v>
      </c>
      <c r="T2975" t="s">
        <v>667</v>
      </c>
      <c r="U2975" t="s">
        <v>10255</v>
      </c>
      <c r="AM2975" t="s">
        <v>129</v>
      </c>
      <c r="AN2975" t="s">
        <v>130</v>
      </c>
      <c r="AP2975" t="s">
        <v>41</v>
      </c>
      <c r="AW2975" t="s">
        <v>48</v>
      </c>
      <c r="AZ2975" t="s">
        <v>51</v>
      </c>
      <c r="BA2975" t="s">
        <v>52</v>
      </c>
      <c r="BM2975" t="s">
        <v>64</v>
      </c>
    </row>
    <row r="2976" spans="1:69" x14ac:dyDescent="0.2">
      <c r="A2976" t="s">
        <v>10081</v>
      </c>
      <c r="B2976" t="s">
        <v>4333</v>
      </c>
      <c r="C2976" t="s">
        <v>10261</v>
      </c>
      <c r="D2976" t="s">
        <v>8502</v>
      </c>
      <c r="E2976" t="s">
        <v>10262</v>
      </c>
      <c r="F2976" t="s">
        <v>118</v>
      </c>
      <c r="G2976" t="str">
        <f>HYPERLINK("https://ok.ru/group/53318809747546/topic/153423195103322#MTYyNTY1NjQyNDM2OTotNjk5OToxNjI1NjU2NDI0MzY5OjE1MzQyMzE5NTEwMzMyMjox")</f>
        <v>https://ok.ru/group/53318809747546/topic/153423195103322#MTYyNTY1NjQyNDM2OTotNjk5OToxNjI1NjU2NDI0MzY5OjE1MzQyMzE5NTEwMzMyMjox</v>
      </c>
      <c r="H2976" t="s">
        <v>181</v>
      </c>
      <c r="I2976" t="s">
        <v>6070</v>
      </c>
      <c r="J2976" t="str">
        <f>HYPERLINK("https://ok.ru/profile/594192112660")</f>
        <v>https://ok.ru/profile/594192112660</v>
      </c>
      <c r="K2976">
        <v>15</v>
      </c>
      <c r="L2976" t="s">
        <v>151</v>
      </c>
      <c r="M2976">
        <v>41</v>
      </c>
      <c r="N2976" t="s">
        <v>347</v>
      </c>
      <c r="O2976" t="s">
        <v>8505</v>
      </c>
      <c r="P2976" t="str">
        <f>HYPERLINK("https://ok.ru/group/53318809747546")</f>
        <v>https://ok.ru/group/53318809747546</v>
      </c>
      <c r="Q2976">
        <v>16788</v>
      </c>
      <c r="R2976" t="s">
        <v>124</v>
      </c>
      <c r="S2976" t="s">
        <v>125</v>
      </c>
      <c r="T2976" t="s">
        <v>364</v>
      </c>
      <c r="U2976" t="s">
        <v>2610</v>
      </c>
      <c r="W2976">
        <v>0</v>
      </c>
      <c r="X2976">
        <v>0</v>
      </c>
      <c r="AM2976" t="s">
        <v>129</v>
      </c>
      <c r="AN2976" t="s">
        <v>130</v>
      </c>
      <c r="AP2976" t="s">
        <v>41</v>
      </c>
      <c r="AZ2976" t="s">
        <v>51</v>
      </c>
      <c r="BA2976" t="s">
        <v>52</v>
      </c>
      <c r="BL2976" t="s">
        <v>63</v>
      </c>
    </row>
    <row r="2977" spans="1:69" x14ac:dyDescent="0.2">
      <c r="A2977" t="s">
        <v>10081</v>
      </c>
      <c r="B2977" t="s">
        <v>4335</v>
      </c>
      <c r="C2977" t="s">
        <v>10263</v>
      </c>
      <c r="D2977" t="s">
        <v>10264</v>
      </c>
      <c r="E2977" t="s">
        <v>10265</v>
      </c>
      <c r="F2977" t="s">
        <v>118</v>
      </c>
      <c r="G2977" t="str">
        <f>HYPERLINK("https://vk.com/topic-130980056_34519975?post=2001")</f>
        <v>https://vk.com/topic-130980056_34519975?post=2001</v>
      </c>
      <c r="H2977" t="s">
        <v>119</v>
      </c>
      <c r="I2977" t="s">
        <v>10266</v>
      </c>
      <c r="J2977" t="str">
        <f>HYPERLINK("http://vk.com/id426554035")</f>
        <v>http://vk.com/id426554035</v>
      </c>
      <c r="K2977">
        <v>32</v>
      </c>
      <c r="L2977" t="s">
        <v>151</v>
      </c>
      <c r="N2977" t="s">
        <v>122</v>
      </c>
      <c r="O2977" t="s">
        <v>10267</v>
      </c>
      <c r="P2977" t="str">
        <f>HYPERLINK("http://vk.com/club130980056")</f>
        <v>http://vk.com/club130980056</v>
      </c>
      <c r="Q2977">
        <v>9382</v>
      </c>
      <c r="R2977" t="s">
        <v>124</v>
      </c>
      <c r="S2977" t="s">
        <v>125</v>
      </c>
      <c r="AM2977" t="s">
        <v>129</v>
      </c>
      <c r="AN2977" t="s">
        <v>130</v>
      </c>
      <c r="AP2977" t="s">
        <v>41</v>
      </c>
      <c r="AY2977" t="s">
        <v>50</v>
      </c>
      <c r="AZ2977" t="s">
        <v>51</v>
      </c>
      <c r="BA2977" t="s">
        <v>52</v>
      </c>
    </row>
    <row r="2978" spans="1:69" x14ac:dyDescent="0.2">
      <c r="A2978" t="s">
        <v>10081</v>
      </c>
      <c r="B2978" t="s">
        <v>3141</v>
      </c>
      <c r="C2978" t="s">
        <v>10268</v>
      </c>
      <c r="D2978" t="s">
        <v>204</v>
      </c>
      <c r="E2978" t="s">
        <v>10269</v>
      </c>
      <c r="F2978" t="s">
        <v>180</v>
      </c>
      <c r="G2978" t="str">
        <f>HYPERLINK("https://play.google.com/store/apps/details?id=ru.iflex.android.a3colortv&amp;reviewId=gp:AOqpTOE5ah92rDaBVqSHYB-TgXZFpmWCtMXFp_V8GZuYHD-WXaT_ouYY5f1ftZioRHnEZxumUjB50G3xOP0Oog")</f>
        <v>https://play.google.com/store/apps/details?id=ru.iflex.android.a3colortv&amp;reviewId=gp:AOqpTOE5ah92rDaBVqSHYB-TgXZFpmWCtMXFp_V8GZuYHD-WXaT_ouYY5f1ftZioRHnEZxumUjB50G3xOP0Oog</v>
      </c>
      <c r="H2978" t="s">
        <v>181</v>
      </c>
      <c r="I2978" t="s">
        <v>10270</v>
      </c>
      <c r="J2978" t="str">
        <f>HYPERLINK("https://plus.google.com/101685960546104433690")</f>
        <v>https://plus.google.com/101685960546104433690</v>
      </c>
      <c r="L2978" t="s">
        <v>151</v>
      </c>
      <c r="N2978" t="s">
        <v>207</v>
      </c>
      <c r="O2978" t="s">
        <v>204</v>
      </c>
      <c r="P2978" t="str">
        <f>HYPERLINK("https://play.google.com/store/apps/details?id=ru.iflex.android.a3colortv&amp;hl=ru")</f>
        <v>https://play.google.com/store/apps/details?id=ru.iflex.android.a3colortv&amp;hl=ru</v>
      </c>
      <c r="R2978" t="s">
        <v>184</v>
      </c>
      <c r="S2978" t="s">
        <v>125</v>
      </c>
      <c r="W2978">
        <v>0</v>
      </c>
      <c r="X2978">
        <v>0</v>
      </c>
      <c r="AH2978">
        <v>5</v>
      </c>
      <c r="AM2978" t="s">
        <v>129</v>
      </c>
      <c r="AN2978" t="s">
        <v>130</v>
      </c>
      <c r="AP2978" t="s">
        <v>41</v>
      </c>
      <c r="AZ2978" t="s">
        <v>51</v>
      </c>
      <c r="BA2978" t="s">
        <v>52</v>
      </c>
      <c r="BP2978" t="s">
        <v>67</v>
      </c>
      <c r="BQ2978" t="s">
        <v>68</v>
      </c>
    </row>
    <row r="2979" spans="1:69" x14ac:dyDescent="0.2">
      <c r="A2979" t="s">
        <v>10081</v>
      </c>
      <c r="B2979" t="s">
        <v>2088</v>
      </c>
      <c r="C2979" t="s">
        <v>10271</v>
      </c>
      <c r="D2979" t="s">
        <v>129</v>
      </c>
      <c r="E2979" t="s">
        <v>10272</v>
      </c>
      <c r="F2979" t="s">
        <v>180</v>
      </c>
      <c r="G2979" t="str">
        <f>HYPERLINK("https://vk.com/wall-66464944_336130")</f>
        <v>https://vk.com/wall-66464944_336130</v>
      </c>
      <c r="H2979" t="s">
        <v>119</v>
      </c>
      <c r="I2979" t="s">
        <v>10273</v>
      </c>
      <c r="J2979" t="str">
        <f>HYPERLINK("http://vk.com/club66464944")</f>
        <v>http://vk.com/club66464944</v>
      </c>
      <c r="K2979">
        <v>11753</v>
      </c>
      <c r="L2979" t="s">
        <v>340</v>
      </c>
      <c r="N2979" t="s">
        <v>122</v>
      </c>
      <c r="O2979" t="s">
        <v>10273</v>
      </c>
      <c r="P2979" t="str">
        <f>HYPERLINK("http://vk.com/club66464944")</f>
        <v>http://vk.com/club66464944</v>
      </c>
      <c r="Q2979">
        <v>11753</v>
      </c>
      <c r="R2979" t="s">
        <v>124</v>
      </c>
      <c r="S2979" t="s">
        <v>125</v>
      </c>
      <c r="T2979" t="s">
        <v>627</v>
      </c>
      <c r="U2979" t="s">
        <v>10274</v>
      </c>
      <c r="W2979">
        <v>3</v>
      </c>
      <c r="X2979">
        <v>3</v>
      </c>
      <c r="AE2979">
        <v>11</v>
      </c>
      <c r="AF2979">
        <v>0</v>
      </c>
      <c r="AG2979">
        <v>3501</v>
      </c>
      <c r="AJ2979" t="s">
        <v>588</v>
      </c>
      <c r="AK2979" t="s">
        <v>453</v>
      </c>
      <c r="AL2979" t="str">
        <f>HYPERLINK("https://sun9-74.userapi.com/impg/nWlNQrAeydPAjg2VKOXWzfqAyU4We3v3AfYeHA/da2PaicSoBM.jpg?size=1600x721&amp;quality=96&amp;sign=9e0ab73c6361ecd9cebfc2bd737c94fd&amp;c_uniq_tag=oYDktiZodfljLMGRbXO5tr8GscXbAYH15L0QyPs2qCM&amp;type=album")</f>
        <v>https://sun9-74.userapi.com/impg/nWlNQrAeydPAjg2VKOXWzfqAyU4We3v3AfYeHA/da2PaicSoBM.jpg?size=1600x721&amp;quality=96&amp;sign=9e0ab73c6361ecd9cebfc2bd737c94fd&amp;c_uniq_tag=oYDktiZodfljLMGRbXO5tr8GscXbAYH15L0QyPs2qCM&amp;type=album</v>
      </c>
      <c r="AM2979" t="s">
        <v>129</v>
      </c>
      <c r="AN2979" t="s">
        <v>130</v>
      </c>
      <c r="AP2979" t="s">
        <v>41</v>
      </c>
      <c r="AZ2979" t="s">
        <v>51</v>
      </c>
      <c r="BA2979" t="s">
        <v>52</v>
      </c>
      <c r="BL2979" t="s">
        <v>63</v>
      </c>
      <c r="BM2979" t="s">
        <v>64</v>
      </c>
      <c r="BN2979" t="s">
        <v>65</v>
      </c>
    </row>
    <row r="2980" spans="1:69" x14ac:dyDescent="0.2">
      <c r="A2980" t="s">
        <v>10081</v>
      </c>
      <c r="B2980" t="s">
        <v>5252</v>
      </c>
      <c r="C2980" t="s">
        <v>10275</v>
      </c>
      <c r="D2980" t="s">
        <v>10276</v>
      </c>
      <c r="E2980" t="s">
        <v>10277</v>
      </c>
      <c r="F2980" t="s">
        <v>118</v>
      </c>
      <c r="G2980" t="str">
        <f>HYPERLINK("https://vk.com/wall-133290_115525?reply=115740")</f>
        <v>https://vk.com/wall-133290_115525?reply=115740</v>
      </c>
      <c r="H2980" t="s">
        <v>181</v>
      </c>
      <c r="I2980" t="s">
        <v>10278</v>
      </c>
      <c r="J2980" t="str">
        <f>HYPERLINK("http://vk.com/id430865")</f>
        <v>http://vk.com/id430865</v>
      </c>
      <c r="K2980">
        <v>113</v>
      </c>
      <c r="L2980" t="s">
        <v>151</v>
      </c>
      <c r="M2980">
        <v>63</v>
      </c>
      <c r="N2980" t="s">
        <v>122</v>
      </c>
      <c r="O2980" t="s">
        <v>10279</v>
      </c>
      <c r="P2980" t="str">
        <f>HYPERLINK("http://vk.com/club133290")</f>
        <v>http://vk.com/club133290</v>
      </c>
      <c r="Q2980">
        <v>10536</v>
      </c>
      <c r="R2980" t="s">
        <v>124</v>
      </c>
      <c r="S2980" t="s">
        <v>125</v>
      </c>
      <c r="T2980" t="s">
        <v>137</v>
      </c>
      <c r="U2980" t="s">
        <v>137</v>
      </c>
      <c r="AM2980" t="s">
        <v>129</v>
      </c>
      <c r="AN2980" t="s">
        <v>130</v>
      </c>
      <c r="AP2980" t="s">
        <v>41</v>
      </c>
      <c r="AX2980" t="s">
        <v>49</v>
      </c>
      <c r="AZ2980" t="s">
        <v>51</v>
      </c>
      <c r="BD2980" t="s">
        <v>55</v>
      </c>
    </row>
    <row r="2981" spans="1:69" x14ac:dyDescent="0.2">
      <c r="A2981" t="s">
        <v>10081</v>
      </c>
      <c r="B2981" t="s">
        <v>6819</v>
      </c>
      <c r="C2981" t="s">
        <v>5345</v>
      </c>
      <c r="D2981" t="s">
        <v>2572</v>
      </c>
      <c r="E2981" t="s">
        <v>10280</v>
      </c>
      <c r="F2981" t="s">
        <v>180</v>
      </c>
      <c r="G2981" t="str">
        <f>HYPERLINK("https://www.ozon.ru/context/detail/id/258848407/#57828391")</f>
        <v>https://www.ozon.ru/context/detail/id/258848407/#57828391</v>
      </c>
      <c r="H2981" t="s">
        <v>181</v>
      </c>
      <c r="I2981" t="s">
        <v>7507</v>
      </c>
      <c r="J2981" t="str">
        <f>HYPERLINK("https://www.ozon.ru/context/client_opinion/ClientGuid/97cf4730-d902-486b-8604-5fa6ac20467c/")</f>
        <v>https://www.ozon.ru/context/client_opinion/ClientGuid/97cf4730-d902-486b-8604-5fa6ac20467c/</v>
      </c>
      <c r="L2981" t="s">
        <v>151</v>
      </c>
      <c r="N2981" t="s">
        <v>183</v>
      </c>
      <c r="O2981" t="s">
        <v>2572</v>
      </c>
      <c r="P2981" t="str">
        <f>HYPERLINK("https://www.ozon.ru/context/detail/id/258848407/")</f>
        <v>https://www.ozon.ru/context/detail/id/258848407/</v>
      </c>
      <c r="R2981" t="s">
        <v>184</v>
      </c>
      <c r="S2981" t="s">
        <v>125</v>
      </c>
      <c r="W2981">
        <v>0</v>
      </c>
      <c r="X2981">
        <v>0</v>
      </c>
      <c r="AH2981">
        <v>5</v>
      </c>
      <c r="AM2981" t="s">
        <v>129</v>
      </c>
      <c r="AN2981" t="s">
        <v>130</v>
      </c>
      <c r="AP2981" t="s">
        <v>41</v>
      </c>
      <c r="AT2981" t="s">
        <v>45</v>
      </c>
      <c r="AZ2981" t="s">
        <v>51</v>
      </c>
      <c r="BA2981" t="s">
        <v>52</v>
      </c>
    </row>
    <row r="2982" spans="1:69" x14ac:dyDescent="0.2">
      <c r="A2982" t="s">
        <v>10081</v>
      </c>
      <c r="B2982" t="s">
        <v>2646</v>
      </c>
      <c r="C2982" t="s">
        <v>10281</v>
      </c>
      <c r="D2982" t="s">
        <v>9804</v>
      </c>
      <c r="E2982" t="s">
        <v>10282</v>
      </c>
      <c r="F2982" t="s">
        <v>118</v>
      </c>
      <c r="G2982" t="str">
        <f>HYPERLINK("https://vk.com/wall-22935147_368183?reply=368221")</f>
        <v>https://vk.com/wall-22935147_368183?reply=368221</v>
      </c>
      <c r="H2982" t="s">
        <v>119</v>
      </c>
      <c r="I2982" t="s">
        <v>564</v>
      </c>
      <c r="J2982" t="str">
        <f>HYPERLINK("http://vk.com/id362607601")</f>
        <v>http://vk.com/id362607601</v>
      </c>
      <c r="K2982">
        <v>266</v>
      </c>
      <c r="L2982" t="s">
        <v>121</v>
      </c>
      <c r="N2982" t="s">
        <v>122</v>
      </c>
      <c r="O2982" t="s">
        <v>1093</v>
      </c>
      <c r="P2982" t="str">
        <f>HYPERLINK("http://vk.com/club22935147")</f>
        <v>http://vk.com/club22935147</v>
      </c>
      <c r="Q2982">
        <v>8943</v>
      </c>
      <c r="R2982" t="s">
        <v>124</v>
      </c>
      <c r="S2982" t="s">
        <v>125</v>
      </c>
      <c r="T2982" t="s">
        <v>169</v>
      </c>
      <c r="U2982" t="s">
        <v>169</v>
      </c>
      <c r="W2982">
        <v>0</v>
      </c>
      <c r="X2982">
        <v>0</v>
      </c>
      <c r="AM2982" t="s">
        <v>129</v>
      </c>
      <c r="AN2982" t="s">
        <v>130</v>
      </c>
      <c r="AP2982" t="s">
        <v>41</v>
      </c>
      <c r="AU2982" t="s">
        <v>46</v>
      </c>
      <c r="AZ2982" t="s">
        <v>51</v>
      </c>
      <c r="BA2982" t="s">
        <v>52</v>
      </c>
    </row>
    <row r="2983" spans="1:69" x14ac:dyDescent="0.2">
      <c r="A2983" t="s">
        <v>10081</v>
      </c>
      <c r="B2983" t="s">
        <v>526</v>
      </c>
      <c r="C2983" t="s">
        <v>10283</v>
      </c>
      <c r="D2983" t="s">
        <v>10284</v>
      </c>
      <c r="E2983" t="s">
        <v>10285</v>
      </c>
      <c r="F2983" t="s">
        <v>180</v>
      </c>
      <c r="G2983" t="str">
        <f>HYPERLINK("https://otvet.mail.ru/answer/1993470391")</f>
        <v>https://otvet.mail.ru/answer/1993470391</v>
      </c>
      <c r="H2983" t="s">
        <v>119</v>
      </c>
      <c r="I2983" t="s">
        <v>10286</v>
      </c>
      <c r="J2983" t="str">
        <f>HYPERLINK("http://otvet.mail.ru/profile/id203807229")</f>
        <v>http://otvet.mail.ru/profile/id203807229</v>
      </c>
      <c r="L2983" t="s">
        <v>121</v>
      </c>
      <c r="N2983" t="s">
        <v>690</v>
      </c>
      <c r="O2983" t="s">
        <v>7252</v>
      </c>
      <c r="P2983" t="str">
        <f>HYPERLINK("https://otvet.mail.ru/technics/")</f>
        <v>https://otvet.mail.ru/technics/</v>
      </c>
      <c r="R2983" t="s">
        <v>295</v>
      </c>
      <c r="S2983" t="s">
        <v>125</v>
      </c>
      <c r="AM2983" t="s">
        <v>129</v>
      </c>
      <c r="AN2983" t="s">
        <v>130</v>
      </c>
      <c r="AP2983" t="s">
        <v>41</v>
      </c>
      <c r="AT2983" t="s">
        <v>45</v>
      </c>
      <c r="AZ2983" t="s">
        <v>51</v>
      </c>
      <c r="BA2983" t="s">
        <v>52</v>
      </c>
      <c r="BL2983" t="s">
        <v>63</v>
      </c>
    </row>
    <row r="2984" spans="1:69" x14ac:dyDescent="0.2">
      <c r="A2984" t="s">
        <v>10081</v>
      </c>
      <c r="B2984" t="s">
        <v>1083</v>
      </c>
      <c r="C2984" t="s">
        <v>10287</v>
      </c>
      <c r="D2984" t="s">
        <v>204</v>
      </c>
      <c r="E2984" t="s">
        <v>10288</v>
      </c>
      <c r="F2984" t="s">
        <v>180</v>
      </c>
      <c r="G2984" t="str">
        <f>HYPERLINK("https://play.google.com/store/apps/details?id=ru.iflex.android.a3colortv&amp;reviewId=gp:AOqpTOFtLJV93Dd7N3-DloGQwQncaapRu2EPjZPklyGxAwtk3-_NAKLBpjL2-pD7zFsBQld5z6tNOnRNMQpqdA")</f>
        <v>https://play.google.com/store/apps/details?id=ru.iflex.android.a3colortv&amp;reviewId=gp:AOqpTOFtLJV93Dd7N3-DloGQwQncaapRu2EPjZPklyGxAwtk3-_NAKLBpjL2-pD7zFsBQld5z6tNOnRNMQpqdA</v>
      </c>
      <c r="H2984" t="s">
        <v>119</v>
      </c>
      <c r="I2984" t="s">
        <v>10289</v>
      </c>
      <c r="J2984" t="str">
        <f>HYPERLINK("https://plus.google.com/115126396764096759890")</f>
        <v>https://plus.google.com/115126396764096759890</v>
      </c>
      <c r="L2984" t="s">
        <v>121</v>
      </c>
      <c r="N2984" t="s">
        <v>207</v>
      </c>
      <c r="O2984" t="s">
        <v>204</v>
      </c>
      <c r="P2984" t="str">
        <f>HYPERLINK("https://play.google.com/store/apps/details?id=ru.iflex.android.a3colortv&amp;hl=ru")</f>
        <v>https://play.google.com/store/apps/details?id=ru.iflex.android.a3colortv&amp;hl=ru</v>
      </c>
      <c r="R2984" t="s">
        <v>184</v>
      </c>
      <c r="S2984" t="s">
        <v>125</v>
      </c>
      <c r="W2984">
        <v>0</v>
      </c>
      <c r="X2984">
        <v>0</v>
      </c>
      <c r="AH2984">
        <v>3</v>
      </c>
      <c r="AM2984" t="s">
        <v>129</v>
      </c>
      <c r="AN2984" t="s">
        <v>130</v>
      </c>
      <c r="AP2984" t="s">
        <v>41</v>
      </c>
      <c r="AZ2984" t="s">
        <v>51</v>
      </c>
      <c r="BA2984" t="s">
        <v>52</v>
      </c>
      <c r="BQ2984" t="s">
        <v>68</v>
      </c>
    </row>
    <row r="2985" spans="1:69" x14ac:dyDescent="0.2">
      <c r="A2985" t="s">
        <v>10081</v>
      </c>
      <c r="B2985" t="s">
        <v>1633</v>
      </c>
      <c r="C2985" t="s">
        <v>10290</v>
      </c>
      <c r="D2985" t="s">
        <v>9143</v>
      </c>
      <c r="E2985" t="s">
        <v>10291</v>
      </c>
      <c r="F2985" t="s">
        <v>118</v>
      </c>
      <c r="G2985" t="str">
        <f>HYPERLINK("https://vk.com/wall-41485889_769288?reply=769306")</f>
        <v>https://vk.com/wall-41485889_769288?reply=769306</v>
      </c>
      <c r="H2985" t="s">
        <v>119</v>
      </c>
      <c r="I2985" t="s">
        <v>7206</v>
      </c>
      <c r="J2985" t="str">
        <f>HYPERLINK("http://vk.com/id27553020")</f>
        <v>http://vk.com/id27553020</v>
      </c>
      <c r="K2985">
        <v>989</v>
      </c>
      <c r="L2985" t="s">
        <v>121</v>
      </c>
      <c r="N2985" t="s">
        <v>122</v>
      </c>
      <c r="O2985" t="s">
        <v>9146</v>
      </c>
      <c r="P2985" t="str">
        <f>HYPERLINK("http://vk.com/club41485889")</f>
        <v>http://vk.com/club41485889</v>
      </c>
      <c r="Q2985">
        <v>608853</v>
      </c>
      <c r="R2985" t="s">
        <v>124</v>
      </c>
      <c r="S2985" t="s">
        <v>125</v>
      </c>
      <c r="AM2985" t="s">
        <v>129</v>
      </c>
      <c r="AN2985" t="s">
        <v>130</v>
      </c>
      <c r="AP2985" t="s">
        <v>41</v>
      </c>
      <c r="AY2985" t="s">
        <v>50</v>
      </c>
      <c r="AZ2985" t="s">
        <v>51</v>
      </c>
      <c r="BB2985" t="s">
        <v>53</v>
      </c>
      <c r="BM2985" t="s">
        <v>64</v>
      </c>
    </row>
    <row r="2986" spans="1:69" x14ac:dyDescent="0.2">
      <c r="A2986" t="s">
        <v>10081</v>
      </c>
      <c r="B2986" t="s">
        <v>4825</v>
      </c>
      <c r="C2986" t="s">
        <v>10292</v>
      </c>
      <c r="D2986" t="s">
        <v>175</v>
      </c>
      <c r="E2986" t="s">
        <v>10293</v>
      </c>
      <c r="F2986" t="s">
        <v>180</v>
      </c>
      <c r="G2986" t="str">
        <f>HYPERLINK("https://yandex.ru/maps/org/106531825302#fPiKOPXJ6afRbV330u6NzHxChhIexh")</f>
        <v>https://yandex.ru/maps/org/106531825302#fPiKOPXJ6afRbV330u6NzHxChhIexh</v>
      </c>
      <c r="H2986" t="s">
        <v>181</v>
      </c>
      <c r="I2986" t="s">
        <v>7764</v>
      </c>
      <c r="J2986" t="str">
        <f>HYPERLINK("https://yandex.ru/user/4dtk54q1nxcqz952jrpfet8emg")</f>
        <v>https://yandex.ru/user/4dtk54q1nxcqz952jrpfet8emg</v>
      </c>
      <c r="L2986" t="s">
        <v>121</v>
      </c>
      <c r="N2986" t="s">
        <v>236</v>
      </c>
      <c r="O2986" t="s">
        <v>175</v>
      </c>
      <c r="P2986" t="str">
        <f>HYPERLINK("https://yandex.ru/maps/org/106531825302")</f>
        <v>https://yandex.ru/maps/org/106531825302</v>
      </c>
      <c r="R2986" t="s">
        <v>184</v>
      </c>
      <c r="S2986" t="s">
        <v>125</v>
      </c>
      <c r="T2986" t="s">
        <v>494</v>
      </c>
      <c r="U2986" t="s">
        <v>10294</v>
      </c>
      <c r="W2986">
        <v>0</v>
      </c>
      <c r="X2986">
        <v>0</v>
      </c>
      <c r="AH2986">
        <v>5</v>
      </c>
      <c r="AM2986" t="s">
        <v>129</v>
      </c>
      <c r="AN2986" t="s">
        <v>130</v>
      </c>
      <c r="AP2986" t="s">
        <v>41</v>
      </c>
      <c r="AX2986" t="s">
        <v>49</v>
      </c>
      <c r="AZ2986" t="s">
        <v>51</v>
      </c>
      <c r="BD2986" t="s">
        <v>55</v>
      </c>
    </row>
    <row r="2987" spans="1:69" x14ac:dyDescent="0.2">
      <c r="A2987" t="s">
        <v>10081</v>
      </c>
      <c r="B2987" t="s">
        <v>10295</v>
      </c>
      <c r="C2987" t="s">
        <v>10287</v>
      </c>
      <c r="D2987" t="s">
        <v>204</v>
      </c>
      <c r="E2987" t="s">
        <v>10296</v>
      </c>
      <c r="F2987" t="s">
        <v>180</v>
      </c>
      <c r="G2987" t="str">
        <f>HYPERLINK("https://play.google.com/store/apps/details?id=ru.iflex.android.a3colortv&amp;reviewId=gp:AOqpTOFd506huvzhc6wZi1QCC_CNGPtmbTMAQ58QboopgNe_m5kNOUPqyeusgOYOzqxnVDKXbICO0PSz3IVBYg")</f>
        <v>https://play.google.com/store/apps/details?id=ru.iflex.android.a3colortv&amp;reviewId=gp:AOqpTOFd506huvzhc6wZi1QCC_CNGPtmbTMAQ58QboopgNe_m5kNOUPqyeusgOYOzqxnVDKXbICO0PSz3IVBYg</v>
      </c>
      <c r="H2987" t="s">
        <v>181</v>
      </c>
      <c r="I2987" t="s">
        <v>10297</v>
      </c>
      <c r="J2987" t="str">
        <f>HYPERLINK("https://plus.google.com/111793877216656007895")</f>
        <v>https://plus.google.com/111793877216656007895</v>
      </c>
      <c r="N2987" t="s">
        <v>207</v>
      </c>
      <c r="O2987" t="s">
        <v>204</v>
      </c>
      <c r="P2987" t="str">
        <f>HYPERLINK("https://play.google.com/store/apps/details?id=ru.iflex.android.a3colortv&amp;hl=ru")</f>
        <v>https://play.google.com/store/apps/details?id=ru.iflex.android.a3colortv&amp;hl=ru</v>
      </c>
      <c r="R2987" t="s">
        <v>184</v>
      </c>
      <c r="S2987" t="s">
        <v>125</v>
      </c>
      <c r="W2987">
        <v>0</v>
      </c>
      <c r="X2987">
        <v>0</v>
      </c>
      <c r="AH2987">
        <v>5</v>
      </c>
      <c r="AM2987" t="s">
        <v>129</v>
      </c>
      <c r="AN2987" t="s">
        <v>130</v>
      </c>
      <c r="AP2987" t="s">
        <v>41</v>
      </c>
      <c r="AZ2987" t="s">
        <v>51</v>
      </c>
      <c r="BA2987" t="s">
        <v>52</v>
      </c>
      <c r="BQ2987" t="s">
        <v>68</v>
      </c>
    </row>
    <row r="2988" spans="1:69" x14ac:dyDescent="0.2">
      <c r="A2988" t="s">
        <v>10081</v>
      </c>
      <c r="B2988" t="s">
        <v>1659</v>
      </c>
      <c r="C2988" t="s">
        <v>10298</v>
      </c>
      <c r="D2988" t="s">
        <v>1727</v>
      </c>
      <c r="E2988" t="s">
        <v>10299</v>
      </c>
      <c r="F2988" t="s">
        <v>180</v>
      </c>
      <c r="G2988" t="str">
        <f>HYPERLINK("https://www.ozon.ru/context/detail/id/248909251/#57819062")</f>
        <v>https://www.ozon.ru/context/detail/id/248909251/#57819062</v>
      </c>
      <c r="H2988" t="s">
        <v>119</v>
      </c>
      <c r="I2988" t="s">
        <v>10300</v>
      </c>
      <c r="J2988" t="str">
        <f>HYPERLINK("https://www.ozon.ru/context/client_opinion/ClientGuid/45651039-b764-4076-9073-b0cbc021cd36/")</f>
        <v>https://www.ozon.ru/context/client_opinion/ClientGuid/45651039-b764-4076-9073-b0cbc021cd36/</v>
      </c>
      <c r="L2988" t="s">
        <v>121</v>
      </c>
      <c r="N2988" t="s">
        <v>183</v>
      </c>
      <c r="O2988" t="s">
        <v>1729</v>
      </c>
      <c r="P2988" t="str">
        <f>HYPERLINK("https://www.ozon.ru/context/detail/id/248909251/")</f>
        <v>https://www.ozon.ru/context/detail/id/248909251/</v>
      </c>
      <c r="R2988" t="s">
        <v>184</v>
      </c>
      <c r="S2988" t="s">
        <v>125</v>
      </c>
      <c r="W2988">
        <v>0</v>
      </c>
      <c r="X2988">
        <v>0</v>
      </c>
      <c r="AH2988">
        <v>1</v>
      </c>
      <c r="AM2988" t="s">
        <v>129</v>
      </c>
      <c r="AN2988" t="s">
        <v>130</v>
      </c>
      <c r="AP2988" t="s">
        <v>41</v>
      </c>
      <c r="AT2988" t="s">
        <v>45</v>
      </c>
      <c r="AZ2988" t="s">
        <v>51</v>
      </c>
      <c r="BB2988" t="s">
        <v>53</v>
      </c>
      <c r="BL2988" t="s">
        <v>63</v>
      </c>
    </row>
    <row r="2989" spans="1:69" x14ac:dyDescent="0.2">
      <c r="A2989" t="s">
        <v>10081</v>
      </c>
      <c r="B2989" t="s">
        <v>541</v>
      </c>
      <c r="C2989" t="s">
        <v>10283</v>
      </c>
      <c r="D2989" t="s">
        <v>10284</v>
      </c>
      <c r="E2989" t="s">
        <v>10301</v>
      </c>
      <c r="F2989" t="s">
        <v>180</v>
      </c>
      <c r="G2989" t="str">
        <f>HYPERLINK("https://otvet.mail.ru/answer/1993468218")</f>
        <v>https://otvet.mail.ru/answer/1993468218</v>
      </c>
      <c r="H2989" t="s">
        <v>119</v>
      </c>
      <c r="I2989" t="s">
        <v>10237</v>
      </c>
      <c r="J2989" t="str">
        <f>HYPERLINK("http://otvet.mail.ru/profile/id7598207")</f>
        <v>http://otvet.mail.ru/profile/id7598207</v>
      </c>
      <c r="L2989" t="s">
        <v>121</v>
      </c>
      <c r="N2989" t="s">
        <v>690</v>
      </c>
      <c r="O2989" t="s">
        <v>7252</v>
      </c>
      <c r="P2989" t="str">
        <f>HYPERLINK("https://otvet.mail.ru/technics/")</f>
        <v>https://otvet.mail.ru/technics/</v>
      </c>
      <c r="R2989" t="s">
        <v>295</v>
      </c>
      <c r="S2989" t="s">
        <v>125</v>
      </c>
      <c r="AM2989" t="s">
        <v>129</v>
      </c>
      <c r="AN2989" t="s">
        <v>130</v>
      </c>
      <c r="AP2989" t="s">
        <v>41</v>
      </c>
      <c r="AW2989" t="s">
        <v>48</v>
      </c>
      <c r="AZ2989" t="s">
        <v>51</v>
      </c>
      <c r="BA2989" t="s">
        <v>52</v>
      </c>
      <c r="BL2989" t="s">
        <v>63</v>
      </c>
    </row>
    <row r="2990" spans="1:69" x14ac:dyDescent="0.2">
      <c r="A2990" t="s">
        <v>10081</v>
      </c>
      <c r="B2990" t="s">
        <v>545</v>
      </c>
      <c r="C2990" t="s">
        <v>10283</v>
      </c>
      <c r="D2990" t="s">
        <v>10284</v>
      </c>
      <c r="E2990" t="s">
        <v>10302</v>
      </c>
      <c r="F2990" t="s">
        <v>180</v>
      </c>
      <c r="G2990" t="str">
        <f>HYPERLINK("https://otvet.mail.ru/answer/1993468171")</f>
        <v>https://otvet.mail.ru/answer/1993468171</v>
      </c>
      <c r="H2990" t="s">
        <v>228</v>
      </c>
      <c r="I2990" t="s">
        <v>2256</v>
      </c>
      <c r="J2990" t="str">
        <f>HYPERLINK("http://otvet.mail.ru/profile/id89470189")</f>
        <v>http://otvet.mail.ru/profile/id89470189</v>
      </c>
      <c r="L2990" t="s">
        <v>121</v>
      </c>
      <c r="N2990" t="s">
        <v>690</v>
      </c>
      <c r="O2990" t="s">
        <v>7252</v>
      </c>
      <c r="P2990" t="str">
        <f>HYPERLINK("https://otvet.mail.ru/technics/")</f>
        <v>https://otvet.mail.ru/technics/</v>
      </c>
      <c r="R2990" t="s">
        <v>295</v>
      </c>
      <c r="S2990" t="s">
        <v>125</v>
      </c>
      <c r="AM2990" t="s">
        <v>129</v>
      </c>
      <c r="AN2990" t="s">
        <v>130</v>
      </c>
      <c r="AP2990" t="s">
        <v>41</v>
      </c>
      <c r="AZ2990" t="s">
        <v>51</v>
      </c>
      <c r="BA2990" t="s">
        <v>52</v>
      </c>
      <c r="BL2990" t="s">
        <v>63</v>
      </c>
    </row>
    <row r="2991" spans="1:69" x14ac:dyDescent="0.2">
      <c r="A2991" t="s">
        <v>10081</v>
      </c>
      <c r="B2991" t="s">
        <v>6478</v>
      </c>
      <c r="C2991" t="s">
        <v>10283</v>
      </c>
      <c r="D2991" t="s">
        <v>10284</v>
      </c>
      <c r="E2991" t="s">
        <v>10303</v>
      </c>
      <c r="F2991" t="s">
        <v>180</v>
      </c>
      <c r="G2991" t="str">
        <f>HYPERLINK("https://otvet.mail.ru/answer/1993468153")</f>
        <v>https://otvet.mail.ru/answer/1993468153</v>
      </c>
      <c r="H2991" t="s">
        <v>119</v>
      </c>
      <c r="I2991" t="s">
        <v>10304</v>
      </c>
      <c r="J2991" t="str">
        <f>HYPERLINK("http://otvet.mail.ru/profile/id77006122")</f>
        <v>http://otvet.mail.ru/profile/id77006122</v>
      </c>
      <c r="N2991" t="s">
        <v>690</v>
      </c>
      <c r="O2991" t="s">
        <v>7252</v>
      </c>
      <c r="P2991" t="str">
        <f>HYPERLINK("https://otvet.mail.ru/technics/")</f>
        <v>https://otvet.mail.ru/technics/</v>
      </c>
      <c r="R2991" t="s">
        <v>295</v>
      </c>
      <c r="S2991" t="s">
        <v>125</v>
      </c>
      <c r="AM2991" t="s">
        <v>129</v>
      </c>
      <c r="AN2991" t="s">
        <v>130</v>
      </c>
      <c r="AP2991" t="s">
        <v>41</v>
      </c>
      <c r="AY2991" t="s">
        <v>50</v>
      </c>
      <c r="AZ2991" t="s">
        <v>51</v>
      </c>
      <c r="BA2991" t="s">
        <v>52</v>
      </c>
    </row>
    <row r="2992" spans="1:69" x14ac:dyDescent="0.2">
      <c r="A2992" t="s">
        <v>10081</v>
      </c>
      <c r="B2992" t="s">
        <v>550</v>
      </c>
      <c r="C2992" t="s">
        <v>10305</v>
      </c>
      <c r="D2992" t="s">
        <v>10284</v>
      </c>
      <c r="E2992" t="s">
        <v>10284</v>
      </c>
      <c r="F2992" t="s">
        <v>180</v>
      </c>
      <c r="G2992" t="str">
        <f>HYPERLINK("https://otvet.mail.ru/question/225473036")</f>
        <v>https://otvet.mail.ru/question/225473036</v>
      </c>
      <c r="H2992" t="s">
        <v>119</v>
      </c>
      <c r="I2992" t="s">
        <v>10306</v>
      </c>
      <c r="J2992" t="str">
        <f>HYPERLINK("http://otvet.mail.ru/profile/id266612509")</f>
        <v>http://otvet.mail.ru/profile/id266612509</v>
      </c>
      <c r="L2992" t="s">
        <v>121</v>
      </c>
      <c r="N2992" t="s">
        <v>690</v>
      </c>
      <c r="O2992" t="s">
        <v>7252</v>
      </c>
      <c r="P2992" t="str">
        <f>HYPERLINK("https://otvet.mail.ru/technics/")</f>
        <v>https://otvet.mail.ru/technics/</v>
      </c>
      <c r="R2992" t="s">
        <v>295</v>
      </c>
      <c r="S2992" t="s">
        <v>125</v>
      </c>
      <c r="AJ2992" t="s">
        <v>10307</v>
      </c>
      <c r="AK2992" t="s">
        <v>129</v>
      </c>
      <c r="AL2992" t="str">
        <f>HYPERLINK("https://otvet.imgsmail.ru/download/266612509_4c4d0ceb198d4ed802671410d975995f_800.jpg")</f>
        <v>https://otvet.imgsmail.ru/download/266612509_4c4d0ceb198d4ed802671410d975995f_800.jpg</v>
      </c>
      <c r="AM2992" t="s">
        <v>129</v>
      </c>
      <c r="AN2992" t="s">
        <v>130</v>
      </c>
      <c r="AP2992" t="s">
        <v>41</v>
      </c>
      <c r="AZ2992" t="s">
        <v>51</v>
      </c>
      <c r="BA2992" t="s">
        <v>52</v>
      </c>
      <c r="BL2992" t="s">
        <v>63</v>
      </c>
    </row>
    <row r="2993" spans="1:69" x14ac:dyDescent="0.2">
      <c r="A2993" t="s">
        <v>10081</v>
      </c>
      <c r="B2993" t="s">
        <v>1678</v>
      </c>
      <c r="C2993" t="s">
        <v>10308</v>
      </c>
      <c r="D2993" t="s">
        <v>10309</v>
      </c>
      <c r="E2993" t="s">
        <v>10310</v>
      </c>
      <c r="F2993" t="s">
        <v>118</v>
      </c>
      <c r="G2993" t="str">
        <f>HYPERLINK("https://telegram.me/sharatvorg/23048")</f>
        <v>https://telegram.me/sharatvorg/23048</v>
      </c>
      <c r="H2993" t="s">
        <v>119</v>
      </c>
      <c r="I2993" t="s">
        <v>10311</v>
      </c>
      <c r="J2993" t="str">
        <f>HYPERLINK("https://telegram.me/gregon888")</f>
        <v>https://telegram.me/gregon888</v>
      </c>
      <c r="N2993" t="s">
        <v>143</v>
      </c>
      <c r="O2993" t="s">
        <v>10312</v>
      </c>
      <c r="P2993" t="str">
        <f>HYPERLINK("https://telegram.me/sharatvorg")</f>
        <v>https://telegram.me/sharatvorg</v>
      </c>
      <c r="Q2993">
        <v>469</v>
      </c>
      <c r="R2993" t="s">
        <v>145</v>
      </c>
      <c r="AM2993" t="s">
        <v>129</v>
      </c>
      <c r="AN2993" t="s">
        <v>130</v>
      </c>
      <c r="AP2993" t="s">
        <v>41</v>
      </c>
      <c r="AU2993" t="s">
        <v>46</v>
      </c>
      <c r="AW2993" t="s">
        <v>48</v>
      </c>
      <c r="AZ2993" t="s">
        <v>51</v>
      </c>
      <c r="BA2993" t="s">
        <v>52</v>
      </c>
    </row>
    <row r="2994" spans="1:69" x14ac:dyDescent="0.2">
      <c r="A2994" t="s">
        <v>10081</v>
      </c>
      <c r="B2994" t="s">
        <v>1686</v>
      </c>
      <c r="C2994" t="s">
        <v>10313</v>
      </c>
      <c r="D2994" t="s">
        <v>10059</v>
      </c>
      <c r="E2994" t="s">
        <v>10314</v>
      </c>
      <c r="F2994" t="s">
        <v>118</v>
      </c>
      <c r="G2994" t="str">
        <f>HYPERLINK("https://vk.com/wall-70010161_674172?reply=674565")</f>
        <v>https://vk.com/wall-70010161_674172?reply=674565</v>
      </c>
      <c r="H2994" t="s">
        <v>119</v>
      </c>
      <c r="I2994" t="s">
        <v>10315</v>
      </c>
      <c r="J2994" t="str">
        <f>HYPERLINK("http://vk.com/id297951289")</f>
        <v>http://vk.com/id297951289</v>
      </c>
      <c r="K2994">
        <v>166</v>
      </c>
      <c r="L2994" t="s">
        <v>121</v>
      </c>
      <c r="N2994" t="s">
        <v>122</v>
      </c>
      <c r="O2994" t="s">
        <v>10062</v>
      </c>
      <c r="P2994" t="str">
        <f>HYPERLINK("http://vk.com/club70010161")</f>
        <v>http://vk.com/club70010161</v>
      </c>
      <c r="Q2994">
        <v>19314</v>
      </c>
      <c r="R2994" t="s">
        <v>124</v>
      </c>
      <c r="S2994" t="s">
        <v>125</v>
      </c>
      <c r="T2994" t="s">
        <v>667</v>
      </c>
      <c r="U2994" t="s">
        <v>668</v>
      </c>
      <c r="AM2994" t="s">
        <v>129</v>
      </c>
      <c r="AN2994" t="s">
        <v>130</v>
      </c>
      <c r="AP2994" t="s">
        <v>41</v>
      </c>
      <c r="AT2994" t="s">
        <v>45</v>
      </c>
      <c r="AY2994" t="s">
        <v>50</v>
      </c>
      <c r="AZ2994" t="s">
        <v>51</v>
      </c>
      <c r="BA2994" t="s">
        <v>52</v>
      </c>
      <c r="BL2994" t="s">
        <v>63</v>
      </c>
    </row>
    <row r="2995" spans="1:69" x14ac:dyDescent="0.2">
      <c r="A2995" t="s">
        <v>10081</v>
      </c>
      <c r="B2995" t="s">
        <v>4390</v>
      </c>
      <c r="C2995" t="s">
        <v>10316</v>
      </c>
      <c r="D2995" t="s">
        <v>175</v>
      </c>
      <c r="E2995" t="s">
        <v>10317</v>
      </c>
      <c r="F2995" t="s">
        <v>180</v>
      </c>
      <c r="G2995" t="str">
        <f>HYPERLINK("https://yandex.ru/maps/org/55878967996#vXCwc7XiaVkJ1174kLJ5PUXlyLBsElo")</f>
        <v>https://yandex.ru/maps/org/55878967996#vXCwc7XiaVkJ1174kLJ5PUXlyLBsElo</v>
      </c>
      <c r="H2995" t="s">
        <v>181</v>
      </c>
      <c r="I2995" t="s">
        <v>10318</v>
      </c>
      <c r="J2995" t="str">
        <f>HYPERLINK("https://yandex.ru/user/9f8zfwpfhxkpmt800h4gbuua84")</f>
        <v>https://yandex.ru/user/9f8zfwpfhxkpmt800h4gbuua84</v>
      </c>
      <c r="L2995" t="s">
        <v>121</v>
      </c>
      <c r="N2995" t="s">
        <v>236</v>
      </c>
      <c r="O2995" t="s">
        <v>175</v>
      </c>
      <c r="P2995" t="str">
        <f>HYPERLINK("https://yandex.ru/maps/org/55878967996")</f>
        <v>https://yandex.ru/maps/org/55878967996</v>
      </c>
      <c r="R2995" t="s">
        <v>184</v>
      </c>
      <c r="S2995" t="s">
        <v>125</v>
      </c>
      <c r="W2995">
        <v>0</v>
      </c>
      <c r="X2995">
        <v>0</v>
      </c>
      <c r="AH2995">
        <v>5</v>
      </c>
      <c r="AM2995" t="s">
        <v>129</v>
      </c>
      <c r="AN2995" t="s">
        <v>130</v>
      </c>
      <c r="AP2995" t="s">
        <v>41</v>
      </c>
      <c r="AX2995" t="s">
        <v>49</v>
      </c>
      <c r="AZ2995" t="s">
        <v>51</v>
      </c>
      <c r="BD2995" t="s">
        <v>55</v>
      </c>
    </row>
    <row r="2996" spans="1:69" x14ac:dyDescent="0.2">
      <c r="A2996" t="s">
        <v>10081</v>
      </c>
      <c r="B2996" t="s">
        <v>586</v>
      </c>
      <c r="C2996" t="s">
        <v>6454</v>
      </c>
      <c r="D2996" t="s">
        <v>4458</v>
      </c>
      <c r="E2996" t="s">
        <v>10319</v>
      </c>
      <c r="F2996" t="s">
        <v>180</v>
      </c>
      <c r="G2996" t="str">
        <f>HYPERLINK("https://www.ozon.ru/context/detail/id/180483130/#57805655")</f>
        <v>https://www.ozon.ru/context/detail/id/180483130/#57805655</v>
      </c>
      <c r="H2996" t="s">
        <v>228</v>
      </c>
      <c r="I2996" t="s">
        <v>10320</v>
      </c>
      <c r="J2996" t="str">
        <f>HYPERLINK("https://www.ozon.ru/context/client_opinion/ClientGuid/3c0d2efd-a82e-4871-8b99-ecf9f60e1cc5/")</f>
        <v>https://www.ozon.ru/context/client_opinion/ClientGuid/3c0d2efd-a82e-4871-8b99-ecf9f60e1cc5/</v>
      </c>
      <c r="L2996" t="s">
        <v>151</v>
      </c>
      <c r="N2996" t="s">
        <v>183</v>
      </c>
      <c r="O2996" t="s">
        <v>4458</v>
      </c>
      <c r="P2996" t="str">
        <f>HYPERLINK("https://www.ozon.ru/context/detail/id/180483130/")</f>
        <v>https://www.ozon.ru/context/detail/id/180483130/</v>
      </c>
      <c r="R2996" t="s">
        <v>184</v>
      </c>
      <c r="S2996" t="s">
        <v>125</v>
      </c>
      <c r="W2996">
        <v>0</v>
      </c>
      <c r="X2996">
        <v>0</v>
      </c>
      <c r="AH2996">
        <v>2</v>
      </c>
      <c r="AM2996" t="s">
        <v>129</v>
      </c>
      <c r="AN2996" t="s">
        <v>130</v>
      </c>
      <c r="AP2996" t="s">
        <v>41</v>
      </c>
      <c r="AZ2996" t="s">
        <v>51</v>
      </c>
      <c r="BA2996" t="s">
        <v>52</v>
      </c>
      <c r="BK2996" t="s">
        <v>62</v>
      </c>
      <c r="BL2996" t="s">
        <v>63</v>
      </c>
    </row>
    <row r="2997" spans="1:69" x14ac:dyDescent="0.2">
      <c r="A2997" t="s">
        <v>10081</v>
      </c>
      <c r="B2997" t="s">
        <v>603</v>
      </c>
      <c r="C2997" t="s">
        <v>10321</v>
      </c>
      <c r="D2997" t="s">
        <v>10322</v>
      </c>
      <c r="E2997" t="s">
        <v>10323</v>
      </c>
      <c r="F2997" t="s">
        <v>118</v>
      </c>
      <c r="G2997" t="str">
        <f>HYPERLINK("https://www.youtube.com/watch?v=Idx20RFRNY0&amp;lc=UgzszX5OdtL72jCebip4AaABAg")</f>
        <v>https://www.youtube.com/watch?v=Idx20RFRNY0&amp;lc=UgzszX5OdtL72jCebip4AaABAg</v>
      </c>
      <c r="H2997" t="s">
        <v>228</v>
      </c>
      <c r="I2997" t="s">
        <v>9926</v>
      </c>
      <c r="J2997" t="str">
        <f>HYPERLINK("https://www.youtube.com/channel/UCP6rZGTd0AhRc_FFn1h1lPg")</f>
        <v>https://www.youtube.com/channel/UCP6rZGTd0AhRc_FFn1h1lPg</v>
      </c>
      <c r="K2997">
        <v>1</v>
      </c>
      <c r="N2997" t="s">
        <v>248</v>
      </c>
      <c r="O2997" t="s">
        <v>1910</v>
      </c>
      <c r="P2997" t="str">
        <f>HYPERLINK("https://www.youtube.com/channel/UCQgd9Ks9oBckRf9hadmZFdA")</f>
        <v>https://www.youtube.com/channel/UCQgd9Ks9oBckRf9hadmZFdA</v>
      </c>
      <c r="Q2997">
        <v>66700</v>
      </c>
      <c r="R2997" t="s">
        <v>124</v>
      </c>
      <c r="S2997" t="s">
        <v>125</v>
      </c>
      <c r="W2997">
        <v>1</v>
      </c>
      <c r="X2997">
        <v>1</v>
      </c>
      <c r="AE2997">
        <v>0</v>
      </c>
      <c r="AM2997" t="s">
        <v>129</v>
      </c>
      <c r="AN2997" t="s">
        <v>130</v>
      </c>
      <c r="AP2997" t="s">
        <v>41</v>
      </c>
      <c r="AU2997" t="s">
        <v>46</v>
      </c>
      <c r="AY2997" t="s">
        <v>50</v>
      </c>
      <c r="AZ2997" t="s">
        <v>51</v>
      </c>
      <c r="BA2997" t="s">
        <v>52</v>
      </c>
    </row>
    <row r="2998" spans="1:69" x14ac:dyDescent="0.2">
      <c r="A2998" t="s">
        <v>10081</v>
      </c>
      <c r="B2998" t="s">
        <v>1730</v>
      </c>
      <c r="C2998" t="s">
        <v>10324</v>
      </c>
      <c r="D2998" t="s">
        <v>204</v>
      </c>
      <c r="E2998" t="s">
        <v>10325</v>
      </c>
      <c r="F2998" t="s">
        <v>180</v>
      </c>
      <c r="G2998" t="str">
        <f>HYPERLINK("https://play.google.com/store/apps/details?id=ru.iflex.android.a3colortv&amp;reviewId=gp:AOqpTOGol42yR7P5QmI7xhR5KFZvtxxRpB-6Vu0AG6FgYnclcAt-fnvMni4xw8Be9ccEeJmRluAA1oopwxin8Q")</f>
        <v>https://play.google.com/store/apps/details?id=ru.iflex.android.a3colortv&amp;reviewId=gp:AOqpTOGol42yR7P5QmI7xhR5KFZvtxxRpB-6Vu0AG6FgYnclcAt-fnvMni4xw8Be9ccEeJmRluAA1oopwxin8Q</v>
      </c>
      <c r="H2998" t="s">
        <v>181</v>
      </c>
      <c r="I2998" t="s">
        <v>10326</v>
      </c>
      <c r="J2998" t="str">
        <f>HYPERLINK("https://plus.google.com/117294010189458107724")</f>
        <v>https://plus.google.com/117294010189458107724</v>
      </c>
      <c r="L2998" t="s">
        <v>121</v>
      </c>
      <c r="N2998" t="s">
        <v>207</v>
      </c>
      <c r="O2998" t="s">
        <v>204</v>
      </c>
      <c r="P2998" t="str">
        <f>HYPERLINK("https://play.google.com/store/apps/details?id=ru.iflex.android.a3colortv&amp;hl=ru")</f>
        <v>https://play.google.com/store/apps/details?id=ru.iflex.android.a3colortv&amp;hl=ru</v>
      </c>
      <c r="R2998" t="s">
        <v>184</v>
      </c>
      <c r="S2998" t="s">
        <v>125</v>
      </c>
      <c r="W2998">
        <v>0</v>
      </c>
      <c r="X2998">
        <v>0</v>
      </c>
      <c r="AH2998">
        <v>5</v>
      </c>
      <c r="AM2998" t="s">
        <v>129</v>
      </c>
      <c r="AN2998" t="s">
        <v>130</v>
      </c>
      <c r="AP2998" t="s">
        <v>41</v>
      </c>
      <c r="AZ2998" t="s">
        <v>51</v>
      </c>
      <c r="BA2998" t="s">
        <v>52</v>
      </c>
      <c r="BQ2998" t="s">
        <v>68</v>
      </c>
    </row>
    <row r="2999" spans="1:69" x14ac:dyDescent="0.2">
      <c r="A2999" t="s">
        <v>10081</v>
      </c>
      <c r="B2999" t="s">
        <v>629</v>
      </c>
      <c r="C2999" t="s">
        <v>10327</v>
      </c>
      <c r="D2999" t="s">
        <v>9804</v>
      </c>
      <c r="E2999" t="s">
        <v>10328</v>
      </c>
      <c r="F2999" t="s">
        <v>118</v>
      </c>
      <c r="G2999" t="str">
        <f>HYPERLINK("https://vk.com/wall-22935147_368183?reply=368220")</f>
        <v>https://vk.com/wall-22935147_368183?reply=368220</v>
      </c>
      <c r="H2999" t="s">
        <v>228</v>
      </c>
      <c r="I2999" t="s">
        <v>10329</v>
      </c>
      <c r="J2999" t="str">
        <f>HYPERLINK("http://vk.com/id178563316")</f>
        <v>http://vk.com/id178563316</v>
      </c>
      <c r="K2999">
        <v>50</v>
      </c>
      <c r="L2999" t="s">
        <v>121</v>
      </c>
      <c r="M2999">
        <v>49</v>
      </c>
      <c r="N2999" t="s">
        <v>122</v>
      </c>
      <c r="O2999" t="s">
        <v>1093</v>
      </c>
      <c r="P2999" t="str">
        <f>HYPERLINK("http://vk.com/club22935147")</f>
        <v>http://vk.com/club22935147</v>
      </c>
      <c r="Q2999">
        <v>8943</v>
      </c>
      <c r="R2999" t="s">
        <v>124</v>
      </c>
      <c r="S2999" t="s">
        <v>125</v>
      </c>
      <c r="T2999" t="s">
        <v>1365</v>
      </c>
      <c r="U2999" t="s">
        <v>10330</v>
      </c>
      <c r="W2999">
        <v>0</v>
      </c>
      <c r="X2999">
        <v>0</v>
      </c>
      <c r="AM2999" t="s">
        <v>129</v>
      </c>
      <c r="AN2999" t="s">
        <v>130</v>
      </c>
      <c r="AP2999" t="s">
        <v>41</v>
      </c>
      <c r="AU2999" t="s">
        <v>46</v>
      </c>
      <c r="AZ2999" t="s">
        <v>51</v>
      </c>
      <c r="BA2999" t="s">
        <v>52</v>
      </c>
    </row>
    <row r="3000" spans="1:69" x14ac:dyDescent="0.2">
      <c r="A3000" t="s">
        <v>10081</v>
      </c>
      <c r="B3000" t="s">
        <v>9405</v>
      </c>
      <c r="C3000" t="s">
        <v>10331</v>
      </c>
      <c r="D3000" t="s">
        <v>10332</v>
      </c>
      <c r="E3000" t="s">
        <v>10333</v>
      </c>
      <c r="F3000" t="s">
        <v>118</v>
      </c>
      <c r="G3000" t="str">
        <f>HYPERLINK("https://vk.com/wall-80416007_45233?reply=45237")</f>
        <v>https://vk.com/wall-80416007_45233?reply=45237</v>
      </c>
      <c r="H3000" t="s">
        <v>181</v>
      </c>
      <c r="I3000" t="s">
        <v>10334</v>
      </c>
      <c r="J3000" t="str">
        <f>HYPERLINK("http://vk.com/id30336579")</f>
        <v>http://vk.com/id30336579</v>
      </c>
      <c r="K3000">
        <v>46</v>
      </c>
      <c r="L3000" t="s">
        <v>151</v>
      </c>
      <c r="M3000">
        <v>68</v>
      </c>
      <c r="N3000" t="s">
        <v>122</v>
      </c>
      <c r="O3000" t="s">
        <v>10335</v>
      </c>
      <c r="P3000" t="str">
        <f>HYPERLINK("http://vk.com/club80416007")</f>
        <v>http://vk.com/club80416007</v>
      </c>
      <c r="Q3000">
        <v>4436</v>
      </c>
      <c r="R3000" t="s">
        <v>124</v>
      </c>
      <c r="S3000" t="s">
        <v>125</v>
      </c>
      <c r="T3000" t="s">
        <v>137</v>
      </c>
      <c r="U3000" t="s">
        <v>137</v>
      </c>
      <c r="AM3000" t="s">
        <v>129</v>
      </c>
      <c r="AN3000" t="s">
        <v>130</v>
      </c>
      <c r="AP3000" t="s">
        <v>41</v>
      </c>
      <c r="AZ3000" t="s">
        <v>51</v>
      </c>
      <c r="BA3000" t="s">
        <v>52</v>
      </c>
      <c r="BM3000" t="s">
        <v>64</v>
      </c>
    </row>
    <row r="3001" spans="1:69" x14ac:dyDescent="0.2">
      <c r="A3001" t="s">
        <v>10081</v>
      </c>
      <c r="B3001" t="s">
        <v>2765</v>
      </c>
      <c r="C3001" t="s">
        <v>5345</v>
      </c>
      <c r="D3001" t="s">
        <v>4519</v>
      </c>
      <c r="E3001" t="s">
        <v>10336</v>
      </c>
      <c r="F3001" t="s">
        <v>180</v>
      </c>
      <c r="G3001" t="str">
        <f>HYPERLINK("https://www.ozon.ru/context/detail/id/220489107/#57776345")</f>
        <v>https://www.ozon.ru/context/detail/id/220489107/#57776345</v>
      </c>
      <c r="H3001" t="s">
        <v>181</v>
      </c>
      <c r="I3001" t="s">
        <v>6086</v>
      </c>
      <c r="J3001" t="str">
        <f>HYPERLINK("https://www.ozon.ru/context/client_opinion/ClientGuid/aa74ab1c-ec6f-4ccd-a897-468acd2b216e/")</f>
        <v>https://www.ozon.ru/context/client_opinion/ClientGuid/aa74ab1c-ec6f-4ccd-a897-468acd2b216e/</v>
      </c>
      <c r="L3001" t="s">
        <v>121</v>
      </c>
      <c r="N3001" t="s">
        <v>183</v>
      </c>
      <c r="O3001" t="s">
        <v>4519</v>
      </c>
      <c r="P3001" t="str">
        <f>HYPERLINK("https://www.ozon.ru/context/detail/id/220489107/")</f>
        <v>https://www.ozon.ru/context/detail/id/220489107/</v>
      </c>
      <c r="R3001" t="s">
        <v>184</v>
      </c>
      <c r="S3001" t="s">
        <v>125</v>
      </c>
      <c r="W3001">
        <v>0</v>
      </c>
      <c r="X3001">
        <v>0</v>
      </c>
      <c r="AH3001">
        <v>5</v>
      </c>
      <c r="AM3001" t="s">
        <v>129</v>
      </c>
      <c r="AN3001" t="s">
        <v>130</v>
      </c>
      <c r="AP3001" t="s">
        <v>41</v>
      </c>
      <c r="AT3001" t="s">
        <v>45</v>
      </c>
      <c r="AZ3001" t="s">
        <v>51</v>
      </c>
      <c r="BA3001" t="s">
        <v>52</v>
      </c>
      <c r="BM3001" t="s">
        <v>64</v>
      </c>
    </row>
    <row r="3002" spans="1:69" x14ac:dyDescent="0.2">
      <c r="A3002" t="s">
        <v>10081</v>
      </c>
      <c r="B3002" t="s">
        <v>2770</v>
      </c>
      <c r="C3002" t="s">
        <v>10337</v>
      </c>
      <c r="D3002" t="s">
        <v>10338</v>
      </c>
      <c r="E3002" t="s">
        <v>10339</v>
      </c>
      <c r="F3002" t="s">
        <v>180</v>
      </c>
      <c r="G3002" t="str">
        <f>HYPERLINK("https://www.wildberries.ru/catalog/29264348/detail.aspx?targetUrl=ES#Comments")</f>
        <v>https://www.wildberries.ru/catalog/29264348/detail.aspx?targetUrl=ES#Comments</v>
      </c>
      <c r="H3002" t="s">
        <v>119</v>
      </c>
      <c r="I3002" t="s">
        <v>7896</v>
      </c>
      <c r="J3002" t="str">
        <f>HYPERLINK("https://www.wildberries.ru/profile/w7TDssOkw7PCu8K1wrbCscK3wrXCtsKwwrk=")</f>
        <v>https://www.wildberries.ru/profile/w7TDssOkw7PCu8K1wrbCscK3wrXCtsKwwrk=</v>
      </c>
      <c r="L3002" t="s">
        <v>121</v>
      </c>
      <c r="N3002" t="s">
        <v>534</v>
      </c>
      <c r="O3002" t="s">
        <v>10338</v>
      </c>
      <c r="P3002" t="str">
        <f>HYPERLINK("https://www.wildberries.ru/catalog/21529240/detail.aspx")</f>
        <v>https://www.wildberries.ru/catalog/21529240/detail.aspx</v>
      </c>
      <c r="R3002" t="s">
        <v>184</v>
      </c>
      <c r="S3002" t="s">
        <v>125</v>
      </c>
      <c r="W3002">
        <v>0</v>
      </c>
      <c r="X3002">
        <v>0</v>
      </c>
      <c r="AH3002">
        <v>1</v>
      </c>
      <c r="AM3002" t="s">
        <v>129</v>
      </c>
      <c r="AN3002" t="s">
        <v>130</v>
      </c>
      <c r="AP3002" t="s">
        <v>41</v>
      </c>
      <c r="AZ3002" t="s">
        <v>51</v>
      </c>
      <c r="BA3002" t="s">
        <v>52</v>
      </c>
      <c r="BL3002" t="s">
        <v>63</v>
      </c>
    </row>
    <row r="3003" spans="1:69" x14ac:dyDescent="0.2">
      <c r="A3003" t="s">
        <v>10081</v>
      </c>
      <c r="B3003" t="s">
        <v>3558</v>
      </c>
      <c r="C3003" t="s">
        <v>10324</v>
      </c>
      <c r="D3003" t="s">
        <v>204</v>
      </c>
      <c r="E3003" t="s">
        <v>10340</v>
      </c>
      <c r="F3003" t="s">
        <v>180</v>
      </c>
      <c r="G3003" t="str">
        <f>HYPERLINK("https://play.google.com/store/apps/details?id=ru.iflex.android.a3colortv&amp;reviewId=gp:AOqpTOEdDkYJ2428zDLTCz7s1qxjMLRYo27XvSAhCy2gJ1ew_rAw-xDkMR_5gKQRCQ_JAZSNyuU8MZDrmn6YnA")</f>
        <v>https://play.google.com/store/apps/details?id=ru.iflex.android.a3colortv&amp;reviewId=gp:AOqpTOEdDkYJ2428zDLTCz7s1qxjMLRYo27XvSAhCy2gJ1ew_rAw-xDkMR_5gKQRCQ_JAZSNyuU8MZDrmn6YnA</v>
      </c>
      <c r="H3003" t="s">
        <v>181</v>
      </c>
      <c r="I3003" t="s">
        <v>10341</v>
      </c>
      <c r="J3003" t="str">
        <f>HYPERLINK("https://plus.google.com/118399354422815315040")</f>
        <v>https://plus.google.com/118399354422815315040</v>
      </c>
      <c r="L3003" t="s">
        <v>121</v>
      </c>
      <c r="N3003" t="s">
        <v>207</v>
      </c>
      <c r="O3003" t="s">
        <v>204</v>
      </c>
      <c r="P3003" t="str">
        <f>HYPERLINK("https://play.google.com/store/apps/details?id=ru.iflex.android.a3colortv&amp;hl=ru")</f>
        <v>https://play.google.com/store/apps/details?id=ru.iflex.android.a3colortv&amp;hl=ru</v>
      </c>
      <c r="R3003" t="s">
        <v>184</v>
      </c>
      <c r="S3003" t="s">
        <v>125</v>
      </c>
      <c r="W3003">
        <v>0</v>
      </c>
      <c r="X3003">
        <v>0</v>
      </c>
      <c r="AH3003">
        <v>5</v>
      </c>
      <c r="AM3003" t="s">
        <v>129</v>
      </c>
      <c r="AN3003" t="s">
        <v>130</v>
      </c>
      <c r="AP3003" t="s">
        <v>41</v>
      </c>
      <c r="AZ3003" t="s">
        <v>51</v>
      </c>
      <c r="BA3003" t="s">
        <v>52</v>
      </c>
      <c r="BP3003" t="s">
        <v>67</v>
      </c>
      <c r="BQ3003" t="s">
        <v>68</v>
      </c>
    </row>
    <row r="3004" spans="1:69" x14ac:dyDescent="0.2">
      <c r="A3004" t="s">
        <v>10081</v>
      </c>
      <c r="B3004" t="s">
        <v>2187</v>
      </c>
      <c r="C3004" t="s">
        <v>10342</v>
      </c>
      <c r="D3004" t="s">
        <v>10257</v>
      </c>
      <c r="E3004" t="s">
        <v>10343</v>
      </c>
      <c r="F3004" t="s">
        <v>118</v>
      </c>
      <c r="G3004" t="str">
        <f>HYPERLINK("https://vk.com/wall-106889396_1011457?reply=1011536")</f>
        <v>https://vk.com/wall-106889396_1011457?reply=1011536</v>
      </c>
      <c r="H3004" t="s">
        <v>228</v>
      </c>
      <c r="I3004" t="s">
        <v>10344</v>
      </c>
      <c r="J3004" t="str">
        <f>HYPERLINK("http://vk.com/id470210642")</f>
        <v>http://vk.com/id470210642</v>
      </c>
      <c r="K3004">
        <v>54</v>
      </c>
      <c r="L3004" t="s">
        <v>151</v>
      </c>
      <c r="M3004">
        <v>55</v>
      </c>
      <c r="N3004" t="s">
        <v>122</v>
      </c>
      <c r="O3004" t="s">
        <v>10259</v>
      </c>
      <c r="P3004" t="str">
        <f>HYPERLINK("http://vk.com/club106889396")</f>
        <v>http://vk.com/club106889396</v>
      </c>
      <c r="Q3004">
        <v>30808</v>
      </c>
      <c r="R3004" t="s">
        <v>124</v>
      </c>
      <c r="S3004" t="s">
        <v>125</v>
      </c>
      <c r="AM3004" t="s">
        <v>129</v>
      </c>
      <c r="AN3004" t="s">
        <v>130</v>
      </c>
      <c r="AP3004" t="s">
        <v>41</v>
      </c>
      <c r="AZ3004" t="s">
        <v>51</v>
      </c>
      <c r="BA3004" t="s">
        <v>52</v>
      </c>
      <c r="BN3004" t="s">
        <v>65</v>
      </c>
    </row>
    <row r="3005" spans="1:69" x14ac:dyDescent="0.2">
      <c r="A3005" t="s">
        <v>10081</v>
      </c>
      <c r="B3005" t="s">
        <v>669</v>
      </c>
      <c r="C3005" t="s">
        <v>5601</v>
      </c>
      <c r="D3005" t="s">
        <v>4330</v>
      </c>
      <c r="E3005" t="s">
        <v>10345</v>
      </c>
      <c r="F3005" t="s">
        <v>180</v>
      </c>
      <c r="G3005" t="str">
        <f>HYPERLINK("https://www.ozon.ru/context/detail/id/218706300/#57768597")</f>
        <v>https://www.ozon.ru/context/detail/id/218706300/#57768597</v>
      </c>
      <c r="H3005" t="s">
        <v>181</v>
      </c>
      <c r="I3005" t="s">
        <v>10346</v>
      </c>
      <c r="J3005" t="str">
        <f>HYPERLINK("https://www.ozon.ru/context/client_opinion/ClientGuid/7534a3f7-3c69-43b3-973e-a981467f8636/")</f>
        <v>https://www.ozon.ru/context/client_opinion/ClientGuid/7534a3f7-3c69-43b3-973e-a981467f8636/</v>
      </c>
      <c r="L3005" t="s">
        <v>151</v>
      </c>
      <c r="N3005" t="s">
        <v>183</v>
      </c>
      <c r="O3005" t="s">
        <v>4330</v>
      </c>
      <c r="P3005" t="str">
        <f>HYPERLINK("https://www.ozon.ru/context/detail/id/218706300/")</f>
        <v>https://www.ozon.ru/context/detail/id/218706300/</v>
      </c>
      <c r="R3005" t="s">
        <v>184</v>
      </c>
      <c r="S3005" t="s">
        <v>125</v>
      </c>
      <c r="W3005">
        <v>1</v>
      </c>
      <c r="X3005">
        <v>1</v>
      </c>
      <c r="AH3005">
        <v>5</v>
      </c>
      <c r="AM3005" t="s">
        <v>129</v>
      </c>
      <c r="AN3005" t="s">
        <v>130</v>
      </c>
      <c r="AP3005" t="s">
        <v>41</v>
      </c>
      <c r="AZ3005" t="s">
        <v>51</v>
      </c>
      <c r="BA3005" t="s">
        <v>52</v>
      </c>
      <c r="BL3005" t="s">
        <v>63</v>
      </c>
    </row>
    <row r="3006" spans="1:69" x14ac:dyDescent="0.2">
      <c r="A3006" t="s">
        <v>10081</v>
      </c>
      <c r="B3006" t="s">
        <v>1790</v>
      </c>
      <c r="C3006" t="s">
        <v>10347</v>
      </c>
      <c r="D3006" t="s">
        <v>204</v>
      </c>
      <c r="E3006" t="s">
        <v>10348</v>
      </c>
      <c r="F3006" t="s">
        <v>180</v>
      </c>
      <c r="G3006" t="str">
        <f>HYPERLINK("https://play.google.com/store/apps/details?id=ru.iflex.android.a3colortv&amp;reviewId=gp:AOqpTOFt7JsPHTWZt5gR72KiVDaC2v1gk_ogqBu48hHUGIMvZWTqSkrmox3UOQuMykw8lSfQp0rIdpzf2iI87w")</f>
        <v>https://play.google.com/store/apps/details?id=ru.iflex.android.a3colortv&amp;reviewId=gp:AOqpTOFt7JsPHTWZt5gR72KiVDaC2v1gk_ogqBu48hHUGIMvZWTqSkrmox3UOQuMykw8lSfQp0rIdpzf2iI87w</v>
      </c>
      <c r="H3006" t="s">
        <v>181</v>
      </c>
      <c r="I3006" t="s">
        <v>10349</v>
      </c>
      <c r="J3006" t="str">
        <f>HYPERLINK("https://plus.google.com/108126475653536233251")</f>
        <v>https://plus.google.com/108126475653536233251</v>
      </c>
      <c r="L3006" t="s">
        <v>151</v>
      </c>
      <c r="N3006" t="s">
        <v>207</v>
      </c>
      <c r="O3006" t="s">
        <v>204</v>
      </c>
      <c r="P3006" t="str">
        <f>HYPERLINK("https://play.google.com/store/apps/details?id=ru.iflex.android.a3colortv&amp;hl=ru")</f>
        <v>https://play.google.com/store/apps/details?id=ru.iflex.android.a3colortv&amp;hl=ru</v>
      </c>
      <c r="R3006" t="s">
        <v>184</v>
      </c>
      <c r="S3006" t="s">
        <v>125</v>
      </c>
      <c r="W3006">
        <v>0</v>
      </c>
      <c r="X3006">
        <v>0</v>
      </c>
      <c r="AH3006">
        <v>5</v>
      </c>
      <c r="AM3006" t="s">
        <v>129</v>
      </c>
      <c r="AN3006" t="s">
        <v>130</v>
      </c>
      <c r="AP3006" t="s">
        <v>41</v>
      </c>
      <c r="AZ3006" t="s">
        <v>51</v>
      </c>
      <c r="BA3006" t="s">
        <v>52</v>
      </c>
      <c r="BP3006" t="s">
        <v>67</v>
      </c>
      <c r="BQ3006" t="s">
        <v>68</v>
      </c>
    </row>
    <row r="3007" spans="1:69" x14ac:dyDescent="0.2">
      <c r="A3007" t="s">
        <v>10081</v>
      </c>
      <c r="B3007" t="s">
        <v>10350</v>
      </c>
      <c r="C3007" t="s">
        <v>6984</v>
      </c>
      <c r="D3007" t="s">
        <v>3455</v>
      </c>
      <c r="E3007" t="s">
        <v>10351</v>
      </c>
      <c r="F3007" t="s">
        <v>180</v>
      </c>
      <c r="G3007" t="str">
        <f>HYPERLINK("https://www.ozon.ru/context/detail/id/223364630/#57763876")</f>
        <v>https://www.ozon.ru/context/detail/id/223364630/#57763876</v>
      </c>
      <c r="H3007" t="s">
        <v>181</v>
      </c>
      <c r="I3007" t="s">
        <v>4389</v>
      </c>
      <c r="J3007" t="str">
        <f>HYPERLINK("https://www.ozon.ru/context/client_opinion/ClientGuid/8f2f57e8-85a9-44d3-a3dd-c825e79da9b5/")</f>
        <v>https://www.ozon.ru/context/client_opinion/ClientGuid/8f2f57e8-85a9-44d3-a3dd-c825e79da9b5/</v>
      </c>
      <c r="L3007" t="s">
        <v>151</v>
      </c>
      <c r="N3007" t="s">
        <v>183</v>
      </c>
      <c r="O3007" t="s">
        <v>3455</v>
      </c>
      <c r="P3007" t="str">
        <f>HYPERLINK("https://www.ozon.ru/context/detail/id/223364630/")</f>
        <v>https://www.ozon.ru/context/detail/id/223364630/</v>
      </c>
      <c r="R3007" t="s">
        <v>184</v>
      </c>
      <c r="S3007" t="s">
        <v>125</v>
      </c>
      <c r="W3007">
        <v>1</v>
      </c>
      <c r="X3007">
        <v>1</v>
      </c>
      <c r="AH3007">
        <v>5</v>
      </c>
      <c r="AM3007" t="s">
        <v>129</v>
      </c>
      <c r="AN3007" t="s">
        <v>130</v>
      </c>
      <c r="AP3007" t="s">
        <v>41</v>
      </c>
      <c r="AT3007" t="s">
        <v>45</v>
      </c>
      <c r="AZ3007" t="s">
        <v>51</v>
      </c>
      <c r="BA3007" t="s">
        <v>52</v>
      </c>
      <c r="BM3007" t="s">
        <v>64</v>
      </c>
    </row>
    <row r="3008" spans="1:69" x14ac:dyDescent="0.2">
      <c r="A3008" t="s">
        <v>10081</v>
      </c>
      <c r="B3008" t="s">
        <v>9737</v>
      </c>
      <c r="C3008" t="s">
        <v>5594</v>
      </c>
      <c r="D3008" t="s">
        <v>7284</v>
      </c>
      <c r="E3008" t="s">
        <v>10352</v>
      </c>
      <c r="F3008" t="s">
        <v>180</v>
      </c>
      <c r="G3008" t="str">
        <f>HYPERLINK("https://www.ozon.ru/context/detail/id/223364699/#57763617")</f>
        <v>https://www.ozon.ru/context/detail/id/223364699/#57763617</v>
      </c>
      <c r="H3008" t="s">
        <v>181</v>
      </c>
      <c r="I3008" t="s">
        <v>4389</v>
      </c>
      <c r="J3008" t="str">
        <f>HYPERLINK("https://www.ozon.ru/context/client_opinion/ClientGuid/8f2f57e8-85a9-44d3-a3dd-c825e79da9b5/")</f>
        <v>https://www.ozon.ru/context/client_opinion/ClientGuid/8f2f57e8-85a9-44d3-a3dd-c825e79da9b5/</v>
      </c>
      <c r="L3008" t="s">
        <v>151</v>
      </c>
      <c r="N3008" t="s">
        <v>183</v>
      </c>
      <c r="O3008" t="s">
        <v>7287</v>
      </c>
      <c r="P3008" t="str">
        <f>HYPERLINK("https://www.ozon.ru/context/detail/id/223364699/")</f>
        <v>https://www.ozon.ru/context/detail/id/223364699/</v>
      </c>
      <c r="R3008" t="s">
        <v>184</v>
      </c>
      <c r="S3008" t="s">
        <v>125</v>
      </c>
      <c r="W3008">
        <v>0</v>
      </c>
      <c r="X3008">
        <v>0</v>
      </c>
      <c r="AH3008">
        <v>5</v>
      </c>
      <c r="AM3008" t="s">
        <v>129</v>
      </c>
      <c r="AN3008" t="s">
        <v>130</v>
      </c>
      <c r="AP3008" t="s">
        <v>41</v>
      </c>
      <c r="AT3008" t="s">
        <v>45</v>
      </c>
      <c r="AZ3008" t="s">
        <v>51</v>
      </c>
      <c r="BA3008" t="s">
        <v>52</v>
      </c>
      <c r="BM3008" t="s">
        <v>64</v>
      </c>
    </row>
    <row r="3009" spans="1:69" x14ac:dyDescent="0.2">
      <c r="A3009" t="s">
        <v>10081</v>
      </c>
      <c r="B3009" t="s">
        <v>1800</v>
      </c>
      <c r="C3009" t="s">
        <v>10353</v>
      </c>
      <c r="D3009" t="s">
        <v>10354</v>
      </c>
      <c r="E3009" t="s">
        <v>10355</v>
      </c>
      <c r="F3009" t="s">
        <v>118</v>
      </c>
      <c r="G3009" t="str">
        <f>HYPERLINK("https://vk.com/wall-61101621_254486?reply=254557&amp;thread=254500")</f>
        <v>https://vk.com/wall-61101621_254486?reply=254557&amp;thread=254500</v>
      </c>
      <c r="H3009" t="s">
        <v>119</v>
      </c>
      <c r="I3009" t="s">
        <v>1855</v>
      </c>
      <c r="J3009" t="str">
        <f>HYPERLINK("http://vk.com/id424683725")</f>
        <v>http://vk.com/id424683725</v>
      </c>
      <c r="K3009">
        <v>76</v>
      </c>
      <c r="L3009" t="s">
        <v>121</v>
      </c>
      <c r="N3009" t="s">
        <v>122</v>
      </c>
      <c r="O3009" t="s">
        <v>160</v>
      </c>
      <c r="P3009" t="str">
        <f>HYPERLINK("http://vk.com/club61101621")</f>
        <v>http://vk.com/club61101621</v>
      </c>
      <c r="Q3009">
        <v>21119</v>
      </c>
      <c r="R3009" t="s">
        <v>124</v>
      </c>
      <c r="S3009" t="s">
        <v>125</v>
      </c>
      <c r="T3009" t="s">
        <v>364</v>
      </c>
      <c r="U3009" t="s">
        <v>365</v>
      </c>
      <c r="AM3009" t="s">
        <v>129</v>
      </c>
      <c r="AN3009" t="s">
        <v>130</v>
      </c>
      <c r="AP3009" t="s">
        <v>41</v>
      </c>
      <c r="AU3009" t="s">
        <v>46</v>
      </c>
      <c r="AW3009" t="s">
        <v>48</v>
      </c>
      <c r="AZ3009" t="s">
        <v>51</v>
      </c>
      <c r="BA3009" t="s">
        <v>52</v>
      </c>
    </row>
    <row r="3010" spans="1:69" x14ac:dyDescent="0.2">
      <c r="A3010" t="s">
        <v>10081</v>
      </c>
      <c r="B3010" t="s">
        <v>10356</v>
      </c>
      <c r="C3010" t="s">
        <v>10357</v>
      </c>
      <c r="D3010" t="s">
        <v>10358</v>
      </c>
      <c r="E3010" t="s">
        <v>10359</v>
      </c>
      <c r="F3010" t="s">
        <v>118</v>
      </c>
      <c r="G3010" t="str">
        <f>HYPERLINK("https://vk.com/wall-107557859_670450?reply=670497")</f>
        <v>https://vk.com/wall-107557859_670450?reply=670497</v>
      </c>
      <c r="H3010" t="s">
        <v>119</v>
      </c>
      <c r="I3010" t="s">
        <v>10360</v>
      </c>
      <c r="J3010" t="str">
        <f>HYPERLINK("http://vk.com/id346328461")</f>
        <v>http://vk.com/id346328461</v>
      </c>
      <c r="K3010">
        <v>1</v>
      </c>
      <c r="L3010" t="s">
        <v>121</v>
      </c>
      <c r="N3010" t="s">
        <v>122</v>
      </c>
      <c r="O3010" t="s">
        <v>10361</v>
      </c>
      <c r="P3010" t="str">
        <f>HYPERLINK("http://vk.com/club107557859")</f>
        <v>http://vk.com/club107557859</v>
      </c>
      <c r="Q3010">
        <v>465889</v>
      </c>
      <c r="R3010" t="s">
        <v>124</v>
      </c>
      <c r="AM3010" t="s">
        <v>129</v>
      </c>
      <c r="AN3010" t="s">
        <v>130</v>
      </c>
      <c r="AP3010" t="s">
        <v>41</v>
      </c>
      <c r="AZ3010" t="s">
        <v>51</v>
      </c>
      <c r="BA3010" t="s">
        <v>52</v>
      </c>
      <c r="BM3010" t="s">
        <v>64</v>
      </c>
    </row>
    <row r="3011" spans="1:69" x14ac:dyDescent="0.2">
      <c r="A3011" t="s">
        <v>10081</v>
      </c>
      <c r="B3011" t="s">
        <v>10362</v>
      </c>
      <c r="C3011" t="s">
        <v>10363</v>
      </c>
      <c r="D3011" t="s">
        <v>10332</v>
      </c>
      <c r="E3011" t="s">
        <v>175</v>
      </c>
      <c r="F3011" t="s">
        <v>118</v>
      </c>
      <c r="G3011" t="str">
        <f>HYPERLINK("https://vk.com/wall-80416007_45233?reply=45235")</f>
        <v>https://vk.com/wall-80416007_45233?reply=45235</v>
      </c>
      <c r="H3011" t="s">
        <v>181</v>
      </c>
      <c r="I3011" t="s">
        <v>10364</v>
      </c>
      <c r="J3011" t="str">
        <f>HYPERLINK("http://vk.com/id133217905")</f>
        <v>http://vk.com/id133217905</v>
      </c>
      <c r="K3011">
        <v>101</v>
      </c>
      <c r="L3011" t="s">
        <v>151</v>
      </c>
      <c r="N3011" t="s">
        <v>122</v>
      </c>
      <c r="O3011" t="s">
        <v>10335</v>
      </c>
      <c r="P3011" t="str">
        <f>HYPERLINK("http://vk.com/club80416007")</f>
        <v>http://vk.com/club80416007</v>
      </c>
      <c r="Q3011">
        <v>4436</v>
      </c>
      <c r="R3011" t="s">
        <v>124</v>
      </c>
      <c r="S3011" t="s">
        <v>125</v>
      </c>
      <c r="T3011" t="s">
        <v>137</v>
      </c>
      <c r="U3011" t="s">
        <v>137</v>
      </c>
      <c r="AM3011" t="s">
        <v>129</v>
      </c>
      <c r="AN3011" t="s">
        <v>130</v>
      </c>
      <c r="AP3011" t="s">
        <v>41</v>
      </c>
      <c r="AZ3011" t="s">
        <v>51</v>
      </c>
      <c r="BA3011" t="s">
        <v>52</v>
      </c>
    </row>
    <row r="3012" spans="1:69" x14ac:dyDescent="0.2">
      <c r="A3012" t="s">
        <v>10081</v>
      </c>
      <c r="B3012" t="s">
        <v>3569</v>
      </c>
      <c r="C3012" t="s">
        <v>8447</v>
      </c>
      <c r="D3012" t="s">
        <v>3388</v>
      </c>
      <c r="E3012" t="s">
        <v>10365</v>
      </c>
      <c r="F3012" t="s">
        <v>180</v>
      </c>
      <c r="G3012" t="str">
        <f>HYPERLINK("https://www.wildberries.ru/catalog/25365834/detail.aspx?targetUrl=ES#Comments")</f>
        <v>https://www.wildberries.ru/catalog/25365834/detail.aspx?targetUrl=ES#Comments</v>
      </c>
      <c r="H3012" t="s">
        <v>181</v>
      </c>
      <c r="I3012" t="s">
        <v>6014</v>
      </c>
      <c r="J3012" t="str">
        <f>HYPERLINK("https://www.wildberries.ru/profile/w7TDssOkw7PCu8K1wrjCssKxwrDCuMK4wrY=")</f>
        <v>https://www.wildberries.ru/profile/w7TDssOkw7PCu8K1wrjCssKxwrDCuMK4wrY=</v>
      </c>
      <c r="L3012" t="s">
        <v>121</v>
      </c>
      <c r="N3012" t="s">
        <v>534</v>
      </c>
      <c r="O3012" t="s">
        <v>3388</v>
      </c>
      <c r="P3012" t="str">
        <f>HYPERLINK("https://www.wildberries.ru/catalog/18682734/detail.aspx")</f>
        <v>https://www.wildberries.ru/catalog/18682734/detail.aspx</v>
      </c>
      <c r="R3012" t="s">
        <v>184</v>
      </c>
      <c r="S3012" t="s">
        <v>125</v>
      </c>
      <c r="W3012">
        <v>1</v>
      </c>
      <c r="X3012">
        <v>1</v>
      </c>
      <c r="AH3012">
        <v>5</v>
      </c>
      <c r="AM3012" t="s">
        <v>129</v>
      </c>
      <c r="AN3012" t="s">
        <v>130</v>
      </c>
      <c r="AP3012" t="s">
        <v>41</v>
      </c>
      <c r="AT3012" t="s">
        <v>45</v>
      </c>
      <c r="AZ3012" t="s">
        <v>51</v>
      </c>
      <c r="BA3012" t="s">
        <v>52</v>
      </c>
    </row>
    <row r="3013" spans="1:69" x14ac:dyDescent="0.2">
      <c r="A3013" t="s">
        <v>10081</v>
      </c>
      <c r="B3013" t="s">
        <v>697</v>
      </c>
      <c r="C3013" t="s">
        <v>10366</v>
      </c>
      <c r="D3013" t="s">
        <v>204</v>
      </c>
      <c r="E3013" t="s">
        <v>10367</v>
      </c>
      <c r="F3013" t="s">
        <v>180</v>
      </c>
      <c r="G3013" t="str">
        <f>HYPERLINK("https://play.google.com/store/apps/details?id=ru.iflex.android.a3colortv&amp;reviewId=gp:AOqpTOFgMq4NpDRx2-Y0VL7eK-A1ISHNn7X3pWr6zfu25yhdljMN9uPS191hcIsPE93PcqyJJU5n2dEEQvHp8w")</f>
        <v>https://play.google.com/store/apps/details?id=ru.iflex.android.a3colortv&amp;reviewId=gp:AOqpTOFgMq4NpDRx2-Y0VL7eK-A1ISHNn7X3pWr6zfu25yhdljMN9uPS191hcIsPE93PcqyJJU5n2dEEQvHp8w</v>
      </c>
      <c r="H3013" t="s">
        <v>181</v>
      </c>
      <c r="I3013" t="s">
        <v>10368</v>
      </c>
      <c r="J3013" t="str">
        <f>HYPERLINK("https://plus.google.com/101836740772387982225")</f>
        <v>https://plus.google.com/101836740772387982225</v>
      </c>
      <c r="L3013" t="s">
        <v>151</v>
      </c>
      <c r="N3013" t="s">
        <v>207</v>
      </c>
      <c r="O3013" t="s">
        <v>204</v>
      </c>
      <c r="P3013" t="str">
        <f>HYPERLINK("https://play.google.com/store/apps/details?id=ru.iflex.android.a3colortv&amp;hl=ru")</f>
        <v>https://play.google.com/store/apps/details?id=ru.iflex.android.a3colortv&amp;hl=ru</v>
      </c>
      <c r="R3013" t="s">
        <v>184</v>
      </c>
      <c r="S3013" t="s">
        <v>125</v>
      </c>
      <c r="W3013">
        <v>0</v>
      </c>
      <c r="X3013">
        <v>0</v>
      </c>
      <c r="AH3013">
        <v>5</v>
      </c>
      <c r="AM3013" t="s">
        <v>129</v>
      </c>
      <c r="AN3013" t="s">
        <v>130</v>
      </c>
      <c r="AP3013" t="s">
        <v>41</v>
      </c>
      <c r="AZ3013" t="s">
        <v>51</v>
      </c>
      <c r="BA3013" t="s">
        <v>52</v>
      </c>
      <c r="BQ3013" t="s">
        <v>68</v>
      </c>
    </row>
    <row r="3014" spans="1:69" x14ac:dyDescent="0.2">
      <c r="A3014" t="s">
        <v>10081</v>
      </c>
      <c r="B3014" t="s">
        <v>1814</v>
      </c>
      <c r="C3014" t="s">
        <v>10366</v>
      </c>
      <c r="D3014" t="s">
        <v>204</v>
      </c>
      <c r="E3014" t="s">
        <v>10369</v>
      </c>
      <c r="F3014" t="s">
        <v>180</v>
      </c>
      <c r="G3014" t="str">
        <f>HYPERLINK("https://play.google.com/store/apps/details?id=ru.iflex.android.a3colortv&amp;reviewId=gp:AOqpTOESDT9RC04ixFmiY0fQJiSnHmGfYqUK9abObSIL6dX3hOjUuJgO1OzTrjZxO4Xg4eHkC_wmv7k345bdcQ")</f>
        <v>https://play.google.com/store/apps/details?id=ru.iflex.android.a3colortv&amp;reviewId=gp:AOqpTOESDT9RC04ixFmiY0fQJiSnHmGfYqUK9abObSIL6dX3hOjUuJgO1OzTrjZxO4Xg4eHkC_wmv7k345bdcQ</v>
      </c>
      <c r="H3014" t="s">
        <v>119</v>
      </c>
      <c r="I3014" t="s">
        <v>10370</v>
      </c>
      <c r="J3014" t="str">
        <f>HYPERLINK("https://plus.google.com/105761220375264509069")</f>
        <v>https://plus.google.com/105761220375264509069</v>
      </c>
      <c r="N3014" t="s">
        <v>207</v>
      </c>
      <c r="O3014" t="s">
        <v>204</v>
      </c>
      <c r="P3014" t="str">
        <f>HYPERLINK("https://play.google.com/store/apps/details?id=ru.iflex.android.a3colortv&amp;hl=ru")</f>
        <v>https://play.google.com/store/apps/details?id=ru.iflex.android.a3colortv&amp;hl=ru</v>
      </c>
      <c r="R3014" t="s">
        <v>184</v>
      </c>
      <c r="S3014" t="s">
        <v>125</v>
      </c>
      <c r="W3014">
        <v>0</v>
      </c>
      <c r="X3014">
        <v>0</v>
      </c>
      <c r="AH3014">
        <v>4</v>
      </c>
      <c r="AM3014" t="s">
        <v>129</v>
      </c>
      <c r="AN3014" t="s">
        <v>130</v>
      </c>
      <c r="AP3014" t="s">
        <v>41</v>
      </c>
      <c r="AT3014" t="s">
        <v>45</v>
      </c>
      <c r="AY3014" t="s">
        <v>50</v>
      </c>
      <c r="AZ3014" t="s">
        <v>51</v>
      </c>
      <c r="BA3014" t="s">
        <v>52</v>
      </c>
      <c r="BQ3014" t="s">
        <v>68</v>
      </c>
    </row>
    <row r="3015" spans="1:69" x14ac:dyDescent="0.2">
      <c r="A3015" t="s">
        <v>10081</v>
      </c>
      <c r="B3015" t="s">
        <v>10371</v>
      </c>
      <c r="C3015" t="s">
        <v>10372</v>
      </c>
      <c r="D3015" t="s">
        <v>9804</v>
      </c>
      <c r="E3015" t="s">
        <v>10373</v>
      </c>
      <c r="F3015" t="s">
        <v>118</v>
      </c>
      <c r="G3015" t="str">
        <f>HYPERLINK("https://vk.com/wall-61101621_254524?w=wall-61101621_254524_r254556")</f>
        <v>https://vk.com/wall-61101621_254524?w=wall-61101621_254524_r254556</v>
      </c>
      <c r="H3015" t="s">
        <v>119</v>
      </c>
      <c r="I3015" t="s">
        <v>10374</v>
      </c>
      <c r="J3015" t="str">
        <f>HYPERLINK("http://vk.com/id16355541")</f>
        <v>http://vk.com/id16355541</v>
      </c>
      <c r="K3015">
        <v>337</v>
      </c>
      <c r="L3015" t="s">
        <v>121</v>
      </c>
      <c r="N3015" t="s">
        <v>122</v>
      </c>
      <c r="O3015" t="s">
        <v>160</v>
      </c>
      <c r="P3015" t="str">
        <f>HYPERLINK("http://vk.com/club61101621")</f>
        <v>http://vk.com/club61101621</v>
      </c>
      <c r="Q3015">
        <v>21119</v>
      </c>
      <c r="R3015" t="s">
        <v>124</v>
      </c>
      <c r="S3015" t="s">
        <v>125</v>
      </c>
      <c r="T3015" t="s">
        <v>627</v>
      </c>
      <c r="U3015" t="s">
        <v>846</v>
      </c>
      <c r="W3015">
        <v>0</v>
      </c>
      <c r="X3015">
        <v>0</v>
      </c>
      <c r="AM3015" t="s">
        <v>129</v>
      </c>
      <c r="AN3015" t="s">
        <v>130</v>
      </c>
      <c r="AP3015" t="s">
        <v>41</v>
      </c>
      <c r="AU3015" t="s">
        <v>46</v>
      </c>
      <c r="AY3015" t="s">
        <v>50</v>
      </c>
      <c r="AZ3015" t="s">
        <v>51</v>
      </c>
      <c r="BA3015" t="s">
        <v>52</v>
      </c>
    </row>
    <row r="3016" spans="1:69" x14ac:dyDescent="0.2">
      <c r="A3016" t="s">
        <v>10081</v>
      </c>
      <c r="B3016" t="s">
        <v>10375</v>
      </c>
      <c r="C3016" t="s">
        <v>10376</v>
      </c>
      <c r="D3016" t="s">
        <v>7717</v>
      </c>
      <c r="E3016" t="s">
        <v>10377</v>
      </c>
      <c r="F3016" t="s">
        <v>118</v>
      </c>
      <c r="G3016" t="str">
        <f>HYPERLINK("https://vk.com/wall-61101621_254438?reply=254555")</f>
        <v>https://vk.com/wall-61101621_254438?reply=254555</v>
      </c>
      <c r="H3016" t="s">
        <v>119</v>
      </c>
      <c r="I3016" t="s">
        <v>10378</v>
      </c>
      <c r="J3016" t="str">
        <f>HYPERLINK("http://vk.com/id395525336")</f>
        <v>http://vk.com/id395525336</v>
      </c>
      <c r="K3016">
        <v>76</v>
      </c>
      <c r="L3016" t="s">
        <v>151</v>
      </c>
      <c r="M3016">
        <v>35</v>
      </c>
      <c r="N3016" t="s">
        <v>122</v>
      </c>
      <c r="O3016" t="s">
        <v>160</v>
      </c>
      <c r="P3016" t="str">
        <f>HYPERLINK("http://vk.com/club61101621")</f>
        <v>http://vk.com/club61101621</v>
      </c>
      <c r="Q3016">
        <v>21119</v>
      </c>
      <c r="R3016" t="s">
        <v>124</v>
      </c>
      <c r="S3016" t="s">
        <v>125</v>
      </c>
      <c r="T3016" t="s">
        <v>169</v>
      </c>
      <c r="U3016" t="s">
        <v>169</v>
      </c>
      <c r="W3016">
        <v>0</v>
      </c>
      <c r="X3016">
        <v>0</v>
      </c>
      <c r="AM3016" t="s">
        <v>129</v>
      </c>
      <c r="AN3016" t="s">
        <v>130</v>
      </c>
      <c r="AP3016" t="s">
        <v>41</v>
      </c>
      <c r="AW3016" t="s">
        <v>48</v>
      </c>
      <c r="AY3016" t="s">
        <v>50</v>
      </c>
      <c r="AZ3016" t="s">
        <v>51</v>
      </c>
      <c r="BA3016" t="s">
        <v>52</v>
      </c>
      <c r="BL3016" t="s">
        <v>63</v>
      </c>
    </row>
    <row r="3017" spans="1:69" x14ac:dyDescent="0.2">
      <c r="A3017" t="s">
        <v>10081</v>
      </c>
      <c r="B3017" t="s">
        <v>10379</v>
      </c>
      <c r="C3017" t="s">
        <v>10380</v>
      </c>
      <c r="D3017" t="s">
        <v>8502</v>
      </c>
      <c r="E3017" t="s">
        <v>10381</v>
      </c>
      <c r="F3017" t="s">
        <v>118</v>
      </c>
      <c r="G3017" t="str">
        <f>HYPERLINK("https://ok.ru/group/53318809747546/topic/153423195103322#MTYyNTYyMDMzMTE2MDotMzcyOToxNjI1NjIwMzMxMTYwOjE1MzQyMzE5NTEwMzMyMjox")</f>
        <v>https://ok.ru/group/53318809747546/topic/153423195103322#MTYyNTYyMDMzMTE2MDotMzcyOToxNjI1NjIwMzMxMTYwOjE1MzQyMzE5NTEwMzMyMjox</v>
      </c>
      <c r="H3017" t="s">
        <v>228</v>
      </c>
      <c r="I3017" t="s">
        <v>10382</v>
      </c>
      <c r="J3017" t="str">
        <f>HYPERLINK("https://ok.ru/profile/578587860745")</f>
        <v>https://ok.ru/profile/578587860745</v>
      </c>
      <c r="K3017">
        <v>21</v>
      </c>
      <c r="L3017" t="s">
        <v>121</v>
      </c>
      <c r="M3017">
        <v>61</v>
      </c>
      <c r="N3017" t="s">
        <v>347</v>
      </c>
      <c r="O3017" t="s">
        <v>8505</v>
      </c>
      <c r="P3017" t="str">
        <f>HYPERLINK("https://ok.ru/group/53318809747546")</f>
        <v>https://ok.ru/group/53318809747546</v>
      </c>
      <c r="Q3017">
        <v>16788</v>
      </c>
      <c r="R3017" t="s">
        <v>124</v>
      </c>
      <c r="S3017" t="s">
        <v>125</v>
      </c>
      <c r="W3017">
        <v>0</v>
      </c>
      <c r="X3017">
        <v>0</v>
      </c>
      <c r="AM3017" t="s">
        <v>129</v>
      </c>
      <c r="AN3017" t="s">
        <v>130</v>
      </c>
      <c r="AP3017" t="s">
        <v>41</v>
      </c>
      <c r="AW3017" t="s">
        <v>48</v>
      </c>
      <c r="AY3017" t="s">
        <v>50</v>
      </c>
      <c r="AZ3017" t="s">
        <v>51</v>
      </c>
      <c r="BA3017" t="s">
        <v>52</v>
      </c>
    </row>
    <row r="3018" spans="1:69" x14ac:dyDescent="0.2">
      <c r="A3018" t="s">
        <v>10081</v>
      </c>
      <c r="B3018" t="s">
        <v>10383</v>
      </c>
      <c r="C3018" t="s">
        <v>10384</v>
      </c>
      <c r="D3018" t="s">
        <v>10385</v>
      </c>
      <c r="E3018" t="s">
        <v>10386</v>
      </c>
      <c r="F3018" t="s">
        <v>118</v>
      </c>
      <c r="G3018" t="str">
        <f>HYPERLINK("https://telegram.me/talkingbet/810803")</f>
        <v>https://telegram.me/talkingbet/810803</v>
      </c>
      <c r="H3018" t="s">
        <v>119</v>
      </c>
      <c r="I3018" t="s">
        <v>10387</v>
      </c>
      <c r="J3018" t="str">
        <f>HYPERLINK("https://telegram.me/adamas033")</f>
        <v>https://telegram.me/adamas033</v>
      </c>
      <c r="N3018" t="s">
        <v>143</v>
      </c>
      <c r="O3018" t="s">
        <v>10388</v>
      </c>
      <c r="P3018" t="str">
        <f>HYPERLINK("https://telegram.me/talkingbet")</f>
        <v>https://telegram.me/talkingbet</v>
      </c>
      <c r="Q3018">
        <v>703</v>
      </c>
      <c r="R3018" t="s">
        <v>145</v>
      </c>
      <c r="AM3018" t="s">
        <v>129</v>
      </c>
      <c r="AN3018" t="s">
        <v>130</v>
      </c>
      <c r="AP3018" t="s">
        <v>41</v>
      </c>
      <c r="AY3018" t="s">
        <v>50</v>
      </c>
      <c r="AZ3018" t="s">
        <v>51</v>
      </c>
      <c r="BA3018" t="s">
        <v>52</v>
      </c>
    </row>
    <row r="3019" spans="1:69" x14ac:dyDescent="0.2">
      <c r="A3019" t="s">
        <v>10081</v>
      </c>
      <c r="B3019" t="s">
        <v>10389</v>
      </c>
      <c r="C3019" t="s">
        <v>10390</v>
      </c>
      <c r="D3019" t="s">
        <v>129</v>
      </c>
      <c r="E3019" t="s">
        <v>10391</v>
      </c>
      <c r="F3019" t="s">
        <v>180</v>
      </c>
      <c r="G3019" t="str">
        <f>HYPERLINK("https://telegram.me/risovayakontora/1527378")</f>
        <v>https://telegram.me/risovayakontora/1527378</v>
      </c>
      <c r="H3019" t="s">
        <v>228</v>
      </c>
      <c r="I3019" t="s">
        <v>10392</v>
      </c>
      <c r="J3019" t="str">
        <f>HYPERLINK("https://telegram.me/majest1cc")</f>
        <v>https://telegram.me/majest1cc</v>
      </c>
      <c r="N3019" t="s">
        <v>143</v>
      </c>
      <c r="O3019" t="s">
        <v>129</v>
      </c>
      <c r="P3019" t="str">
        <f>HYPERLINK("https://telegram.me/risovayakontora")</f>
        <v>https://telegram.me/risovayakontora</v>
      </c>
      <c r="Q3019">
        <v>1125</v>
      </c>
      <c r="R3019" t="s">
        <v>145</v>
      </c>
      <c r="AM3019" t="s">
        <v>129</v>
      </c>
      <c r="AN3019" t="s">
        <v>130</v>
      </c>
      <c r="AP3019" t="s">
        <v>41</v>
      </c>
      <c r="AZ3019" t="s">
        <v>51</v>
      </c>
      <c r="BA3019" t="s">
        <v>52</v>
      </c>
    </row>
    <row r="3020" spans="1:69" x14ac:dyDescent="0.2">
      <c r="A3020" t="s">
        <v>10081</v>
      </c>
      <c r="B3020" t="s">
        <v>10393</v>
      </c>
      <c r="C3020" t="s">
        <v>10394</v>
      </c>
      <c r="D3020" t="s">
        <v>10395</v>
      </c>
      <c r="E3020" t="s">
        <v>10396</v>
      </c>
      <c r="F3020" t="s">
        <v>118</v>
      </c>
      <c r="G3020" t="str">
        <f>HYPERLINK("https://telegram.me/razbor_poletov_chat/170186")</f>
        <v>https://telegram.me/razbor_poletov_chat/170186</v>
      </c>
      <c r="H3020" t="s">
        <v>119</v>
      </c>
      <c r="I3020" t="s">
        <v>10397</v>
      </c>
      <c r="J3020" t="str">
        <f>HYPERLINK("https://telegram.me/ihostage")</f>
        <v>https://telegram.me/ihostage</v>
      </c>
      <c r="L3020" t="s">
        <v>121</v>
      </c>
      <c r="N3020" t="s">
        <v>143</v>
      </c>
      <c r="O3020" t="s">
        <v>10398</v>
      </c>
      <c r="P3020" t="str">
        <f>HYPERLINK("https://telegram.me/razbor_poletov_chat")</f>
        <v>https://telegram.me/razbor_poletov_chat</v>
      </c>
      <c r="Q3020">
        <v>934</v>
      </c>
      <c r="R3020" t="s">
        <v>145</v>
      </c>
      <c r="AM3020" t="s">
        <v>129</v>
      </c>
      <c r="AN3020" t="s">
        <v>130</v>
      </c>
      <c r="AP3020" t="s">
        <v>41</v>
      </c>
      <c r="AY3020" t="s">
        <v>50</v>
      </c>
      <c r="AZ3020" t="s">
        <v>51</v>
      </c>
      <c r="BA3020" t="s">
        <v>52</v>
      </c>
    </row>
    <row r="3021" spans="1:69" x14ac:dyDescent="0.2">
      <c r="A3021" t="s">
        <v>10399</v>
      </c>
      <c r="B3021" t="s">
        <v>9792</v>
      </c>
      <c r="C3021" t="s">
        <v>10400</v>
      </c>
      <c r="D3021" t="s">
        <v>129</v>
      </c>
      <c r="E3021" t="s">
        <v>10401</v>
      </c>
      <c r="F3021" t="s">
        <v>180</v>
      </c>
      <c r="G3021" t="str">
        <f>HYPERLINK("https://telegram.me/bgu2021/175324")</f>
        <v>https://telegram.me/bgu2021/175324</v>
      </c>
      <c r="H3021" t="s">
        <v>119</v>
      </c>
      <c r="I3021" t="s">
        <v>10402</v>
      </c>
      <c r="J3021" t="str">
        <f>HYPERLINK("https://telegram.me/danilkw")</f>
        <v>https://telegram.me/danilkw</v>
      </c>
      <c r="L3021" t="s">
        <v>121</v>
      </c>
      <c r="N3021" t="s">
        <v>143</v>
      </c>
      <c r="O3021" t="s">
        <v>10403</v>
      </c>
      <c r="P3021" t="str">
        <f>HYPERLINK("https://telegram.me/bgu2021")</f>
        <v>https://telegram.me/bgu2021</v>
      </c>
      <c r="Q3021">
        <v>989</v>
      </c>
      <c r="R3021" t="s">
        <v>145</v>
      </c>
      <c r="AM3021" t="s">
        <v>129</v>
      </c>
      <c r="AN3021" t="s">
        <v>130</v>
      </c>
      <c r="AP3021" t="s">
        <v>41</v>
      </c>
      <c r="AU3021" t="s">
        <v>46</v>
      </c>
      <c r="AZ3021" t="s">
        <v>51</v>
      </c>
      <c r="BA3021" t="s">
        <v>52</v>
      </c>
    </row>
    <row r="3022" spans="1:69" x14ac:dyDescent="0.2">
      <c r="A3022" t="s">
        <v>10399</v>
      </c>
      <c r="B3022" t="s">
        <v>9792</v>
      </c>
      <c r="C3022" t="s">
        <v>10083</v>
      </c>
      <c r="D3022" t="s">
        <v>4147</v>
      </c>
      <c r="E3022" t="s">
        <v>10404</v>
      </c>
      <c r="F3022" t="s">
        <v>180</v>
      </c>
      <c r="G3022" t="str">
        <f>HYPERLINK("https://www.wildberries.ru/catalog/15145842/detail.aspx?targetUrl=ES#Comments")</f>
        <v>https://www.wildberries.ru/catalog/15145842/detail.aspx?targetUrl=ES#Comments</v>
      </c>
      <c r="H3022" t="s">
        <v>119</v>
      </c>
      <c r="I3022" t="s">
        <v>10405</v>
      </c>
      <c r="J3022" t="str">
        <f>HYPERLINK("https://www.wildberries.ru/profile/w7TDssOkw7PCu8KzwrDCscK1wrDCtsKywrQ=")</f>
        <v>https://www.wildberries.ru/profile/w7TDssOkw7PCu8KzwrDCscK1wrDCtsKywrQ=</v>
      </c>
      <c r="L3022" t="s">
        <v>151</v>
      </c>
      <c r="N3022" t="s">
        <v>534</v>
      </c>
      <c r="O3022" t="s">
        <v>4147</v>
      </c>
      <c r="P3022" t="str">
        <f>HYPERLINK("https://www.wildberries.ru/catalog/11323741/detail.aspx")</f>
        <v>https://www.wildberries.ru/catalog/11323741/detail.aspx</v>
      </c>
      <c r="R3022" t="s">
        <v>184</v>
      </c>
      <c r="S3022" t="s">
        <v>125</v>
      </c>
      <c r="W3022">
        <v>0</v>
      </c>
      <c r="X3022">
        <v>0</v>
      </c>
      <c r="AH3022">
        <v>2</v>
      </c>
      <c r="AM3022" t="s">
        <v>129</v>
      </c>
      <c r="AN3022" t="s">
        <v>130</v>
      </c>
      <c r="AP3022" t="s">
        <v>41</v>
      </c>
      <c r="AT3022" t="s">
        <v>45</v>
      </c>
      <c r="AZ3022" t="s">
        <v>51</v>
      </c>
      <c r="BA3022" t="s">
        <v>52</v>
      </c>
      <c r="BL3022" t="s">
        <v>63</v>
      </c>
    </row>
    <row r="3023" spans="1:69" x14ac:dyDescent="0.2">
      <c r="A3023" t="s">
        <v>10399</v>
      </c>
      <c r="B3023" t="s">
        <v>4548</v>
      </c>
      <c r="C3023" t="s">
        <v>10406</v>
      </c>
      <c r="D3023" t="s">
        <v>9804</v>
      </c>
      <c r="E3023" t="s">
        <v>10407</v>
      </c>
      <c r="F3023" t="s">
        <v>118</v>
      </c>
      <c r="G3023" t="str">
        <f>HYPERLINK("https://vk.com/wall-22935147_368183?reply=368219")</f>
        <v>https://vk.com/wall-22935147_368183?reply=368219</v>
      </c>
      <c r="H3023" t="s">
        <v>119</v>
      </c>
      <c r="I3023" t="s">
        <v>10408</v>
      </c>
      <c r="J3023" t="str">
        <f>HYPERLINK("http://vk.com/id486676983")</f>
        <v>http://vk.com/id486676983</v>
      </c>
      <c r="K3023">
        <v>211</v>
      </c>
      <c r="L3023" t="s">
        <v>121</v>
      </c>
      <c r="M3023">
        <v>40</v>
      </c>
      <c r="N3023" t="s">
        <v>122</v>
      </c>
      <c r="O3023" t="s">
        <v>1093</v>
      </c>
      <c r="P3023" t="str">
        <f>HYPERLINK("http://vk.com/club22935147")</f>
        <v>http://vk.com/club22935147</v>
      </c>
      <c r="Q3023">
        <v>8943</v>
      </c>
      <c r="R3023" t="s">
        <v>124</v>
      </c>
      <c r="S3023" t="s">
        <v>125</v>
      </c>
      <c r="T3023" t="s">
        <v>126</v>
      </c>
      <c r="U3023" t="s">
        <v>10409</v>
      </c>
      <c r="W3023">
        <v>0</v>
      </c>
      <c r="X3023">
        <v>0</v>
      </c>
      <c r="AM3023" t="s">
        <v>129</v>
      </c>
      <c r="AN3023" t="s">
        <v>130</v>
      </c>
      <c r="AP3023" t="s">
        <v>41</v>
      </c>
      <c r="AU3023" t="s">
        <v>46</v>
      </c>
      <c r="AZ3023" t="s">
        <v>51</v>
      </c>
      <c r="BA3023" t="s">
        <v>52</v>
      </c>
    </row>
    <row r="3024" spans="1:69" x14ac:dyDescent="0.2">
      <c r="A3024" t="s">
        <v>10399</v>
      </c>
      <c r="B3024" t="s">
        <v>10410</v>
      </c>
      <c r="C3024" t="s">
        <v>10411</v>
      </c>
      <c r="D3024" t="s">
        <v>10059</v>
      </c>
      <c r="E3024" t="s">
        <v>10412</v>
      </c>
      <c r="F3024" t="s">
        <v>118</v>
      </c>
      <c r="G3024" t="str">
        <f>HYPERLINK("https://vk.com/wall-70010161_674172?reply=674438")</f>
        <v>https://vk.com/wall-70010161_674172?reply=674438</v>
      </c>
      <c r="H3024" t="s">
        <v>181</v>
      </c>
      <c r="I3024" t="s">
        <v>10413</v>
      </c>
      <c r="J3024" t="str">
        <f>HYPERLINK("http://vk.com/id488328458")</f>
        <v>http://vk.com/id488328458</v>
      </c>
      <c r="K3024">
        <v>106</v>
      </c>
      <c r="L3024" t="s">
        <v>151</v>
      </c>
      <c r="M3024">
        <v>42</v>
      </c>
      <c r="N3024" t="s">
        <v>122</v>
      </c>
      <c r="O3024" t="s">
        <v>10062</v>
      </c>
      <c r="P3024" t="str">
        <f>HYPERLINK("http://vk.com/club70010161")</f>
        <v>http://vk.com/club70010161</v>
      </c>
      <c r="Q3024">
        <v>19314</v>
      </c>
      <c r="R3024" t="s">
        <v>124</v>
      </c>
      <c r="S3024" t="s">
        <v>125</v>
      </c>
      <c r="T3024" t="s">
        <v>237</v>
      </c>
      <c r="U3024" t="s">
        <v>10414</v>
      </c>
      <c r="AM3024" t="s">
        <v>129</v>
      </c>
      <c r="AN3024" t="s">
        <v>130</v>
      </c>
      <c r="AP3024" t="s">
        <v>41</v>
      </c>
      <c r="AU3024" t="s">
        <v>46</v>
      </c>
      <c r="AY3024" t="s">
        <v>50</v>
      </c>
      <c r="AZ3024" t="s">
        <v>51</v>
      </c>
      <c r="BA3024" t="s">
        <v>52</v>
      </c>
      <c r="BL3024" t="s">
        <v>63</v>
      </c>
    </row>
    <row r="3025" spans="1:77" x14ac:dyDescent="0.2">
      <c r="A3025" t="s">
        <v>10399</v>
      </c>
      <c r="B3025" t="s">
        <v>7624</v>
      </c>
      <c r="C3025" t="s">
        <v>10415</v>
      </c>
      <c r="D3025" t="s">
        <v>129</v>
      </c>
      <c r="E3025" t="s">
        <v>10416</v>
      </c>
      <c r="F3025" t="s">
        <v>118</v>
      </c>
      <c r="G3025" t="str">
        <f>HYPERLINK("https://twitter.com/1231985954639970305/status/1412497601040109568")</f>
        <v>https://twitter.com/1231985954639970305/status/1412497601040109568</v>
      </c>
      <c r="H3025" t="s">
        <v>119</v>
      </c>
      <c r="I3025" t="s">
        <v>10417</v>
      </c>
      <c r="J3025" t="str">
        <f>HYPERLINK("http://twitter.com/Batchaev_M")</f>
        <v>http://twitter.com/Batchaev_M</v>
      </c>
      <c r="K3025">
        <v>1</v>
      </c>
      <c r="L3025" t="s">
        <v>121</v>
      </c>
      <c r="N3025" t="s">
        <v>350</v>
      </c>
      <c r="R3025" t="s">
        <v>124</v>
      </c>
      <c r="S3025" t="s">
        <v>125</v>
      </c>
      <c r="T3025" t="s">
        <v>759</v>
      </c>
      <c r="U3025" t="s">
        <v>2080</v>
      </c>
      <c r="W3025">
        <v>0</v>
      </c>
      <c r="X3025">
        <v>0</v>
      </c>
      <c r="AE3025">
        <v>0</v>
      </c>
      <c r="AF3025">
        <v>0</v>
      </c>
      <c r="AM3025" t="s">
        <v>129</v>
      </c>
      <c r="AN3025" t="s">
        <v>130</v>
      </c>
      <c r="AP3025" t="s">
        <v>41</v>
      </c>
      <c r="AU3025" t="s">
        <v>46</v>
      </c>
      <c r="AZ3025" t="s">
        <v>51</v>
      </c>
      <c r="BA3025" t="s">
        <v>52</v>
      </c>
    </row>
    <row r="3026" spans="1:77" x14ac:dyDescent="0.2">
      <c r="A3026" t="s">
        <v>10399</v>
      </c>
      <c r="B3026" t="s">
        <v>4084</v>
      </c>
      <c r="C3026" t="s">
        <v>10418</v>
      </c>
      <c r="D3026" t="s">
        <v>10419</v>
      </c>
      <c r="E3026" t="s">
        <v>10420</v>
      </c>
      <c r="F3026" t="s">
        <v>118</v>
      </c>
      <c r="G3026" t="str">
        <f>HYPERLINK("https://vk.com/wall-61101621_254519?w=wall-61101621_254519_r254553")</f>
        <v>https://vk.com/wall-61101621_254519?w=wall-61101621_254519_r254553</v>
      </c>
      <c r="H3026" t="s">
        <v>119</v>
      </c>
      <c r="I3026" t="s">
        <v>3222</v>
      </c>
      <c r="J3026" t="str">
        <f>HYPERLINK("http://vk.com/id47264919")</f>
        <v>http://vk.com/id47264919</v>
      </c>
      <c r="K3026">
        <v>250</v>
      </c>
      <c r="L3026" t="s">
        <v>121</v>
      </c>
      <c r="M3026">
        <v>37</v>
      </c>
      <c r="N3026" t="s">
        <v>122</v>
      </c>
      <c r="O3026" t="s">
        <v>160</v>
      </c>
      <c r="P3026" t="str">
        <f>HYPERLINK("http://vk.com/club61101621")</f>
        <v>http://vk.com/club61101621</v>
      </c>
      <c r="Q3026">
        <v>21119</v>
      </c>
      <c r="R3026" t="s">
        <v>124</v>
      </c>
      <c r="S3026" t="s">
        <v>125</v>
      </c>
      <c r="T3026" t="s">
        <v>1275</v>
      </c>
      <c r="U3026" t="s">
        <v>3223</v>
      </c>
      <c r="W3026">
        <v>0</v>
      </c>
      <c r="X3026">
        <v>0</v>
      </c>
      <c r="AM3026" t="s">
        <v>129</v>
      </c>
      <c r="AN3026" t="s">
        <v>130</v>
      </c>
      <c r="AP3026" t="s">
        <v>41</v>
      </c>
      <c r="AT3026" t="s">
        <v>45</v>
      </c>
      <c r="AZ3026" t="s">
        <v>51</v>
      </c>
      <c r="BA3026" t="s">
        <v>52</v>
      </c>
      <c r="BL3026" t="s">
        <v>63</v>
      </c>
    </row>
    <row r="3027" spans="1:77" x14ac:dyDescent="0.2">
      <c r="A3027" t="s">
        <v>10399</v>
      </c>
      <c r="B3027" t="s">
        <v>1902</v>
      </c>
      <c r="C3027" t="s">
        <v>10421</v>
      </c>
      <c r="D3027" t="s">
        <v>129</v>
      </c>
      <c r="E3027" t="s">
        <v>10422</v>
      </c>
      <c r="F3027" t="s">
        <v>180</v>
      </c>
      <c r="G3027" t="str">
        <f>HYPERLINK("https://telegram.me/edemtvhelpchat/75920")</f>
        <v>https://telegram.me/edemtvhelpchat/75920</v>
      </c>
      <c r="H3027" t="s">
        <v>119</v>
      </c>
      <c r="I3027" t="s">
        <v>10423</v>
      </c>
      <c r="J3027" t="str">
        <f>HYPERLINK("https://telegram.me/olegon14")</f>
        <v>https://telegram.me/olegon14</v>
      </c>
      <c r="N3027" t="s">
        <v>143</v>
      </c>
      <c r="O3027" t="s">
        <v>6147</v>
      </c>
      <c r="P3027" t="str">
        <f>HYPERLINK("https://telegram.me/edemtvhelpchat")</f>
        <v>https://telegram.me/edemtvhelpchat</v>
      </c>
      <c r="Q3027">
        <v>3673</v>
      </c>
      <c r="R3027" t="s">
        <v>145</v>
      </c>
      <c r="AM3027" t="s">
        <v>129</v>
      </c>
      <c r="AN3027" t="s">
        <v>130</v>
      </c>
      <c r="AP3027" t="s">
        <v>41</v>
      </c>
      <c r="AU3027" t="s">
        <v>46</v>
      </c>
      <c r="AZ3027" t="s">
        <v>51</v>
      </c>
      <c r="BA3027" t="s">
        <v>52</v>
      </c>
    </row>
    <row r="3028" spans="1:77" x14ac:dyDescent="0.2">
      <c r="A3028" t="s">
        <v>10399</v>
      </c>
      <c r="B3028" t="s">
        <v>4123</v>
      </c>
      <c r="C3028" t="s">
        <v>10424</v>
      </c>
      <c r="D3028" t="s">
        <v>9804</v>
      </c>
      <c r="E3028" t="s">
        <v>10425</v>
      </c>
      <c r="F3028" t="s">
        <v>118</v>
      </c>
      <c r="G3028" t="str">
        <f>HYPERLINK("https://vk.com/wall-61101621_254524?w=wall-61101621_254524_r254552")</f>
        <v>https://vk.com/wall-61101621_254524?w=wall-61101621_254524_r254552</v>
      </c>
      <c r="H3028" t="s">
        <v>119</v>
      </c>
      <c r="I3028" t="s">
        <v>10426</v>
      </c>
      <c r="J3028" t="str">
        <f>HYPERLINK("http://vk.com/id197158644")</f>
        <v>http://vk.com/id197158644</v>
      </c>
      <c r="K3028">
        <v>139</v>
      </c>
      <c r="L3028" t="s">
        <v>121</v>
      </c>
      <c r="M3028">
        <v>49</v>
      </c>
      <c r="N3028" t="s">
        <v>122</v>
      </c>
      <c r="O3028" t="s">
        <v>160</v>
      </c>
      <c r="P3028" t="str">
        <f>HYPERLINK("http://vk.com/club61101621")</f>
        <v>http://vk.com/club61101621</v>
      </c>
      <c r="Q3028">
        <v>21119</v>
      </c>
      <c r="R3028" t="s">
        <v>124</v>
      </c>
      <c r="S3028" t="s">
        <v>125</v>
      </c>
      <c r="T3028" t="s">
        <v>828</v>
      </c>
      <c r="U3028" t="s">
        <v>829</v>
      </c>
      <c r="W3028">
        <v>0</v>
      </c>
      <c r="X3028">
        <v>0</v>
      </c>
      <c r="AJ3028" t="s">
        <v>10427</v>
      </c>
      <c r="AK3028" t="s">
        <v>129</v>
      </c>
      <c r="AL3028" t="str">
        <f>HYPERLINK("https://sun9-18.userapi.com/impg/SCbfezkqsWpMUMiTimoDCykGdZxK9iAh_-X2kg/--Oww-J5Smk.jpg?size=899x1600&amp;quality=96&amp;sign=bdb0ab26ee9dd566781bfa7d2f573886&amp;c_uniq_tag=6uYOz_hWpImgjBCunYYM2emVgcJRA_IPIhLl_0skh9w&amp;type=album")</f>
        <v>https://sun9-18.userapi.com/impg/SCbfezkqsWpMUMiTimoDCykGdZxK9iAh_-X2kg/--Oww-J5Smk.jpg?size=899x1600&amp;quality=96&amp;sign=bdb0ab26ee9dd566781bfa7d2f573886&amp;c_uniq_tag=6uYOz_hWpImgjBCunYYM2emVgcJRA_IPIhLl_0skh9w&amp;type=album</v>
      </c>
      <c r="AM3028" t="s">
        <v>129</v>
      </c>
      <c r="AN3028" t="s">
        <v>130</v>
      </c>
      <c r="AP3028" t="s">
        <v>41</v>
      </c>
      <c r="AU3028" t="s">
        <v>46</v>
      </c>
      <c r="AZ3028" t="s">
        <v>51</v>
      </c>
      <c r="BA3028" t="s">
        <v>52</v>
      </c>
    </row>
    <row r="3029" spans="1:77" x14ac:dyDescent="0.2">
      <c r="A3029" t="s">
        <v>10399</v>
      </c>
      <c r="B3029" t="s">
        <v>6996</v>
      </c>
      <c r="C3029" t="s">
        <v>10424</v>
      </c>
      <c r="D3029" t="s">
        <v>9804</v>
      </c>
      <c r="E3029" t="s">
        <v>10428</v>
      </c>
      <c r="F3029" t="s">
        <v>118</v>
      </c>
      <c r="G3029" t="str">
        <f>HYPERLINK("https://vk.com/wall-61101621_254524?reply=254551")</f>
        <v>https://vk.com/wall-61101621_254524?reply=254551</v>
      </c>
      <c r="H3029" t="s">
        <v>228</v>
      </c>
      <c r="I3029" t="s">
        <v>10374</v>
      </c>
      <c r="J3029" t="str">
        <f>HYPERLINK("http://vk.com/id16355541")</f>
        <v>http://vk.com/id16355541</v>
      </c>
      <c r="K3029">
        <v>337</v>
      </c>
      <c r="L3029" t="s">
        <v>121</v>
      </c>
      <c r="N3029" t="s">
        <v>122</v>
      </c>
      <c r="O3029" t="s">
        <v>160</v>
      </c>
      <c r="P3029" t="str">
        <f>HYPERLINK("http://vk.com/club61101621")</f>
        <v>http://vk.com/club61101621</v>
      </c>
      <c r="Q3029">
        <v>21119</v>
      </c>
      <c r="R3029" t="s">
        <v>124</v>
      </c>
      <c r="S3029" t="s">
        <v>125</v>
      </c>
      <c r="T3029" t="s">
        <v>627</v>
      </c>
      <c r="U3029" t="s">
        <v>846</v>
      </c>
      <c r="W3029">
        <v>0</v>
      </c>
      <c r="X3029">
        <v>0</v>
      </c>
      <c r="AM3029" t="s">
        <v>129</v>
      </c>
      <c r="AN3029" t="s">
        <v>130</v>
      </c>
      <c r="AP3029" t="s">
        <v>41</v>
      </c>
      <c r="AU3029" t="s">
        <v>46</v>
      </c>
      <c r="AZ3029" t="s">
        <v>51</v>
      </c>
      <c r="BA3029" t="s">
        <v>52</v>
      </c>
    </row>
    <row r="3030" spans="1:77" x14ac:dyDescent="0.2">
      <c r="A3030" t="s">
        <v>10399</v>
      </c>
      <c r="B3030" t="s">
        <v>2360</v>
      </c>
      <c r="C3030" t="s">
        <v>10429</v>
      </c>
      <c r="D3030" t="s">
        <v>204</v>
      </c>
      <c r="E3030" t="s">
        <v>10430</v>
      </c>
      <c r="F3030" t="s">
        <v>180</v>
      </c>
      <c r="G3030" t="str">
        <f>HYPERLINK("https://play.google.com/store/apps/details?id=ru.iflex.android.a3colortv&amp;reviewId=gp:AOqpTOFd1RqyBf3nDHir6_ZhS2kjY-vqgCvnckzvuASPq_oBN7ESb9k408BmfpOj-H9RXb4aH97b8o83UbQNiA")</f>
        <v>https://play.google.com/store/apps/details?id=ru.iflex.android.a3colortv&amp;reviewId=gp:AOqpTOFd1RqyBf3nDHir6_ZhS2kjY-vqgCvnckzvuASPq_oBN7ESb9k408BmfpOj-H9RXb4aH97b8o83UbQNiA</v>
      </c>
      <c r="H3030" t="s">
        <v>228</v>
      </c>
      <c r="I3030" t="s">
        <v>10431</v>
      </c>
      <c r="J3030" t="str">
        <f>HYPERLINK("https://plus.google.com/108295248432554711808")</f>
        <v>https://plus.google.com/108295248432554711808</v>
      </c>
      <c r="L3030" t="s">
        <v>151</v>
      </c>
      <c r="N3030" t="s">
        <v>207</v>
      </c>
      <c r="O3030" t="s">
        <v>204</v>
      </c>
      <c r="P3030" t="str">
        <f>HYPERLINK("https://play.google.com/store/apps/details?id=ru.iflex.android.a3colortv&amp;hl=ru")</f>
        <v>https://play.google.com/store/apps/details?id=ru.iflex.android.a3colortv&amp;hl=ru</v>
      </c>
      <c r="R3030" t="s">
        <v>184</v>
      </c>
      <c r="S3030" t="s">
        <v>125</v>
      </c>
      <c r="W3030">
        <v>0</v>
      </c>
      <c r="X3030">
        <v>0</v>
      </c>
      <c r="AH3030">
        <v>1</v>
      </c>
      <c r="AM3030" t="s">
        <v>129</v>
      </c>
      <c r="AN3030" t="s">
        <v>130</v>
      </c>
      <c r="AP3030" t="s">
        <v>41</v>
      </c>
      <c r="AX3030" t="s">
        <v>49</v>
      </c>
      <c r="AZ3030" t="s">
        <v>51</v>
      </c>
      <c r="BA3030" t="s">
        <v>52</v>
      </c>
      <c r="BL3030" t="s">
        <v>63</v>
      </c>
      <c r="BQ3030" t="s">
        <v>68</v>
      </c>
    </row>
    <row r="3031" spans="1:77" x14ac:dyDescent="0.2">
      <c r="A3031" t="s">
        <v>10399</v>
      </c>
      <c r="B3031" t="s">
        <v>2361</v>
      </c>
      <c r="C3031" t="s">
        <v>10432</v>
      </c>
      <c r="D3031" t="s">
        <v>10433</v>
      </c>
      <c r="E3031" t="s">
        <v>10434</v>
      </c>
      <c r="F3031" t="s">
        <v>118</v>
      </c>
      <c r="G3031" t="str">
        <f>HYPERLINK("https://vk.com/wall-199277766_697?reply=703&amp;thread=701")</f>
        <v>https://vk.com/wall-199277766_697?reply=703&amp;thread=701</v>
      </c>
      <c r="H3031" t="s">
        <v>119</v>
      </c>
      <c r="I3031" t="s">
        <v>254</v>
      </c>
      <c r="J3031" t="str">
        <f>HYPERLINK("http://vk.com/id286061518")</f>
        <v>http://vk.com/id286061518</v>
      </c>
      <c r="K3031">
        <v>5170</v>
      </c>
      <c r="L3031" t="s">
        <v>121</v>
      </c>
      <c r="M3031">
        <v>34</v>
      </c>
      <c r="N3031" t="s">
        <v>122</v>
      </c>
      <c r="O3031" t="s">
        <v>255</v>
      </c>
      <c r="P3031" t="str">
        <f>HYPERLINK("http://vk.com/club199277766")</f>
        <v>http://vk.com/club199277766</v>
      </c>
      <c r="Q3031">
        <v>53</v>
      </c>
      <c r="R3031" t="s">
        <v>124</v>
      </c>
      <c r="S3031" t="s">
        <v>125</v>
      </c>
      <c r="T3031" t="s">
        <v>256</v>
      </c>
      <c r="U3031" t="s">
        <v>257</v>
      </c>
      <c r="AM3031" t="s">
        <v>129</v>
      </c>
      <c r="AN3031" t="s">
        <v>130</v>
      </c>
      <c r="AP3031" t="s">
        <v>41</v>
      </c>
      <c r="AZ3031" t="s">
        <v>51</v>
      </c>
      <c r="BA3031" t="s">
        <v>52</v>
      </c>
      <c r="BY3031" t="s">
        <v>76</v>
      </c>
    </row>
    <row r="3032" spans="1:77" x14ac:dyDescent="0.2">
      <c r="A3032" t="s">
        <v>10399</v>
      </c>
      <c r="B3032" t="s">
        <v>221</v>
      </c>
      <c r="C3032" t="s">
        <v>10435</v>
      </c>
      <c r="D3032" t="s">
        <v>10436</v>
      </c>
      <c r="E3032" t="s">
        <v>10437</v>
      </c>
      <c r="F3032" t="s">
        <v>118</v>
      </c>
      <c r="G3032" t="str">
        <f>HYPERLINK("https://vk.com/wall-27863223_150039?reply=291509&amp;thread=291495")</f>
        <v>https://vk.com/wall-27863223_150039?reply=291509&amp;thread=291495</v>
      </c>
      <c r="H3032" t="s">
        <v>119</v>
      </c>
      <c r="I3032" t="s">
        <v>10438</v>
      </c>
      <c r="J3032" t="str">
        <f>HYPERLINK("http://vk.com/id488720342")</f>
        <v>http://vk.com/id488720342</v>
      </c>
      <c r="K3032">
        <v>11</v>
      </c>
      <c r="L3032" t="s">
        <v>121</v>
      </c>
      <c r="M3032">
        <v>27</v>
      </c>
      <c r="N3032" t="s">
        <v>122</v>
      </c>
      <c r="O3032" t="s">
        <v>175</v>
      </c>
      <c r="P3032" t="str">
        <f>HYPERLINK("http://vk.com/club27863223")</f>
        <v>http://vk.com/club27863223</v>
      </c>
      <c r="Q3032">
        <v>134698</v>
      </c>
      <c r="R3032" t="s">
        <v>124</v>
      </c>
      <c r="S3032" t="s">
        <v>125</v>
      </c>
      <c r="AM3032" t="s">
        <v>129</v>
      </c>
      <c r="AN3032" t="s">
        <v>130</v>
      </c>
      <c r="AP3032" t="s">
        <v>41</v>
      </c>
      <c r="AU3032" t="s">
        <v>46</v>
      </c>
      <c r="AY3032" t="s">
        <v>50</v>
      </c>
      <c r="AZ3032" t="s">
        <v>51</v>
      </c>
      <c r="BA3032" t="s">
        <v>52</v>
      </c>
    </row>
    <row r="3033" spans="1:77" x14ac:dyDescent="0.2">
      <c r="A3033" t="s">
        <v>10399</v>
      </c>
      <c r="B3033" t="s">
        <v>3352</v>
      </c>
      <c r="C3033" t="s">
        <v>10439</v>
      </c>
      <c r="D3033" t="s">
        <v>3043</v>
      </c>
      <c r="E3033" t="s">
        <v>10440</v>
      </c>
      <c r="F3033" t="s">
        <v>118</v>
      </c>
      <c r="G3033" t="str">
        <f>HYPERLINK("https://vk.com/wall-22935147_368207?reply=368214")</f>
        <v>https://vk.com/wall-22935147_368207?reply=368214</v>
      </c>
      <c r="H3033" t="s">
        <v>119</v>
      </c>
      <c r="I3033" t="s">
        <v>254</v>
      </c>
      <c r="J3033" t="str">
        <f>HYPERLINK("http://vk.com/id286061518")</f>
        <v>http://vk.com/id286061518</v>
      </c>
      <c r="K3033">
        <v>5170</v>
      </c>
      <c r="L3033" t="s">
        <v>121</v>
      </c>
      <c r="M3033">
        <v>34</v>
      </c>
      <c r="N3033" t="s">
        <v>122</v>
      </c>
      <c r="O3033" t="s">
        <v>1093</v>
      </c>
      <c r="P3033" t="str">
        <f>HYPERLINK("http://vk.com/club22935147")</f>
        <v>http://vk.com/club22935147</v>
      </c>
      <c r="Q3033">
        <v>8943</v>
      </c>
      <c r="R3033" t="s">
        <v>124</v>
      </c>
      <c r="S3033" t="s">
        <v>125</v>
      </c>
      <c r="T3033" t="s">
        <v>256</v>
      </c>
      <c r="U3033" t="s">
        <v>257</v>
      </c>
      <c r="W3033">
        <v>0</v>
      </c>
      <c r="X3033">
        <v>0</v>
      </c>
      <c r="AM3033" t="s">
        <v>129</v>
      </c>
      <c r="AN3033" t="s">
        <v>130</v>
      </c>
      <c r="AP3033" t="s">
        <v>41</v>
      </c>
      <c r="AZ3033" t="s">
        <v>51</v>
      </c>
      <c r="BA3033" t="s">
        <v>52</v>
      </c>
      <c r="BY3033" t="s">
        <v>76</v>
      </c>
    </row>
    <row r="3034" spans="1:77" x14ac:dyDescent="0.2">
      <c r="A3034" t="s">
        <v>10399</v>
      </c>
      <c r="B3034" t="s">
        <v>3664</v>
      </c>
      <c r="C3034" t="s">
        <v>10441</v>
      </c>
      <c r="D3034" t="s">
        <v>10433</v>
      </c>
      <c r="E3034" t="s">
        <v>10442</v>
      </c>
      <c r="F3034" t="s">
        <v>118</v>
      </c>
      <c r="G3034" t="str">
        <f>HYPERLINK("https://vk.com/wall-199277766_697?reply=698")</f>
        <v>https://vk.com/wall-199277766_697?reply=698</v>
      </c>
      <c r="H3034" t="s">
        <v>119</v>
      </c>
      <c r="I3034" t="s">
        <v>254</v>
      </c>
      <c r="J3034" t="str">
        <f>HYPERLINK("http://vk.com/id286061518")</f>
        <v>http://vk.com/id286061518</v>
      </c>
      <c r="K3034">
        <v>5170</v>
      </c>
      <c r="L3034" t="s">
        <v>121</v>
      </c>
      <c r="M3034">
        <v>34</v>
      </c>
      <c r="N3034" t="s">
        <v>122</v>
      </c>
      <c r="O3034" t="s">
        <v>255</v>
      </c>
      <c r="P3034" t="str">
        <f>HYPERLINK("http://vk.com/club199277766")</f>
        <v>http://vk.com/club199277766</v>
      </c>
      <c r="Q3034">
        <v>53</v>
      </c>
      <c r="R3034" t="s">
        <v>124</v>
      </c>
      <c r="S3034" t="s">
        <v>125</v>
      </c>
      <c r="T3034" t="s">
        <v>256</v>
      </c>
      <c r="U3034" t="s">
        <v>257</v>
      </c>
      <c r="AM3034" t="s">
        <v>129</v>
      </c>
      <c r="AN3034" t="s">
        <v>130</v>
      </c>
      <c r="AP3034" t="s">
        <v>41</v>
      </c>
      <c r="AZ3034" t="s">
        <v>51</v>
      </c>
      <c r="BA3034" t="s">
        <v>52</v>
      </c>
      <c r="BY3034" t="s">
        <v>76</v>
      </c>
    </row>
    <row r="3035" spans="1:77" x14ac:dyDescent="0.2">
      <c r="A3035" t="s">
        <v>10399</v>
      </c>
      <c r="B3035" t="s">
        <v>1353</v>
      </c>
      <c r="C3035" t="s">
        <v>10443</v>
      </c>
      <c r="D3035" t="s">
        <v>10444</v>
      </c>
      <c r="E3035" t="s">
        <v>10445</v>
      </c>
      <c r="F3035" t="s">
        <v>118</v>
      </c>
      <c r="G3035" t="str">
        <f>HYPERLINK("https://vk.com/wall-173255574_6096?reply=6251")</f>
        <v>https://vk.com/wall-173255574_6096?reply=6251</v>
      </c>
      <c r="H3035" t="s">
        <v>181</v>
      </c>
      <c r="I3035" t="s">
        <v>10446</v>
      </c>
      <c r="J3035" t="str">
        <f>HYPERLINK("http://vk.com/id515751386")</f>
        <v>http://vk.com/id515751386</v>
      </c>
      <c r="K3035">
        <v>136</v>
      </c>
      <c r="L3035" t="s">
        <v>121</v>
      </c>
      <c r="M3035">
        <v>41</v>
      </c>
      <c r="N3035" t="s">
        <v>122</v>
      </c>
      <c r="O3035" t="s">
        <v>10447</v>
      </c>
      <c r="P3035" t="str">
        <f>HYPERLINK("http://vk.com/club173255574")</f>
        <v>http://vk.com/club173255574</v>
      </c>
      <c r="Q3035">
        <v>1095</v>
      </c>
      <c r="R3035" t="s">
        <v>124</v>
      </c>
      <c r="S3035" t="s">
        <v>125</v>
      </c>
      <c r="AM3035" t="s">
        <v>129</v>
      </c>
      <c r="AN3035" t="s">
        <v>130</v>
      </c>
      <c r="AP3035" t="s">
        <v>41</v>
      </c>
      <c r="AZ3035" t="s">
        <v>51</v>
      </c>
      <c r="BA3035" t="s">
        <v>52</v>
      </c>
    </row>
    <row r="3036" spans="1:77" x14ac:dyDescent="0.2">
      <c r="A3036" t="s">
        <v>10399</v>
      </c>
      <c r="B3036" t="s">
        <v>5530</v>
      </c>
      <c r="C3036" t="s">
        <v>10448</v>
      </c>
      <c r="D3036" t="s">
        <v>10449</v>
      </c>
      <c r="E3036" t="s">
        <v>10450</v>
      </c>
      <c r="F3036" t="s">
        <v>118</v>
      </c>
      <c r="G3036" t="str">
        <f>HYPERLINK("https://vk.com/wall-63251173_540737?reply=540859")</f>
        <v>https://vk.com/wall-63251173_540737?reply=540859</v>
      </c>
      <c r="H3036" t="s">
        <v>119</v>
      </c>
      <c r="I3036" t="s">
        <v>10451</v>
      </c>
      <c r="J3036" t="str">
        <f>HYPERLINK("http://vk.com/id255586024")</f>
        <v>http://vk.com/id255586024</v>
      </c>
      <c r="K3036">
        <v>475</v>
      </c>
      <c r="L3036" t="s">
        <v>151</v>
      </c>
      <c r="N3036" t="s">
        <v>122</v>
      </c>
      <c r="O3036" t="s">
        <v>10452</v>
      </c>
      <c r="P3036" t="str">
        <f>HYPERLINK("http://vk.com/club63251173")</f>
        <v>http://vk.com/club63251173</v>
      </c>
      <c r="Q3036">
        <v>18937</v>
      </c>
      <c r="R3036" t="s">
        <v>124</v>
      </c>
      <c r="S3036" t="s">
        <v>125</v>
      </c>
      <c r="T3036" t="s">
        <v>1819</v>
      </c>
      <c r="U3036" t="s">
        <v>10453</v>
      </c>
      <c r="AM3036" t="s">
        <v>129</v>
      </c>
      <c r="AN3036" t="s">
        <v>130</v>
      </c>
      <c r="AP3036" t="s">
        <v>41</v>
      </c>
      <c r="AZ3036" t="s">
        <v>51</v>
      </c>
      <c r="BA3036" t="s">
        <v>52</v>
      </c>
      <c r="BM3036" t="s">
        <v>64</v>
      </c>
    </row>
    <row r="3037" spans="1:77" x14ac:dyDescent="0.2">
      <c r="A3037" t="s">
        <v>10399</v>
      </c>
      <c r="B3037" t="s">
        <v>5530</v>
      </c>
      <c r="C3037" t="s">
        <v>10454</v>
      </c>
      <c r="D3037" t="s">
        <v>10455</v>
      </c>
      <c r="E3037" t="s">
        <v>10456</v>
      </c>
      <c r="F3037" t="s">
        <v>118</v>
      </c>
      <c r="G3037" t="str">
        <f>HYPERLINK("https://ok.ru/group/53128103788707/topic/153126597415843#MTYyNTU5MjM2OTg4NzotNzU5NToxNjI1NTkyMzY5ODg3OjE1MzEyNjU5NzQxNTg0Mzox")</f>
        <v>https://ok.ru/group/53128103788707/topic/153126597415843#MTYyNTU5MjM2OTg4NzotNzU5NToxNjI1NTkyMzY5ODg3OjE1MzEyNjU5NzQxNTg0Mzox</v>
      </c>
      <c r="H3037" t="s">
        <v>119</v>
      </c>
      <c r="I3037" t="s">
        <v>10457</v>
      </c>
      <c r="J3037" t="str">
        <f>HYPERLINK("https://ok.ru/group/53128103788707")</f>
        <v>https://ok.ru/group/53128103788707</v>
      </c>
      <c r="K3037">
        <v>5047</v>
      </c>
      <c r="L3037" t="s">
        <v>340</v>
      </c>
      <c r="N3037" t="s">
        <v>347</v>
      </c>
      <c r="O3037" t="s">
        <v>10457</v>
      </c>
      <c r="P3037" t="str">
        <f>HYPERLINK("https://ok.ru/group/53128103788707")</f>
        <v>https://ok.ru/group/53128103788707</v>
      </c>
      <c r="Q3037">
        <v>5047</v>
      </c>
      <c r="R3037" t="s">
        <v>124</v>
      </c>
      <c r="S3037" t="s">
        <v>125</v>
      </c>
      <c r="T3037" t="s">
        <v>759</v>
      </c>
      <c r="U3037" t="s">
        <v>10458</v>
      </c>
      <c r="W3037">
        <v>1</v>
      </c>
      <c r="X3037">
        <v>1</v>
      </c>
      <c r="AM3037" t="s">
        <v>129</v>
      </c>
      <c r="AN3037" t="s">
        <v>130</v>
      </c>
      <c r="AP3037" t="s">
        <v>41</v>
      </c>
      <c r="AU3037" t="s">
        <v>46</v>
      </c>
      <c r="AZ3037" t="s">
        <v>51</v>
      </c>
      <c r="BA3037" t="s">
        <v>52</v>
      </c>
    </row>
    <row r="3038" spans="1:77" x14ac:dyDescent="0.2">
      <c r="A3038" t="s">
        <v>10399</v>
      </c>
      <c r="B3038" t="s">
        <v>830</v>
      </c>
      <c r="C3038" t="s">
        <v>10459</v>
      </c>
      <c r="D3038" t="s">
        <v>3046</v>
      </c>
      <c r="E3038" t="s">
        <v>10460</v>
      </c>
      <c r="F3038" t="s">
        <v>118</v>
      </c>
      <c r="G3038" t="str">
        <f>HYPERLINK("https://vk.com/wall-61101621_254540?reply=254547")</f>
        <v>https://vk.com/wall-61101621_254540?reply=254547</v>
      </c>
      <c r="H3038" t="s">
        <v>119</v>
      </c>
      <c r="I3038" t="s">
        <v>3070</v>
      </c>
      <c r="J3038" t="str">
        <f>HYPERLINK("http://vk.com/id50172316")</f>
        <v>http://vk.com/id50172316</v>
      </c>
      <c r="K3038">
        <v>90</v>
      </c>
      <c r="M3038">
        <v>37</v>
      </c>
      <c r="N3038" t="s">
        <v>122</v>
      </c>
      <c r="O3038" t="s">
        <v>160</v>
      </c>
      <c r="P3038" t="str">
        <f>HYPERLINK("http://vk.com/club61101621")</f>
        <v>http://vk.com/club61101621</v>
      </c>
      <c r="Q3038">
        <v>21119</v>
      </c>
      <c r="R3038" t="s">
        <v>124</v>
      </c>
      <c r="S3038" t="s">
        <v>125</v>
      </c>
      <c r="T3038" t="s">
        <v>989</v>
      </c>
      <c r="U3038" t="s">
        <v>3071</v>
      </c>
      <c r="W3038">
        <v>0</v>
      </c>
      <c r="X3038">
        <v>0</v>
      </c>
      <c r="AM3038" t="s">
        <v>129</v>
      </c>
      <c r="AN3038" t="s">
        <v>130</v>
      </c>
      <c r="AP3038" t="s">
        <v>41</v>
      </c>
      <c r="AU3038" t="s">
        <v>46</v>
      </c>
      <c r="AZ3038" t="s">
        <v>51</v>
      </c>
      <c r="BA3038" t="s">
        <v>52</v>
      </c>
      <c r="BR3038" t="s">
        <v>69</v>
      </c>
    </row>
    <row r="3039" spans="1:77" x14ac:dyDescent="0.2">
      <c r="A3039" t="s">
        <v>10399</v>
      </c>
      <c r="B3039" t="s">
        <v>258</v>
      </c>
      <c r="C3039" t="s">
        <v>10459</v>
      </c>
      <c r="D3039" t="s">
        <v>3046</v>
      </c>
      <c r="E3039" t="s">
        <v>10461</v>
      </c>
      <c r="F3039" t="s">
        <v>118</v>
      </c>
      <c r="G3039" t="str">
        <f>HYPERLINK("https://vk.com/wall-61101621_254540?reply=254546")</f>
        <v>https://vk.com/wall-61101621_254540?reply=254546</v>
      </c>
      <c r="H3039" t="s">
        <v>119</v>
      </c>
      <c r="I3039" t="s">
        <v>3070</v>
      </c>
      <c r="J3039" t="str">
        <f>HYPERLINK("http://vk.com/id50172316")</f>
        <v>http://vk.com/id50172316</v>
      </c>
      <c r="K3039">
        <v>90</v>
      </c>
      <c r="M3039">
        <v>37</v>
      </c>
      <c r="N3039" t="s">
        <v>122</v>
      </c>
      <c r="O3039" t="s">
        <v>160</v>
      </c>
      <c r="P3039" t="str">
        <f>HYPERLINK("http://vk.com/club61101621")</f>
        <v>http://vk.com/club61101621</v>
      </c>
      <c r="Q3039">
        <v>21119</v>
      </c>
      <c r="R3039" t="s">
        <v>124</v>
      </c>
      <c r="S3039" t="s">
        <v>125</v>
      </c>
      <c r="T3039" t="s">
        <v>989</v>
      </c>
      <c r="U3039" t="s">
        <v>3071</v>
      </c>
      <c r="W3039">
        <v>0</v>
      </c>
      <c r="X3039">
        <v>0</v>
      </c>
      <c r="AM3039" t="s">
        <v>129</v>
      </c>
      <c r="AN3039" t="s">
        <v>130</v>
      </c>
      <c r="AP3039" t="s">
        <v>41</v>
      </c>
      <c r="AU3039" t="s">
        <v>46</v>
      </c>
      <c r="AZ3039" t="s">
        <v>51</v>
      </c>
      <c r="BA3039" t="s">
        <v>52</v>
      </c>
    </row>
    <row r="3040" spans="1:77" x14ac:dyDescent="0.2">
      <c r="A3040" t="s">
        <v>10399</v>
      </c>
      <c r="B3040" t="s">
        <v>4200</v>
      </c>
      <c r="C3040" t="s">
        <v>10462</v>
      </c>
      <c r="D3040" t="s">
        <v>10463</v>
      </c>
      <c r="E3040" t="s">
        <v>10464</v>
      </c>
      <c r="F3040" t="s">
        <v>180</v>
      </c>
      <c r="G3040" t="str">
        <f>HYPERLINK("https://www.google.com/maps/reviews/data=!4m5!14m4!1m3!1m2!1s111952724404587942401!2s0x0:0x3e26b2722c2de9a2?hl=en-NL")</f>
        <v>https://www.google.com/maps/reviews/data=!4m5!14m4!1m3!1m2!1s111952724404587942401!2s0x0:0x3e26b2722c2de9a2?hl=en-NL</v>
      </c>
      <c r="H3040" t="s">
        <v>181</v>
      </c>
      <c r="I3040" t="s">
        <v>10465</v>
      </c>
      <c r="J3040" t="str">
        <f>HYPERLINK("https://maps.google.com/maps/contrib/111952724404587942401")</f>
        <v>https://maps.google.com/maps/contrib/111952724404587942401</v>
      </c>
      <c r="N3040" t="s">
        <v>673</v>
      </c>
      <c r="O3040" t="s">
        <v>10463</v>
      </c>
      <c r="P3040" t="str">
        <f>HYPERLINK("https://maps.google.com/maps/place/data=!3m1!4b1!4m5!3m4!1s0x0:0x3e26b2722c2de9a2!8m2!3d47.578540!4d41.116220")</f>
        <v>https://maps.google.com/maps/place/data=!3m1!4b1!4m5!3m4!1s0x0:0x3e26b2722c2de9a2!8m2!3d47.578540!4d41.116220</v>
      </c>
      <c r="R3040" t="s">
        <v>184</v>
      </c>
      <c r="S3040" t="s">
        <v>125</v>
      </c>
      <c r="T3040" t="s">
        <v>627</v>
      </c>
      <c r="U3040" t="s">
        <v>10466</v>
      </c>
      <c r="W3040">
        <v>0</v>
      </c>
      <c r="X3040">
        <v>0</v>
      </c>
      <c r="AH3040">
        <v>5</v>
      </c>
      <c r="AM3040" t="s">
        <v>129</v>
      </c>
      <c r="AN3040" t="s">
        <v>130</v>
      </c>
      <c r="AP3040" t="s">
        <v>41</v>
      </c>
      <c r="AX3040" t="s">
        <v>49</v>
      </c>
      <c r="AZ3040" t="s">
        <v>51</v>
      </c>
      <c r="BD3040" t="s">
        <v>55</v>
      </c>
    </row>
    <row r="3041" spans="1:70" x14ac:dyDescent="0.2">
      <c r="A3041" t="s">
        <v>10399</v>
      </c>
      <c r="B3041" t="s">
        <v>847</v>
      </c>
      <c r="C3041" t="s">
        <v>10467</v>
      </c>
      <c r="D3041" t="s">
        <v>10468</v>
      </c>
      <c r="E3041" t="s">
        <v>10469</v>
      </c>
      <c r="F3041" t="s">
        <v>118</v>
      </c>
      <c r="G3041" t="str">
        <f>HYPERLINK("https://telegram.me/vkxchat/813742")</f>
        <v>https://telegram.me/vkxchat/813742</v>
      </c>
      <c r="H3041" t="s">
        <v>119</v>
      </c>
      <c r="I3041" t="s">
        <v>10470</v>
      </c>
      <c r="J3041" t="str">
        <f>HYPERLINK("https://telegram.me/tidi286")</f>
        <v>https://telegram.me/tidi286</v>
      </c>
      <c r="N3041" t="s">
        <v>143</v>
      </c>
      <c r="O3041" t="s">
        <v>10471</v>
      </c>
      <c r="P3041" t="str">
        <f>HYPERLINK("https://telegram.me/vkxchat")</f>
        <v>https://telegram.me/vkxchat</v>
      </c>
      <c r="Q3041">
        <v>1834</v>
      </c>
      <c r="R3041" t="s">
        <v>145</v>
      </c>
      <c r="AM3041" t="s">
        <v>129</v>
      </c>
      <c r="AN3041" t="s">
        <v>130</v>
      </c>
      <c r="AP3041" t="s">
        <v>41</v>
      </c>
      <c r="AZ3041" t="s">
        <v>51</v>
      </c>
      <c r="BA3041" t="s">
        <v>52</v>
      </c>
    </row>
    <row r="3042" spans="1:70" x14ac:dyDescent="0.2">
      <c r="A3042" t="s">
        <v>10399</v>
      </c>
      <c r="B3042" t="s">
        <v>847</v>
      </c>
      <c r="C3042" t="s">
        <v>10472</v>
      </c>
      <c r="D3042" t="s">
        <v>10473</v>
      </c>
      <c r="E3042" t="s">
        <v>10474</v>
      </c>
      <c r="F3042" t="s">
        <v>118</v>
      </c>
      <c r="G3042" t="str">
        <f>HYPERLINK("https://telegram.me/vkxchat/813741")</f>
        <v>https://telegram.me/vkxchat/813741</v>
      </c>
      <c r="H3042" t="s">
        <v>228</v>
      </c>
      <c r="I3042" t="s">
        <v>10470</v>
      </c>
      <c r="J3042" t="str">
        <f>HYPERLINK("https://telegram.me/tidi286")</f>
        <v>https://telegram.me/tidi286</v>
      </c>
      <c r="N3042" t="s">
        <v>143</v>
      </c>
      <c r="O3042" t="s">
        <v>10471</v>
      </c>
      <c r="P3042" t="str">
        <f>HYPERLINK("https://telegram.me/vkxchat")</f>
        <v>https://telegram.me/vkxchat</v>
      </c>
      <c r="Q3042">
        <v>1834</v>
      </c>
      <c r="R3042" t="s">
        <v>145</v>
      </c>
      <c r="AM3042" t="s">
        <v>129</v>
      </c>
      <c r="AN3042" t="s">
        <v>130</v>
      </c>
      <c r="AP3042" t="s">
        <v>41</v>
      </c>
      <c r="AZ3042" t="s">
        <v>51</v>
      </c>
      <c r="BA3042" t="s">
        <v>52</v>
      </c>
      <c r="BR3042" t="s">
        <v>69</v>
      </c>
    </row>
    <row r="3043" spans="1:70" x14ac:dyDescent="0.2">
      <c r="A3043" t="s">
        <v>10399</v>
      </c>
      <c r="B3043" t="s">
        <v>1385</v>
      </c>
      <c r="C3043" t="s">
        <v>10472</v>
      </c>
      <c r="D3043" t="s">
        <v>10475</v>
      </c>
      <c r="E3043" t="s">
        <v>10473</v>
      </c>
      <c r="F3043" t="s">
        <v>118</v>
      </c>
      <c r="G3043" t="str">
        <f>HYPERLINK("https://telegram.me/vkxchat/813738")</f>
        <v>https://telegram.me/vkxchat/813738</v>
      </c>
      <c r="H3043" t="s">
        <v>228</v>
      </c>
      <c r="I3043" t="s">
        <v>10476</v>
      </c>
      <c r="J3043" t="str">
        <f>HYPERLINK("https://telegram.me/greygn")</f>
        <v>https://telegram.me/greygn</v>
      </c>
      <c r="N3043" t="s">
        <v>143</v>
      </c>
      <c r="O3043" t="s">
        <v>10471</v>
      </c>
      <c r="P3043" t="str">
        <f>HYPERLINK("https://telegram.me/vkxchat")</f>
        <v>https://telegram.me/vkxchat</v>
      </c>
      <c r="Q3043">
        <v>1834</v>
      </c>
      <c r="R3043" t="s">
        <v>145</v>
      </c>
      <c r="AM3043" t="s">
        <v>129</v>
      </c>
      <c r="AN3043" t="s">
        <v>130</v>
      </c>
      <c r="AP3043" t="s">
        <v>41</v>
      </c>
      <c r="AZ3043" t="s">
        <v>51</v>
      </c>
      <c r="BA3043" t="s">
        <v>52</v>
      </c>
      <c r="BR3043" t="s">
        <v>69</v>
      </c>
    </row>
    <row r="3044" spans="1:70" x14ac:dyDescent="0.2">
      <c r="A3044" t="s">
        <v>10399</v>
      </c>
      <c r="B3044" t="s">
        <v>1396</v>
      </c>
      <c r="C3044" t="s">
        <v>10477</v>
      </c>
      <c r="D3044" t="s">
        <v>8420</v>
      </c>
      <c r="E3044" t="s">
        <v>10478</v>
      </c>
      <c r="F3044" t="s">
        <v>180</v>
      </c>
      <c r="G3044" t="str">
        <f>HYPERLINK("https://www.ozon.ru/context/detail/id/202443919/#57688730")</f>
        <v>https://www.ozon.ru/context/detail/id/202443919/#57688730</v>
      </c>
      <c r="H3044" t="s">
        <v>181</v>
      </c>
      <c r="I3044" t="s">
        <v>10479</v>
      </c>
      <c r="J3044" t="str">
        <f>HYPERLINK("https://www.ozon.ru/context/client_opinion/ClientGuid/ec746631-351c-4527-8d51-f7667847b9ea/")</f>
        <v>https://www.ozon.ru/context/client_opinion/ClientGuid/ec746631-351c-4527-8d51-f7667847b9ea/</v>
      </c>
      <c r="L3044" t="s">
        <v>121</v>
      </c>
      <c r="N3044" t="s">
        <v>183</v>
      </c>
      <c r="O3044" t="s">
        <v>8420</v>
      </c>
      <c r="P3044" t="str">
        <f>HYPERLINK("https://www.ozon.ru/context/detail/id/202443919/")</f>
        <v>https://www.ozon.ru/context/detail/id/202443919/</v>
      </c>
      <c r="R3044" t="s">
        <v>184</v>
      </c>
      <c r="S3044" t="s">
        <v>125</v>
      </c>
      <c r="W3044">
        <v>2</v>
      </c>
      <c r="X3044">
        <v>2</v>
      </c>
      <c r="AH3044">
        <v>5</v>
      </c>
      <c r="AM3044" t="s">
        <v>129</v>
      </c>
      <c r="AN3044" t="s">
        <v>130</v>
      </c>
      <c r="AP3044" t="s">
        <v>41</v>
      </c>
      <c r="AT3044" t="s">
        <v>45</v>
      </c>
      <c r="AZ3044" t="s">
        <v>51</v>
      </c>
      <c r="BA3044" t="s">
        <v>52</v>
      </c>
    </row>
    <row r="3045" spans="1:70" x14ac:dyDescent="0.2">
      <c r="A3045" t="s">
        <v>10399</v>
      </c>
      <c r="B3045" t="s">
        <v>2431</v>
      </c>
      <c r="C3045" t="s">
        <v>10480</v>
      </c>
      <c r="D3045" t="s">
        <v>3046</v>
      </c>
      <c r="E3045" t="s">
        <v>10481</v>
      </c>
      <c r="F3045" t="s">
        <v>118</v>
      </c>
      <c r="G3045" t="str">
        <f>HYPERLINK("https://vk.com/wall-61101621_254540?w=wall-61101621_254540_r254545")</f>
        <v>https://vk.com/wall-61101621_254540?w=wall-61101621_254540_r254545</v>
      </c>
      <c r="H3045" t="s">
        <v>119</v>
      </c>
      <c r="I3045" t="s">
        <v>4699</v>
      </c>
      <c r="J3045" t="str">
        <f>HYPERLINK("http://vk.com/id282258755")</f>
        <v>http://vk.com/id282258755</v>
      </c>
      <c r="K3045">
        <v>953</v>
      </c>
      <c r="L3045" t="s">
        <v>121</v>
      </c>
      <c r="M3045">
        <v>20</v>
      </c>
      <c r="N3045" t="s">
        <v>122</v>
      </c>
      <c r="O3045" t="s">
        <v>160</v>
      </c>
      <c r="P3045" t="str">
        <f>HYPERLINK("http://vk.com/club61101621")</f>
        <v>http://vk.com/club61101621</v>
      </c>
      <c r="Q3045">
        <v>21119</v>
      </c>
      <c r="R3045" t="s">
        <v>124</v>
      </c>
      <c r="S3045" t="s">
        <v>125</v>
      </c>
      <c r="T3045" t="s">
        <v>487</v>
      </c>
      <c r="U3045" t="s">
        <v>488</v>
      </c>
      <c r="W3045">
        <v>0</v>
      </c>
      <c r="X3045">
        <v>0</v>
      </c>
      <c r="AM3045" t="s">
        <v>129</v>
      </c>
      <c r="AN3045" t="s">
        <v>130</v>
      </c>
      <c r="AP3045" t="s">
        <v>41</v>
      </c>
      <c r="AU3045" t="s">
        <v>46</v>
      </c>
      <c r="AZ3045" t="s">
        <v>51</v>
      </c>
      <c r="BA3045" t="s">
        <v>52</v>
      </c>
    </row>
    <row r="3046" spans="1:70" x14ac:dyDescent="0.2">
      <c r="A3046" t="s">
        <v>10399</v>
      </c>
      <c r="B3046" t="s">
        <v>10482</v>
      </c>
      <c r="C3046" t="s">
        <v>10480</v>
      </c>
      <c r="D3046" t="s">
        <v>3046</v>
      </c>
      <c r="E3046" t="s">
        <v>10483</v>
      </c>
      <c r="F3046" t="s">
        <v>118</v>
      </c>
      <c r="G3046" t="str">
        <f>HYPERLINK("https://vk.com/wall-61101621_254540?w=wall-61101621_254540_r254544")</f>
        <v>https://vk.com/wall-61101621_254540?w=wall-61101621_254540_r254544</v>
      </c>
      <c r="H3046" t="s">
        <v>119</v>
      </c>
      <c r="I3046" t="s">
        <v>6954</v>
      </c>
      <c r="J3046" t="str">
        <f>HYPERLINK("http://vk.com/id141950690")</f>
        <v>http://vk.com/id141950690</v>
      </c>
      <c r="K3046">
        <v>57</v>
      </c>
      <c r="L3046" t="s">
        <v>121</v>
      </c>
      <c r="M3046">
        <v>33</v>
      </c>
      <c r="N3046" t="s">
        <v>122</v>
      </c>
      <c r="O3046" t="s">
        <v>160</v>
      </c>
      <c r="P3046" t="str">
        <f>HYPERLINK("http://vk.com/club61101621")</f>
        <v>http://vk.com/club61101621</v>
      </c>
      <c r="Q3046">
        <v>21119</v>
      </c>
      <c r="R3046" t="s">
        <v>124</v>
      </c>
      <c r="S3046" t="s">
        <v>125</v>
      </c>
      <c r="T3046" t="s">
        <v>1027</v>
      </c>
      <c r="U3046" t="s">
        <v>1028</v>
      </c>
      <c r="W3046">
        <v>0</v>
      </c>
      <c r="X3046">
        <v>0</v>
      </c>
      <c r="AM3046" t="s">
        <v>129</v>
      </c>
      <c r="AN3046" t="s">
        <v>130</v>
      </c>
      <c r="AP3046" t="s">
        <v>41</v>
      </c>
      <c r="AU3046" t="s">
        <v>46</v>
      </c>
      <c r="AZ3046" t="s">
        <v>51</v>
      </c>
      <c r="BA3046" t="s">
        <v>52</v>
      </c>
    </row>
    <row r="3047" spans="1:70" x14ac:dyDescent="0.2">
      <c r="A3047" t="s">
        <v>10399</v>
      </c>
      <c r="B3047" t="s">
        <v>7363</v>
      </c>
      <c r="C3047" t="s">
        <v>10480</v>
      </c>
      <c r="D3047" t="s">
        <v>3043</v>
      </c>
      <c r="E3047" t="s">
        <v>10484</v>
      </c>
      <c r="F3047" t="s">
        <v>118</v>
      </c>
      <c r="G3047" t="str">
        <f>HYPERLINK("https://vk.com/wall-61101621_254539?reply=254543")</f>
        <v>https://vk.com/wall-61101621_254539?reply=254543</v>
      </c>
      <c r="H3047" t="s">
        <v>119</v>
      </c>
      <c r="I3047" t="s">
        <v>4699</v>
      </c>
      <c r="J3047" t="str">
        <f>HYPERLINK("http://vk.com/id282258755")</f>
        <v>http://vk.com/id282258755</v>
      </c>
      <c r="K3047">
        <v>953</v>
      </c>
      <c r="L3047" t="s">
        <v>121</v>
      </c>
      <c r="M3047">
        <v>20</v>
      </c>
      <c r="N3047" t="s">
        <v>122</v>
      </c>
      <c r="O3047" t="s">
        <v>160</v>
      </c>
      <c r="P3047" t="str">
        <f>HYPERLINK("http://vk.com/club61101621")</f>
        <v>http://vk.com/club61101621</v>
      </c>
      <c r="Q3047">
        <v>21119</v>
      </c>
      <c r="R3047" t="s">
        <v>124</v>
      </c>
      <c r="S3047" t="s">
        <v>125</v>
      </c>
      <c r="T3047" t="s">
        <v>487</v>
      </c>
      <c r="U3047" t="s">
        <v>488</v>
      </c>
      <c r="W3047">
        <v>0</v>
      </c>
      <c r="X3047">
        <v>0</v>
      </c>
      <c r="AM3047" t="s">
        <v>129</v>
      </c>
      <c r="AN3047" t="s">
        <v>130</v>
      </c>
      <c r="AP3047" t="s">
        <v>41</v>
      </c>
      <c r="AU3047" t="s">
        <v>46</v>
      </c>
      <c r="AZ3047" t="s">
        <v>51</v>
      </c>
      <c r="BA3047" t="s">
        <v>52</v>
      </c>
    </row>
    <row r="3048" spans="1:70" x14ac:dyDescent="0.2">
      <c r="A3048" t="s">
        <v>10399</v>
      </c>
      <c r="B3048" t="s">
        <v>4213</v>
      </c>
      <c r="C3048" t="s">
        <v>10485</v>
      </c>
      <c r="D3048" t="s">
        <v>3046</v>
      </c>
      <c r="E3048" t="s">
        <v>10486</v>
      </c>
      <c r="F3048" t="s">
        <v>118</v>
      </c>
      <c r="G3048" t="str">
        <f>HYPERLINK("https://vk.com/wall-61101621_254540?w=wall-61101621_254540_r254542")</f>
        <v>https://vk.com/wall-61101621_254540?w=wall-61101621_254540_r254542</v>
      </c>
      <c r="H3048" t="s">
        <v>119</v>
      </c>
      <c r="I3048" t="s">
        <v>4699</v>
      </c>
      <c r="J3048" t="str">
        <f>HYPERLINK("http://vk.com/id282258755")</f>
        <v>http://vk.com/id282258755</v>
      </c>
      <c r="K3048">
        <v>953</v>
      </c>
      <c r="L3048" t="s">
        <v>121</v>
      </c>
      <c r="M3048">
        <v>20</v>
      </c>
      <c r="N3048" t="s">
        <v>122</v>
      </c>
      <c r="O3048" t="s">
        <v>160</v>
      </c>
      <c r="P3048" t="str">
        <f>HYPERLINK("http://vk.com/club61101621")</f>
        <v>http://vk.com/club61101621</v>
      </c>
      <c r="Q3048">
        <v>21119</v>
      </c>
      <c r="R3048" t="s">
        <v>124</v>
      </c>
      <c r="S3048" t="s">
        <v>125</v>
      </c>
      <c r="T3048" t="s">
        <v>487</v>
      </c>
      <c r="U3048" t="s">
        <v>488</v>
      </c>
      <c r="W3048">
        <v>0</v>
      </c>
      <c r="X3048">
        <v>0</v>
      </c>
      <c r="AM3048" t="s">
        <v>129</v>
      </c>
      <c r="AN3048" t="s">
        <v>130</v>
      </c>
      <c r="AP3048" t="s">
        <v>41</v>
      </c>
      <c r="AU3048" t="s">
        <v>46</v>
      </c>
      <c r="AZ3048" t="s">
        <v>51</v>
      </c>
      <c r="BA3048" t="s">
        <v>52</v>
      </c>
    </row>
    <row r="3049" spans="1:70" x14ac:dyDescent="0.2">
      <c r="A3049" t="s">
        <v>10399</v>
      </c>
      <c r="B3049" t="s">
        <v>858</v>
      </c>
      <c r="C3049" t="s">
        <v>10485</v>
      </c>
      <c r="D3049" t="s">
        <v>3046</v>
      </c>
      <c r="E3049" t="s">
        <v>10487</v>
      </c>
      <c r="F3049" t="s">
        <v>118</v>
      </c>
      <c r="G3049" t="str">
        <f>HYPERLINK("https://vk.com/wall-61101621_254540?reply=254541")</f>
        <v>https://vk.com/wall-61101621_254540?reply=254541</v>
      </c>
      <c r="H3049" t="s">
        <v>119</v>
      </c>
      <c r="I3049" t="s">
        <v>6954</v>
      </c>
      <c r="J3049" t="str">
        <f>HYPERLINK("http://vk.com/id141950690")</f>
        <v>http://vk.com/id141950690</v>
      </c>
      <c r="K3049">
        <v>57</v>
      </c>
      <c r="L3049" t="s">
        <v>121</v>
      </c>
      <c r="M3049">
        <v>33</v>
      </c>
      <c r="N3049" t="s">
        <v>122</v>
      </c>
      <c r="O3049" t="s">
        <v>160</v>
      </c>
      <c r="P3049" t="str">
        <f>HYPERLINK("http://vk.com/club61101621")</f>
        <v>http://vk.com/club61101621</v>
      </c>
      <c r="Q3049">
        <v>21119</v>
      </c>
      <c r="R3049" t="s">
        <v>124</v>
      </c>
      <c r="S3049" t="s">
        <v>125</v>
      </c>
      <c r="T3049" t="s">
        <v>1027</v>
      </c>
      <c r="U3049" t="s">
        <v>1028</v>
      </c>
      <c r="W3049">
        <v>0</v>
      </c>
      <c r="X3049">
        <v>0</v>
      </c>
      <c r="AM3049" t="s">
        <v>129</v>
      </c>
      <c r="AN3049" t="s">
        <v>130</v>
      </c>
      <c r="AP3049" t="s">
        <v>41</v>
      </c>
      <c r="AU3049" t="s">
        <v>46</v>
      </c>
      <c r="AZ3049" t="s">
        <v>51</v>
      </c>
      <c r="BB3049" t="s">
        <v>53</v>
      </c>
    </row>
    <row r="3050" spans="1:70" x14ac:dyDescent="0.2">
      <c r="A3050" t="s">
        <v>10399</v>
      </c>
      <c r="B3050" t="s">
        <v>7696</v>
      </c>
      <c r="C3050" t="s">
        <v>10488</v>
      </c>
      <c r="D3050" t="s">
        <v>10489</v>
      </c>
      <c r="E3050" t="s">
        <v>10490</v>
      </c>
      <c r="F3050" t="s">
        <v>118</v>
      </c>
      <c r="G3050" t="str">
        <f>HYPERLINK("https://vk.com/wall-159446803_11566?reply=11607")</f>
        <v>https://vk.com/wall-159446803_11566?reply=11607</v>
      </c>
      <c r="H3050" t="s">
        <v>181</v>
      </c>
      <c r="I3050" t="s">
        <v>10491</v>
      </c>
      <c r="J3050" t="str">
        <f>HYPERLINK("http://vk.com/id966319")</f>
        <v>http://vk.com/id966319</v>
      </c>
      <c r="K3050">
        <v>177</v>
      </c>
      <c r="L3050" t="s">
        <v>121</v>
      </c>
      <c r="M3050">
        <v>38</v>
      </c>
      <c r="N3050" t="s">
        <v>122</v>
      </c>
      <c r="O3050" t="s">
        <v>10492</v>
      </c>
      <c r="P3050" t="str">
        <f>HYPERLINK("http://vk.com/club159446803")</f>
        <v>http://vk.com/club159446803</v>
      </c>
      <c r="Q3050">
        <v>1184</v>
      </c>
      <c r="R3050" t="s">
        <v>124</v>
      </c>
      <c r="S3050" t="s">
        <v>125</v>
      </c>
      <c r="T3050" t="s">
        <v>137</v>
      </c>
      <c r="U3050" t="s">
        <v>137</v>
      </c>
      <c r="AM3050" t="s">
        <v>129</v>
      </c>
      <c r="AN3050" t="s">
        <v>130</v>
      </c>
      <c r="AP3050" t="s">
        <v>41</v>
      </c>
      <c r="AZ3050" t="s">
        <v>51</v>
      </c>
      <c r="BA3050" t="s">
        <v>52</v>
      </c>
    </row>
    <row r="3051" spans="1:70" x14ac:dyDescent="0.2">
      <c r="A3051" t="s">
        <v>10399</v>
      </c>
      <c r="B3051" t="s">
        <v>3710</v>
      </c>
      <c r="C3051" t="s">
        <v>10493</v>
      </c>
      <c r="D3051" t="s">
        <v>567</v>
      </c>
      <c r="E3051" t="s">
        <v>10494</v>
      </c>
      <c r="F3051" t="s">
        <v>118</v>
      </c>
      <c r="G3051" t="str">
        <f>HYPERLINK("https://vk.com/topic-27863223_35936941?post=115821")</f>
        <v>https://vk.com/topic-27863223_35936941?post=115821</v>
      </c>
      <c r="H3051" t="s">
        <v>119</v>
      </c>
      <c r="I3051" t="s">
        <v>10495</v>
      </c>
      <c r="J3051" t="str">
        <f>HYPERLINK("http://vk.com/id21611479")</f>
        <v>http://vk.com/id21611479</v>
      </c>
      <c r="K3051">
        <v>129</v>
      </c>
      <c r="L3051" t="s">
        <v>151</v>
      </c>
      <c r="N3051" t="s">
        <v>122</v>
      </c>
      <c r="O3051" t="s">
        <v>175</v>
      </c>
      <c r="P3051" t="str">
        <f>HYPERLINK("http://vk.com/club27863223")</f>
        <v>http://vk.com/club27863223</v>
      </c>
      <c r="Q3051">
        <v>134698</v>
      </c>
      <c r="R3051" t="s">
        <v>124</v>
      </c>
      <c r="S3051" t="s">
        <v>125</v>
      </c>
      <c r="AM3051" t="s">
        <v>129</v>
      </c>
      <c r="AN3051" t="s">
        <v>130</v>
      </c>
      <c r="AP3051" t="s">
        <v>41</v>
      </c>
      <c r="AW3051" t="s">
        <v>48</v>
      </c>
      <c r="BA3051" t="s">
        <v>52</v>
      </c>
      <c r="BE3051" t="s">
        <v>56</v>
      </c>
      <c r="BL3051" t="s">
        <v>63</v>
      </c>
    </row>
    <row r="3052" spans="1:70" x14ac:dyDescent="0.2">
      <c r="A3052" t="s">
        <v>10399</v>
      </c>
      <c r="B3052" t="s">
        <v>300</v>
      </c>
      <c r="C3052" t="s">
        <v>10496</v>
      </c>
      <c r="D3052" t="s">
        <v>10497</v>
      </c>
      <c r="E3052" t="s">
        <v>10498</v>
      </c>
      <c r="F3052" t="s">
        <v>118</v>
      </c>
      <c r="G3052" t="str">
        <f>HYPERLINK("https://vk.com/wall-152383767_142140?reply=142286&amp;thread=142159")</f>
        <v>https://vk.com/wall-152383767_142140?reply=142286&amp;thread=142159</v>
      </c>
      <c r="H3052" t="s">
        <v>119</v>
      </c>
      <c r="I3052" t="s">
        <v>10499</v>
      </c>
      <c r="J3052" t="str">
        <f>HYPERLINK("http://vk.com/id612217873")</f>
        <v>http://vk.com/id612217873</v>
      </c>
      <c r="K3052">
        <v>5</v>
      </c>
      <c r="L3052" t="s">
        <v>121</v>
      </c>
      <c r="M3052">
        <v>40</v>
      </c>
      <c r="N3052" t="s">
        <v>122</v>
      </c>
      <c r="O3052" t="s">
        <v>9396</v>
      </c>
      <c r="P3052" t="str">
        <f>HYPERLINK("http://vk.com/club152383767")</f>
        <v>http://vk.com/club152383767</v>
      </c>
      <c r="Q3052">
        <v>25880</v>
      </c>
      <c r="R3052" t="s">
        <v>124</v>
      </c>
      <c r="S3052" t="s">
        <v>125</v>
      </c>
      <c r="T3052" t="s">
        <v>169</v>
      </c>
      <c r="U3052" t="s">
        <v>169</v>
      </c>
      <c r="AM3052" t="s">
        <v>129</v>
      </c>
      <c r="AN3052" t="s">
        <v>130</v>
      </c>
      <c r="AP3052" t="s">
        <v>41</v>
      </c>
      <c r="AU3052" t="s">
        <v>46</v>
      </c>
      <c r="AZ3052" t="s">
        <v>51</v>
      </c>
      <c r="BA3052" t="s">
        <v>52</v>
      </c>
    </row>
    <row r="3053" spans="1:70" x14ac:dyDescent="0.2">
      <c r="A3053" t="s">
        <v>10399</v>
      </c>
      <c r="B3053" t="s">
        <v>2451</v>
      </c>
      <c r="C3053" t="s">
        <v>10496</v>
      </c>
      <c r="D3053" t="s">
        <v>9804</v>
      </c>
      <c r="E3053" t="s">
        <v>10500</v>
      </c>
      <c r="F3053" t="s">
        <v>118</v>
      </c>
      <c r="G3053" t="str">
        <f>HYPERLINK("https://vk.com/wall-22935147_368183?reply=368209")</f>
        <v>https://vk.com/wall-22935147_368183?reply=368209</v>
      </c>
      <c r="H3053" t="s">
        <v>119</v>
      </c>
      <c r="I3053" t="s">
        <v>5114</v>
      </c>
      <c r="J3053" t="str">
        <f>HYPERLINK("http://vk.com/id365357670")</f>
        <v>http://vk.com/id365357670</v>
      </c>
      <c r="K3053">
        <v>8</v>
      </c>
      <c r="L3053" t="s">
        <v>121</v>
      </c>
      <c r="M3053">
        <v>30</v>
      </c>
      <c r="N3053" t="s">
        <v>122</v>
      </c>
      <c r="O3053" t="s">
        <v>1093</v>
      </c>
      <c r="P3053" t="str">
        <f>HYPERLINK("http://vk.com/club22935147")</f>
        <v>http://vk.com/club22935147</v>
      </c>
      <c r="Q3053">
        <v>8943</v>
      </c>
      <c r="R3053" t="s">
        <v>124</v>
      </c>
      <c r="S3053" t="s">
        <v>125</v>
      </c>
      <c r="T3053" t="s">
        <v>5115</v>
      </c>
      <c r="U3053" t="s">
        <v>5116</v>
      </c>
      <c r="AM3053" t="s">
        <v>129</v>
      </c>
      <c r="AN3053" t="s">
        <v>130</v>
      </c>
      <c r="AP3053" t="s">
        <v>41</v>
      </c>
      <c r="AU3053" t="s">
        <v>46</v>
      </c>
      <c r="AZ3053" t="s">
        <v>51</v>
      </c>
      <c r="BA3053" t="s">
        <v>52</v>
      </c>
    </row>
    <row r="3054" spans="1:70" x14ac:dyDescent="0.2">
      <c r="A3054" t="s">
        <v>10399</v>
      </c>
      <c r="B3054" t="s">
        <v>2461</v>
      </c>
      <c r="C3054" t="s">
        <v>10501</v>
      </c>
      <c r="D3054" t="s">
        <v>129</v>
      </c>
      <c r="E3054" t="s">
        <v>10502</v>
      </c>
      <c r="F3054" t="s">
        <v>180</v>
      </c>
      <c r="G3054" t="str">
        <f>HYPERLINK("https://twitter.com/1183396306607378433/status/1412432566351695872")</f>
        <v>https://twitter.com/1183396306607378433/status/1412432566351695872</v>
      </c>
      <c r="H3054" t="s">
        <v>228</v>
      </c>
      <c r="I3054" t="s">
        <v>10503</v>
      </c>
      <c r="J3054" t="str">
        <f>HYPERLINK("http://twitter.com/hoshi_twt_")</f>
        <v>http://twitter.com/hoshi_twt_</v>
      </c>
      <c r="K3054">
        <v>538</v>
      </c>
      <c r="N3054" t="s">
        <v>350</v>
      </c>
      <c r="R3054" t="s">
        <v>124</v>
      </c>
      <c r="W3054">
        <v>0</v>
      </c>
      <c r="X3054">
        <v>0</v>
      </c>
      <c r="AE3054">
        <v>0</v>
      </c>
      <c r="AF3054">
        <v>0</v>
      </c>
      <c r="AM3054" t="s">
        <v>129</v>
      </c>
      <c r="AN3054" t="s">
        <v>130</v>
      </c>
      <c r="AP3054" t="s">
        <v>41</v>
      </c>
      <c r="AU3054" t="s">
        <v>46</v>
      </c>
      <c r="AZ3054" t="s">
        <v>51</v>
      </c>
      <c r="BA3054" t="s">
        <v>52</v>
      </c>
    </row>
    <row r="3055" spans="1:70" x14ac:dyDescent="0.2">
      <c r="A3055" t="s">
        <v>10399</v>
      </c>
      <c r="B3055" t="s">
        <v>4708</v>
      </c>
      <c r="C3055" t="s">
        <v>10504</v>
      </c>
      <c r="D3055" t="s">
        <v>10505</v>
      </c>
      <c r="E3055" t="s">
        <v>10506</v>
      </c>
      <c r="F3055" t="s">
        <v>118</v>
      </c>
      <c r="G3055" t="str">
        <f>HYPERLINK("https://www.youtube.com/watch?v=ysU8CZbgypQ&amp;lc=UgwLnkPRmvALEP7WLS14AaABAg")</f>
        <v>https://www.youtube.com/watch?v=ysU8CZbgypQ&amp;lc=UgwLnkPRmvALEP7WLS14AaABAg</v>
      </c>
      <c r="H3055" t="s">
        <v>119</v>
      </c>
      <c r="I3055" t="s">
        <v>10507</v>
      </c>
      <c r="J3055" t="str">
        <f>HYPERLINK("https://www.youtube.com/channel/UC8nZwl1T8F9Vvm4WonfFExg")</f>
        <v>https://www.youtube.com/channel/UC8nZwl1T8F9Vvm4WonfFExg</v>
      </c>
      <c r="K3055">
        <v>0</v>
      </c>
      <c r="N3055" t="s">
        <v>248</v>
      </c>
      <c r="O3055" t="s">
        <v>10508</v>
      </c>
      <c r="P3055" t="str">
        <f>HYPERLINK("https://www.youtube.com/channel/UCOMFJfZN6TfeXTNpPOfyshw")</f>
        <v>https://www.youtube.com/channel/UCOMFJfZN6TfeXTNpPOfyshw</v>
      </c>
      <c r="Q3055">
        <v>1070</v>
      </c>
      <c r="R3055" t="s">
        <v>124</v>
      </c>
      <c r="S3055" t="s">
        <v>125</v>
      </c>
      <c r="W3055">
        <v>0</v>
      </c>
      <c r="X3055">
        <v>0</v>
      </c>
      <c r="AE3055">
        <v>1</v>
      </c>
      <c r="AM3055" t="s">
        <v>129</v>
      </c>
      <c r="AN3055" t="s">
        <v>130</v>
      </c>
      <c r="AP3055" t="s">
        <v>41</v>
      </c>
      <c r="AU3055" t="s">
        <v>46</v>
      </c>
      <c r="AZ3055" t="s">
        <v>51</v>
      </c>
      <c r="BA3055" t="s">
        <v>52</v>
      </c>
    </row>
    <row r="3056" spans="1:70" x14ac:dyDescent="0.2">
      <c r="A3056" t="s">
        <v>10399</v>
      </c>
      <c r="B3056" t="s">
        <v>925</v>
      </c>
      <c r="C3056" t="s">
        <v>10509</v>
      </c>
      <c r="D3056" t="s">
        <v>9804</v>
      </c>
      <c r="E3056" t="s">
        <v>10510</v>
      </c>
      <c r="F3056" t="s">
        <v>118</v>
      </c>
      <c r="G3056" t="str">
        <f>HYPERLINK("https://vk.com/wall-22935147_368183?reply=368201")</f>
        <v>https://vk.com/wall-22935147_368183?reply=368201</v>
      </c>
      <c r="H3056" t="s">
        <v>119</v>
      </c>
      <c r="I3056" t="s">
        <v>8555</v>
      </c>
      <c r="J3056" t="str">
        <f>HYPERLINK("http://vk.com/id155154685")</f>
        <v>http://vk.com/id155154685</v>
      </c>
      <c r="K3056">
        <v>493</v>
      </c>
      <c r="L3056" t="s">
        <v>121</v>
      </c>
      <c r="M3056">
        <v>27</v>
      </c>
      <c r="N3056" t="s">
        <v>122</v>
      </c>
      <c r="O3056" t="s">
        <v>1093</v>
      </c>
      <c r="P3056" t="str">
        <f>HYPERLINK("http://vk.com/club22935147")</f>
        <v>http://vk.com/club22935147</v>
      </c>
      <c r="Q3056">
        <v>8943</v>
      </c>
      <c r="R3056" t="s">
        <v>124</v>
      </c>
      <c r="S3056" t="s">
        <v>125</v>
      </c>
      <c r="T3056" t="s">
        <v>6649</v>
      </c>
      <c r="U3056" t="s">
        <v>8556</v>
      </c>
      <c r="W3056">
        <v>0</v>
      </c>
      <c r="X3056">
        <v>0</v>
      </c>
      <c r="AM3056" t="s">
        <v>129</v>
      </c>
      <c r="AN3056" t="s">
        <v>130</v>
      </c>
      <c r="AP3056" t="s">
        <v>41</v>
      </c>
      <c r="AU3056" t="s">
        <v>46</v>
      </c>
      <c r="BA3056" t="s">
        <v>52</v>
      </c>
      <c r="BE3056" t="s">
        <v>56</v>
      </c>
    </row>
    <row r="3057" spans="1:93" x14ac:dyDescent="0.2">
      <c r="A3057" t="s">
        <v>10399</v>
      </c>
      <c r="B3057" t="s">
        <v>7440</v>
      </c>
      <c r="C3057" t="s">
        <v>10511</v>
      </c>
      <c r="D3057" t="s">
        <v>10512</v>
      </c>
      <c r="E3057" t="s">
        <v>10513</v>
      </c>
      <c r="F3057" t="s">
        <v>118</v>
      </c>
      <c r="G3057" t="str">
        <f>HYPERLINK("https://vk.com/wall-64430554_60038?reply=60374")</f>
        <v>https://vk.com/wall-64430554_60038?reply=60374</v>
      </c>
      <c r="H3057" t="s">
        <v>181</v>
      </c>
      <c r="I3057" t="s">
        <v>10514</v>
      </c>
      <c r="J3057" t="str">
        <f>HYPERLINK("http://vk.com/id489299788")</f>
        <v>http://vk.com/id489299788</v>
      </c>
      <c r="L3057" t="s">
        <v>121</v>
      </c>
      <c r="N3057" t="s">
        <v>122</v>
      </c>
      <c r="O3057" t="s">
        <v>10515</v>
      </c>
      <c r="P3057" t="str">
        <f>HYPERLINK("http://vk.com/club64430554")</f>
        <v>http://vk.com/club64430554</v>
      </c>
      <c r="Q3057">
        <v>11052</v>
      </c>
      <c r="R3057" t="s">
        <v>124</v>
      </c>
      <c r="S3057" t="s">
        <v>125</v>
      </c>
      <c r="T3057" t="s">
        <v>169</v>
      </c>
      <c r="U3057" t="s">
        <v>169</v>
      </c>
      <c r="AM3057" t="s">
        <v>129</v>
      </c>
      <c r="AN3057" t="s">
        <v>130</v>
      </c>
      <c r="AP3057" t="s">
        <v>41</v>
      </c>
      <c r="AT3057" t="s">
        <v>45</v>
      </c>
      <c r="AZ3057" t="s">
        <v>51</v>
      </c>
      <c r="BA3057" t="s">
        <v>52</v>
      </c>
    </row>
    <row r="3058" spans="1:93" x14ac:dyDescent="0.2">
      <c r="A3058" t="s">
        <v>10399</v>
      </c>
      <c r="B3058" t="s">
        <v>3783</v>
      </c>
      <c r="C3058" t="s">
        <v>5419</v>
      </c>
      <c r="D3058" t="s">
        <v>945</v>
      </c>
      <c r="E3058" t="s">
        <v>10516</v>
      </c>
      <c r="F3058" t="s">
        <v>180</v>
      </c>
      <c r="G3058" t="str">
        <f>HYPERLINK("https://www.ozon.ru/context/detail/id/168022785/#57657270")</f>
        <v>https://www.ozon.ru/context/detail/id/168022785/#57657270</v>
      </c>
      <c r="H3058" t="s">
        <v>181</v>
      </c>
      <c r="I3058" t="s">
        <v>10517</v>
      </c>
      <c r="J3058" t="str">
        <f>HYPERLINK("https://www.ozon.ru/context/client_opinion/ClientGuid/9753cbaa-23dd-4e31-b47f-f5bff35ad85b/")</f>
        <v>https://www.ozon.ru/context/client_opinion/ClientGuid/9753cbaa-23dd-4e31-b47f-f5bff35ad85b/</v>
      </c>
      <c r="N3058" t="s">
        <v>183</v>
      </c>
      <c r="O3058" t="s">
        <v>945</v>
      </c>
      <c r="P3058" t="str">
        <f>HYPERLINK("https://www.ozon.ru/context/detail/id/168022785/")</f>
        <v>https://www.ozon.ru/context/detail/id/168022785/</v>
      </c>
      <c r="R3058" t="s">
        <v>184</v>
      </c>
      <c r="S3058" t="s">
        <v>125</v>
      </c>
      <c r="W3058">
        <v>0</v>
      </c>
      <c r="X3058">
        <v>0</v>
      </c>
      <c r="AH3058">
        <v>5</v>
      </c>
      <c r="AJ3058" t="s">
        <v>129</v>
      </c>
      <c r="AK3058" t="s">
        <v>129</v>
      </c>
      <c r="AL3058" t="str">
        <f>HYPERLINK("https://cdn1.ozone.ru/s3/rp-photo-2/b1ae9cdd-cafa-4756-8f10-0e71584dfa2f.jpeg")</f>
        <v>https://cdn1.ozone.ru/s3/rp-photo-2/b1ae9cdd-cafa-4756-8f10-0e71584dfa2f.jpeg</v>
      </c>
      <c r="AM3058" t="s">
        <v>129</v>
      </c>
      <c r="AN3058" t="s">
        <v>130</v>
      </c>
      <c r="AP3058" t="s">
        <v>41</v>
      </c>
      <c r="AT3058" t="s">
        <v>45</v>
      </c>
      <c r="AZ3058" t="s">
        <v>51</v>
      </c>
      <c r="BA3058" t="s">
        <v>52</v>
      </c>
      <c r="BL3058" t="s">
        <v>63</v>
      </c>
      <c r="BO3058" t="s">
        <v>66</v>
      </c>
    </row>
    <row r="3059" spans="1:93" x14ac:dyDescent="0.2">
      <c r="A3059" t="s">
        <v>10399</v>
      </c>
      <c r="B3059" t="s">
        <v>1999</v>
      </c>
      <c r="C3059" t="s">
        <v>10518</v>
      </c>
      <c r="D3059" t="s">
        <v>8502</v>
      </c>
      <c r="E3059" t="s">
        <v>10519</v>
      </c>
      <c r="F3059" t="s">
        <v>118</v>
      </c>
      <c r="G3059" t="str">
        <f>HYPERLINK("https://ok.ru/group/53318809747546/topic/153423195103322#MTYyNTU3ODkyMjM3OTotNjEwMToxNjI1NTc4OTIyMzc5OjE1MzQyMzE5NTEwMzMyMjox")</f>
        <v>https://ok.ru/group/53318809747546/topic/153423195103322#MTYyNTU3ODkyMjM3OTotNjEwMToxNjI1NTc4OTIyMzc5OjE1MzQyMzE5NTEwMzMyMjox</v>
      </c>
      <c r="H3059" t="s">
        <v>119</v>
      </c>
      <c r="I3059" t="s">
        <v>10119</v>
      </c>
      <c r="J3059" t="str">
        <f>HYPERLINK("https://ok.ru/profile/575716412560")</f>
        <v>https://ok.ru/profile/575716412560</v>
      </c>
      <c r="K3059">
        <v>57</v>
      </c>
      <c r="L3059" t="s">
        <v>121</v>
      </c>
      <c r="N3059" t="s">
        <v>347</v>
      </c>
      <c r="O3059" t="s">
        <v>8505</v>
      </c>
      <c r="P3059" t="str">
        <f>HYPERLINK("https://ok.ru/group/53318809747546")</f>
        <v>https://ok.ru/group/53318809747546</v>
      </c>
      <c r="Q3059">
        <v>16788</v>
      </c>
      <c r="R3059" t="s">
        <v>124</v>
      </c>
      <c r="S3059" t="s">
        <v>125</v>
      </c>
      <c r="T3059" t="s">
        <v>5115</v>
      </c>
      <c r="U3059" t="s">
        <v>5116</v>
      </c>
      <c r="W3059">
        <v>0</v>
      </c>
      <c r="X3059">
        <v>0</v>
      </c>
      <c r="AM3059" t="s">
        <v>129</v>
      </c>
      <c r="AN3059" t="s">
        <v>130</v>
      </c>
      <c r="AP3059" t="s">
        <v>41</v>
      </c>
      <c r="AZ3059" t="s">
        <v>51</v>
      </c>
      <c r="BA3059" t="s">
        <v>52</v>
      </c>
      <c r="BL3059" t="s">
        <v>63</v>
      </c>
    </row>
    <row r="3060" spans="1:93" x14ac:dyDescent="0.2">
      <c r="A3060" t="s">
        <v>10399</v>
      </c>
      <c r="B3060" t="s">
        <v>943</v>
      </c>
      <c r="C3060" t="s">
        <v>10520</v>
      </c>
      <c r="D3060" t="s">
        <v>129</v>
      </c>
      <c r="E3060" t="s">
        <v>10521</v>
      </c>
      <c r="F3060" t="s">
        <v>180</v>
      </c>
      <c r="G3060" t="str">
        <f>HYPERLINK("https://telegram.me/OLX_Karamendy/56846")</f>
        <v>https://telegram.me/OLX_Karamendy/56846</v>
      </c>
      <c r="H3060" t="s">
        <v>119</v>
      </c>
      <c r="I3060" t="s">
        <v>10522</v>
      </c>
      <c r="J3060" t="str">
        <f>HYPERLINK("https://telegram.me/860387694")</f>
        <v>https://telegram.me/860387694</v>
      </c>
      <c r="N3060" t="s">
        <v>143</v>
      </c>
      <c r="O3060" t="s">
        <v>10523</v>
      </c>
      <c r="P3060" t="str">
        <f>HYPERLINK("https://telegram.me/olx_karamendy")</f>
        <v>https://telegram.me/olx_karamendy</v>
      </c>
      <c r="Q3060">
        <v>1307</v>
      </c>
      <c r="R3060" t="s">
        <v>145</v>
      </c>
      <c r="AM3060" t="s">
        <v>129</v>
      </c>
      <c r="AN3060" t="s">
        <v>130</v>
      </c>
      <c r="AP3060" t="s">
        <v>41</v>
      </c>
      <c r="AZ3060" t="s">
        <v>51</v>
      </c>
      <c r="BA3060" t="s">
        <v>52</v>
      </c>
    </row>
    <row r="3061" spans="1:93" x14ac:dyDescent="0.2">
      <c r="A3061" t="s">
        <v>10399</v>
      </c>
      <c r="B3061" t="s">
        <v>2528</v>
      </c>
      <c r="C3061" t="s">
        <v>10524</v>
      </c>
      <c r="D3061" t="s">
        <v>10419</v>
      </c>
      <c r="E3061" t="s">
        <v>10525</v>
      </c>
      <c r="F3061" t="s">
        <v>118</v>
      </c>
      <c r="G3061" t="str">
        <f>HYPERLINK("https://vk.com/wall-61101621_254519?reply=254529")</f>
        <v>https://vk.com/wall-61101621_254519?reply=254529</v>
      </c>
      <c r="H3061" t="s">
        <v>119</v>
      </c>
      <c r="I3061" t="s">
        <v>3222</v>
      </c>
      <c r="J3061" t="str">
        <f>HYPERLINK("http://vk.com/id47264919")</f>
        <v>http://vk.com/id47264919</v>
      </c>
      <c r="K3061">
        <v>250</v>
      </c>
      <c r="L3061" t="s">
        <v>121</v>
      </c>
      <c r="M3061">
        <v>37</v>
      </c>
      <c r="N3061" t="s">
        <v>122</v>
      </c>
      <c r="O3061" t="s">
        <v>160</v>
      </c>
      <c r="P3061" t="str">
        <f>HYPERLINK("http://vk.com/club61101621")</f>
        <v>http://vk.com/club61101621</v>
      </c>
      <c r="Q3061">
        <v>21119</v>
      </c>
      <c r="R3061" t="s">
        <v>124</v>
      </c>
      <c r="S3061" t="s">
        <v>125</v>
      </c>
      <c r="T3061" t="s">
        <v>1275</v>
      </c>
      <c r="U3061" t="s">
        <v>3223</v>
      </c>
      <c r="W3061">
        <v>0</v>
      </c>
      <c r="X3061">
        <v>0</v>
      </c>
      <c r="AM3061" t="s">
        <v>129</v>
      </c>
      <c r="AN3061" t="s">
        <v>130</v>
      </c>
      <c r="AP3061" t="s">
        <v>41</v>
      </c>
      <c r="AW3061" t="s">
        <v>48</v>
      </c>
      <c r="AZ3061" t="s">
        <v>51</v>
      </c>
      <c r="BB3061" t="s">
        <v>53</v>
      </c>
    </row>
    <row r="3062" spans="1:93" x14ac:dyDescent="0.2">
      <c r="A3062" t="s">
        <v>10399</v>
      </c>
      <c r="B3062" t="s">
        <v>2015</v>
      </c>
      <c r="C3062" t="s">
        <v>10518</v>
      </c>
      <c r="D3062" t="s">
        <v>8502</v>
      </c>
      <c r="E3062" t="s">
        <v>10526</v>
      </c>
      <c r="F3062" t="s">
        <v>118</v>
      </c>
      <c r="G3062" t="str">
        <f>HYPERLINK("https://ok.ru/group/53318809747546/topic/153423195103322#MTYyNTU3NjMyMjY0NDotMTM3OTU6MTYyNTU3NjMyMjY0NDoxNTM0MjMxOTUxMDMzMjI6MQ==")</f>
        <v>https://ok.ru/group/53318809747546/topic/153423195103322#MTYyNTU3NjMyMjY0NDotMTM3OTU6MTYyNTU3NjMyMjY0NDoxNTM0MjMxOTUxMDMzMjI6MQ==</v>
      </c>
      <c r="H3062" t="s">
        <v>119</v>
      </c>
      <c r="I3062" t="s">
        <v>9860</v>
      </c>
      <c r="J3062" t="str">
        <f>HYPERLINK("https://ok.ru/profile/531030352832")</f>
        <v>https://ok.ru/profile/531030352832</v>
      </c>
      <c r="K3062">
        <v>10</v>
      </c>
      <c r="L3062" t="s">
        <v>121</v>
      </c>
      <c r="N3062" t="s">
        <v>347</v>
      </c>
      <c r="O3062" t="s">
        <v>8505</v>
      </c>
      <c r="P3062" t="str">
        <f>HYPERLINK("https://ok.ru/group/53318809747546")</f>
        <v>https://ok.ru/group/53318809747546</v>
      </c>
      <c r="Q3062">
        <v>16788</v>
      </c>
      <c r="R3062" t="s">
        <v>124</v>
      </c>
      <c r="S3062" t="s">
        <v>125</v>
      </c>
      <c r="T3062" t="s">
        <v>523</v>
      </c>
      <c r="U3062" t="s">
        <v>3874</v>
      </c>
      <c r="W3062">
        <v>1</v>
      </c>
      <c r="X3062">
        <v>1</v>
      </c>
      <c r="AM3062" t="s">
        <v>129</v>
      </c>
      <c r="AN3062" t="s">
        <v>130</v>
      </c>
      <c r="AP3062" t="s">
        <v>41</v>
      </c>
      <c r="AT3062" t="s">
        <v>45</v>
      </c>
      <c r="AZ3062" t="s">
        <v>51</v>
      </c>
      <c r="BA3062" t="s">
        <v>52</v>
      </c>
      <c r="BL3062" t="s">
        <v>63</v>
      </c>
    </row>
    <row r="3063" spans="1:93" x14ac:dyDescent="0.2">
      <c r="A3063" t="s">
        <v>10399</v>
      </c>
      <c r="B3063" t="s">
        <v>417</v>
      </c>
      <c r="C3063" t="s">
        <v>10518</v>
      </c>
      <c r="D3063" t="s">
        <v>8502</v>
      </c>
      <c r="E3063" t="s">
        <v>10527</v>
      </c>
      <c r="F3063" t="s">
        <v>118</v>
      </c>
      <c r="G3063" t="str">
        <f>HYPERLINK("https://ok.ru/group/53318809747546/topic/153423195103322#MTYyNTU3NjEyMTY0NzotMzI1NToxNjI1NTc2MTIxNjQ3OjE1MzQyMzE5NTEwMzMyMjox")</f>
        <v>https://ok.ru/group/53318809747546/topic/153423195103322#MTYyNTU3NjEyMTY0NzotMzI1NToxNjI1NTc2MTIxNjQ3OjE1MzQyMzE5NTEwMzMyMjox</v>
      </c>
      <c r="H3063" t="s">
        <v>119</v>
      </c>
      <c r="I3063" t="s">
        <v>9860</v>
      </c>
      <c r="J3063" t="str">
        <f>HYPERLINK("https://ok.ru/profile/531030352832")</f>
        <v>https://ok.ru/profile/531030352832</v>
      </c>
      <c r="K3063">
        <v>10</v>
      </c>
      <c r="L3063" t="s">
        <v>121</v>
      </c>
      <c r="N3063" t="s">
        <v>347</v>
      </c>
      <c r="O3063" t="s">
        <v>8505</v>
      </c>
      <c r="P3063" t="str">
        <f>HYPERLINK("https://ok.ru/group/53318809747546")</f>
        <v>https://ok.ru/group/53318809747546</v>
      </c>
      <c r="Q3063">
        <v>16788</v>
      </c>
      <c r="R3063" t="s">
        <v>124</v>
      </c>
      <c r="S3063" t="s">
        <v>125</v>
      </c>
      <c r="T3063" t="s">
        <v>523</v>
      </c>
      <c r="U3063" t="s">
        <v>3874</v>
      </c>
      <c r="W3063">
        <v>1</v>
      </c>
      <c r="X3063">
        <v>1</v>
      </c>
      <c r="AM3063" t="s">
        <v>129</v>
      </c>
      <c r="AN3063" t="s">
        <v>130</v>
      </c>
      <c r="AP3063" t="s">
        <v>41</v>
      </c>
      <c r="AZ3063" t="s">
        <v>51</v>
      </c>
      <c r="BA3063" t="s">
        <v>52</v>
      </c>
      <c r="BL3063" t="s">
        <v>63</v>
      </c>
    </row>
    <row r="3064" spans="1:93" x14ac:dyDescent="0.2">
      <c r="A3064" t="s">
        <v>10399</v>
      </c>
      <c r="B3064" t="s">
        <v>1518</v>
      </c>
      <c r="C3064" t="s">
        <v>10528</v>
      </c>
      <c r="D3064" t="s">
        <v>10044</v>
      </c>
      <c r="E3064" t="s">
        <v>10529</v>
      </c>
      <c r="F3064" t="s">
        <v>118</v>
      </c>
      <c r="G3064" t="str">
        <f>HYPERLINK("https://vk.com/wall-22935147_368172?reply=368196")</f>
        <v>https://vk.com/wall-22935147_368172?reply=368196</v>
      </c>
      <c r="H3064" t="s">
        <v>181</v>
      </c>
      <c r="I3064" t="s">
        <v>10530</v>
      </c>
      <c r="J3064" t="str">
        <f>HYPERLINK("http://vk.com/id425717969")</f>
        <v>http://vk.com/id425717969</v>
      </c>
      <c r="K3064">
        <v>72</v>
      </c>
      <c r="L3064" t="s">
        <v>121</v>
      </c>
      <c r="M3064">
        <v>37</v>
      </c>
      <c r="N3064" t="s">
        <v>122</v>
      </c>
      <c r="O3064" t="s">
        <v>1093</v>
      </c>
      <c r="P3064" t="str">
        <f>HYPERLINK("http://vk.com/club22935147")</f>
        <v>http://vk.com/club22935147</v>
      </c>
      <c r="Q3064">
        <v>8943</v>
      </c>
      <c r="R3064" t="s">
        <v>124</v>
      </c>
      <c r="S3064" t="s">
        <v>125</v>
      </c>
      <c r="T3064" t="s">
        <v>601</v>
      </c>
      <c r="U3064" t="s">
        <v>10531</v>
      </c>
      <c r="W3064">
        <v>0</v>
      </c>
      <c r="X3064">
        <v>0</v>
      </c>
      <c r="AM3064" t="s">
        <v>129</v>
      </c>
      <c r="AN3064" t="s">
        <v>130</v>
      </c>
      <c r="AP3064" t="s">
        <v>41</v>
      </c>
      <c r="AZ3064" t="s">
        <v>51</v>
      </c>
      <c r="BA3064" t="s">
        <v>52</v>
      </c>
      <c r="BL3064" t="s">
        <v>63</v>
      </c>
    </row>
    <row r="3065" spans="1:93" x14ac:dyDescent="0.2">
      <c r="A3065" t="s">
        <v>10399</v>
      </c>
      <c r="B3065" t="s">
        <v>3092</v>
      </c>
      <c r="C3065" t="s">
        <v>10528</v>
      </c>
      <c r="D3065" t="s">
        <v>9466</v>
      </c>
      <c r="E3065" t="s">
        <v>10532</v>
      </c>
      <c r="F3065" t="s">
        <v>118</v>
      </c>
      <c r="G3065" t="str">
        <f>HYPERLINK("https://vk.com/wall-27863223_291374?w=wall-27863223_291374_r291488")</f>
        <v>https://vk.com/wall-27863223_291374?w=wall-27863223_291374_r291488</v>
      </c>
      <c r="H3065" t="s">
        <v>119</v>
      </c>
      <c r="I3065" t="s">
        <v>2212</v>
      </c>
      <c r="J3065" t="str">
        <f>HYPERLINK("http://vk.com/id140937333")</f>
        <v>http://vk.com/id140937333</v>
      </c>
      <c r="K3065">
        <v>15</v>
      </c>
      <c r="L3065" t="s">
        <v>121</v>
      </c>
      <c r="N3065" t="s">
        <v>122</v>
      </c>
      <c r="O3065" t="s">
        <v>175</v>
      </c>
      <c r="P3065" t="str">
        <f>HYPERLINK("http://vk.com/club27863223")</f>
        <v>http://vk.com/club27863223</v>
      </c>
      <c r="Q3065">
        <v>134698</v>
      </c>
      <c r="R3065" t="s">
        <v>124</v>
      </c>
      <c r="S3065" t="s">
        <v>125</v>
      </c>
      <c r="W3065">
        <v>0</v>
      </c>
      <c r="X3065">
        <v>0</v>
      </c>
      <c r="AM3065" t="s">
        <v>129</v>
      </c>
      <c r="AN3065" t="s">
        <v>130</v>
      </c>
      <c r="AP3065" t="s">
        <v>41</v>
      </c>
      <c r="AU3065" t="s">
        <v>46</v>
      </c>
      <c r="AZ3065" t="s">
        <v>51</v>
      </c>
      <c r="BA3065" t="s">
        <v>52</v>
      </c>
    </row>
    <row r="3066" spans="1:93" x14ac:dyDescent="0.2">
      <c r="A3066" t="s">
        <v>10399</v>
      </c>
      <c r="B3066" t="s">
        <v>3092</v>
      </c>
      <c r="C3066" t="s">
        <v>10528</v>
      </c>
      <c r="D3066" t="s">
        <v>2833</v>
      </c>
      <c r="E3066" t="s">
        <v>10533</v>
      </c>
      <c r="F3066" t="s">
        <v>118</v>
      </c>
      <c r="G3066" t="str">
        <f>HYPERLINK("https://vk.com/wall-27863223_291447?reply=291487")</f>
        <v>https://vk.com/wall-27863223_291447?reply=291487</v>
      </c>
      <c r="H3066" t="s">
        <v>228</v>
      </c>
      <c r="I3066" t="s">
        <v>4104</v>
      </c>
      <c r="J3066" t="str">
        <f>HYPERLINK("http://vk.com/id235887979")</f>
        <v>http://vk.com/id235887979</v>
      </c>
      <c r="K3066">
        <v>8</v>
      </c>
      <c r="L3066" t="s">
        <v>121</v>
      </c>
      <c r="N3066" t="s">
        <v>122</v>
      </c>
      <c r="O3066" t="s">
        <v>175</v>
      </c>
      <c r="P3066" t="str">
        <f>HYPERLINK("http://vk.com/club27863223")</f>
        <v>http://vk.com/club27863223</v>
      </c>
      <c r="Q3066">
        <v>134698</v>
      </c>
      <c r="R3066" t="s">
        <v>124</v>
      </c>
      <c r="S3066" t="s">
        <v>125</v>
      </c>
      <c r="T3066" t="s">
        <v>314</v>
      </c>
      <c r="U3066" t="s">
        <v>315</v>
      </c>
      <c r="W3066">
        <v>0</v>
      </c>
      <c r="X3066">
        <v>0</v>
      </c>
      <c r="AM3066" t="s">
        <v>129</v>
      </c>
      <c r="AN3066" t="s">
        <v>130</v>
      </c>
      <c r="AP3066" t="s">
        <v>41</v>
      </c>
      <c r="AU3066" t="s">
        <v>46</v>
      </c>
      <c r="AW3066" t="s">
        <v>48</v>
      </c>
      <c r="AZ3066" t="s">
        <v>51</v>
      </c>
      <c r="BB3066" t="s">
        <v>53</v>
      </c>
      <c r="BL3066" t="s">
        <v>63</v>
      </c>
    </row>
    <row r="3067" spans="1:93" x14ac:dyDescent="0.2">
      <c r="A3067" t="s">
        <v>10399</v>
      </c>
      <c r="B3067" t="s">
        <v>3092</v>
      </c>
      <c r="C3067" t="s">
        <v>10528</v>
      </c>
      <c r="D3067" t="s">
        <v>9466</v>
      </c>
      <c r="E3067" t="s">
        <v>10534</v>
      </c>
      <c r="F3067" t="s">
        <v>118</v>
      </c>
      <c r="G3067" t="str">
        <f>HYPERLINK("https://vk.com/wall-27863223_291374?w=wall-27863223_291374_r291486")</f>
        <v>https://vk.com/wall-27863223_291374?w=wall-27863223_291374_r291486</v>
      </c>
      <c r="H3067" t="s">
        <v>119</v>
      </c>
      <c r="I3067" t="s">
        <v>2212</v>
      </c>
      <c r="J3067" t="str">
        <f>HYPERLINK("http://vk.com/id140937333")</f>
        <v>http://vk.com/id140937333</v>
      </c>
      <c r="K3067">
        <v>15</v>
      </c>
      <c r="L3067" t="s">
        <v>121</v>
      </c>
      <c r="N3067" t="s">
        <v>122</v>
      </c>
      <c r="O3067" t="s">
        <v>175</v>
      </c>
      <c r="P3067" t="str">
        <f>HYPERLINK("http://vk.com/club27863223")</f>
        <v>http://vk.com/club27863223</v>
      </c>
      <c r="Q3067">
        <v>134698</v>
      </c>
      <c r="R3067" t="s">
        <v>124</v>
      </c>
      <c r="S3067" t="s">
        <v>125</v>
      </c>
      <c r="W3067">
        <v>0</v>
      </c>
      <c r="X3067">
        <v>0</v>
      </c>
      <c r="AM3067" t="s">
        <v>129</v>
      </c>
      <c r="AN3067" t="s">
        <v>130</v>
      </c>
      <c r="AP3067" t="s">
        <v>41</v>
      </c>
      <c r="AU3067" t="s">
        <v>46</v>
      </c>
      <c r="AZ3067" t="s">
        <v>51</v>
      </c>
      <c r="BA3067" t="s">
        <v>52</v>
      </c>
    </row>
    <row r="3068" spans="1:93" x14ac:dyDescent="0.2">
      <c r="A3068" t="s">
        <v>10399</v>
      </c>
      <c r="B3068" t="s">
        <v>7101</v>
      </c>
      <c r="C3068" t="s">
        <v>5345</v>
      </c>
      <c r="D3068" t="s">
        <v>4519</v>
      </c>
      <c r="E3068" t="s">
        <v>10535</v>
      </c>
      <c r="F3068" t="s">
        <v>180</v>
      </c>
      <c r="G3068" t="str">
        <f>HYPERLINK("https://www.ozon.ru/context/detail/id/220489107/#57634672")</f>
        <v>https://www.ozon.ru/context/detail/id/220489107/#57634672</v>
      </c>
      <c r="H3068" t="s">
        <v>181</v>
      </c>
      <c r="I3068" t="s">
        <v>10536</v>
      </c>
      <c r="J3068" t="str">
        <f>HYPERLINK("https://www.ozon.ru/context/client_opinion/ClientGuid/f85cc71a-b750-41ad-8d15-857647cb50ed/")</f>
        <v>https://www.ozon.ru/context/client_opinion/ClientGuid/f85cc71a-b750-41ad-8d15-857647cb50ed/</v>
      </c>
      <c r="L3068" t="s">
        <v>121</v>
      </c>
      <c r="N3068" t="s">
        <v>183</v>
      </c>
      <c r="O3068" t="s">
        <v>4519</v>
      </c>
      <c r="P3068" t="str">
        <f>HYPERLINK("https://www.ozon.ru/context/detail/id/220489107/")</f>
        <v>https://www.ozon.ru/context/detail/id/220489107/</v>
      </c>
      <c r="R3068" t="s">
        <v>184</v>
      </c>
      <c r="S3068" t="s">
        <v>125</v>
      </c>
      <c r="W3068">
        <v>0</v>
      </c>
      <c r="X3068">
        <v>0</v>
      </c>
      <c r="AH3068">
        <v>5</v>
      </c>
      <c r="AM3068" t="s">
        <v>129</v>
      </c>
      <c r="AN3068" t="s">
        <v>130</v>
      </c>
      <c r="AP3068" t="s">
        <v>41</v>
      </c>
      <c r="AT3068" t="s">
        <v>45</v>
      </c>
      <c r="AZ3068" t="s">
        <v>51</v>
      </c>
      <c r="BA3068" t="s">
        <v>52</v>
      </c>
    </row>
    <row r="3069" spans="1:93" x14ac:dyDescent="0.2">
      <c r="A3069" t="s">
        <v>10399</v>
      </c>
      <c r="B3069" t="s">
        <v>7101</v>
      </c>
      <c r="C3069" t="s">
        <v>10537</v>
      </c>
      <c r="D3069" t="s">
        <v>10538</v>
      </c>
      <c r="E3069" t="s">
        <v>10539</v>
      </c>
      <c r="F3069" t="s">
        <v>118</v>
      </c>
      <c r="G3069" t="str">
        <f>HYPERLINK("https://vk.com/wall-61101621_254505?reply=254528")</f>
        <v>https://vk.com/wall-61101621_254505?reply=254528</v>
      </c>
      <c r="H3069" t="s">
        <v>119</v>
      </c>
      <c r="I3069" t="s">
        <v>10378</v>
      </c>
      <c r="J3069" t="str">
        <f>HYPERLINK("http://vk.com/id395525336")</f>
        <v>http://vk.com/id395525336</v>
      </c>
      <c r="K3069">
        <v>76</v>
      </c>
      <c r="L3069" t="s">
        <v>151</v>
      </c>
      <c r="M3069">
        <v>35</v>
      </c>
      <c r="N3069" t="s">
        <v>122</v>
      </c>
      <c r="O3069" t="s">
        <v>160</v>
      </c>
      <c r="P3069" t="str">
        <f>HYPERLINK("http://vk.com/club61101621")</f>
        <v>http://vk.com/club61101621</v>
      </c>
      <c r="Q3069">
        <v>21119</v>
      </c>
      <c r="R3069" t="s">
        <v>124</v>
      </c>
      <c r="S3069" t="s">
        <v>125</v>
      </c>
      <c r="T3069" t="s">
        <v>169</v>
      </c>
      <c r="U3069" t="s">
        <v>169</v>
      </c>
      <c r="W3069">
        <v>0</v>
      </c>
      <c r="X3069">
        <v>0</v>
      </c>
      <c r="AM3069" t="s">
        <v>129</v>
      </c>
      <c r="AN3069" t="s">
        <v>130</v>
      </c>
      <c r="AP3069" t="s">
        <v>41</v>
      </c>
      <c r="AT3069" t="s">
        <v>45</v>
      </c>
      <c r="AW3069" t="s">
        <v>48</v>
      </c>
      <c r="AY3069" t="s">
        <v>50</v>
      </c>
      <c r="AZ3069" t="s">
        <v>51</v>
      </c>
      <c r="BA3069" t="s">
        <v>52</v>
      </c>
      <c r="BL3069" t="s">
        <v>63</v>
      </c>
    </row>
    <row r="3070" spans="1:93" x14ac:dyDescent="0.2">
      <c r="A3070" t="s">
        <v>10399</v>
      </c>
      <c r="B3070" t="s">
        <v>2575</v>
      </c>
      <c r="C3070" t="s">
        <v>10540</v>
      </c>
      <c r="D3070" t="s">
        <v>204</v>
      </c>
      <c r="E3070" t="s">
        <v>10541</v>
      </c>
      <c r="F3070" t="s">
        <v>180</v>
      </c>
      <c r="G3070" t="str">
        <f>HYPERLINK("https://play.google.com/store/apps/details?id=ru.iflex.android.a3colortv&amp;reviewId=gp:AOqpTOFvV09crcPQwjCkgS558C_UYgjweAui8VTskeNfUsikXNJN1jHp3-cJSE-IP8sWWuiuv1D5cvvl_gahZA")</f>
        <v>https://play.google.com/store/apps/details?id=ru.iflex.android.a3colortv&amp;reviewId=gp:AOqpTOFvV09crcPQwjCkgS558C_UYgjweAui8VTskeNfUsikXNJN1jHp3-cJSE-IP8sWWuiuv1D5cvvl_gahZA</v>
      </c>
      <c r="H3070" t="s">
        <v>181</v>
      </c>
      <c r="I3070" t="s">
        <v>10542</v>
      </c>
      <c r="J3070" t="str">
        <f>HYPERLINK("https://plus.google.com/113842561811683255241")</f>
        <v>https://plus.google.com/113842561811683255241</v>
      </c>
      <c r="L3070" t="s">
        <v>151</v>
      </c>
      <c r="N3070" t="s">
        <v>207</v>
      </c>
      <c r="O3070" t="s">
        <v>204</v>
      </c>
      <c r="P3070" t="str">
        <f>HYPERLINK("https://play.google.com/store/apps/details?id=ru.iflex.android.a3colortv&amp;hl=ru")</f>
        <v>https://play.google.com/store/apps/details?id=ru.iflex.android.a3colortv&amp;hl=ru</v>
      </c>
      <c r="R3070" t="s">
        <v>184</v>
      </c>
      <c r="S3070" t="s">
        <v>125</v>
      </c>
      <c r="W3070">
        <v>0</v>
      </c>
      <c r="X3070">
        <v>0</v>
      </c>
      <c r="AH3070">
        <v>5</v>
      </c>
      <c r="AM3070" t="s">
        <v>129</v>
      </c>
      <c r="AN3070" t="s">
        <v>130</v>
      </c>
      <c r="AP3070" t="s">
        <v>41</v>
      </c>
      <c r="AZ3070" t="s">
        <v>51</v>
      </c>
      <c r="BA3070" t="s">
        <v>52</v>
      </c>
      <c r="BQ3070" t="s">
        <v>68</v>
      </c>
    </row>
    <row r="3071" spans="1:93" x14ac:dyDescent="0.2">
      <c r="A3071" t="s">
        <v>10399</v>
      </c>
      <c r="B3071" t="s">
        <v>6771</v>
      </c>
      <c r="C3071" t="s">
        <v>10543</v>
      </c>
      <c r="D3071" t="s">
        <v>2833</v>
      </c>
      <c r="E3071" t="s">
        <v>10544</v>
      </c>
      <c r="F3071" t="s">
        <v>118</v>
      </c>
      <c r="G3071" t="str">
        <f>HYPERLINK("https://vk.com/wall-27863223_291447?reply=291484")</f>
        <v>https://vk.com/wall-27863223_291447?reply=291484</v>
      </c>
      <c r="H3071" t="s">
        <v>119</v>
      </c>
      <c r="I3071" t="s">
        <v>4104</v>
      </c>
      <c r="J3071" t="str">
        <f>HYPERLINK("http://vk.com/id235887979")</f>
        <v>http://vk.com/id235887979</v>
      </c>
      <c r="K3071">
        <v>8</v>
      </c>
      <c r="L3071" t="s">
        <v>121</v>
      </c>
      <c r="N3071" t="s">
        <v>122</v>
      </c>
      <c r="O3071" t="s">
        <v>175</v>
      </c>
      <c r="P3071" t="str">
        <f>HYPERLINK("http://vk.com/club27863223")</f>
        <v>http://vk.com/club27863223</v>
      </c>
      <c r="Q3071">
        <v>134698</v>
      </c>
      <c r="R3071" t="s">
        <v>124</v>
      </c>
      <c r="S3071" t="s">
        <v>125</v>
      </c>
      <c r="T3071" t="s">
        <v>314</v>
      </c>
      <c r="U3071" t="s">
        <v>315</v>
      </c>
      <c r="AM3071" t="s">
        <v>129</v>
      </c>
      <c r="AN3071" t="s">
        <v>130</v>
      </c>
      <c r="AP3071" t="s">
        <v>41</v>
      </c>
      <c r="AW3071" t="s">
        <v>48</v>
      </c>
      <c r="AZ3071" t="s">
        <v>51</v>
      </c>
      <c r="BB3071" t="s">
        <v>53</v>
      </c>
      <c r="CO3071" t="s">
        <v>92</v>
      </c>
    </row>
    <row r="3072" spans="1:93" x14ac:dyDescent="0.2">
      <c r="A3072" t="s">
        <v>10399</v>
      </c>
      <c r="B3072" t="s">
        <v>2584</v>
      </c>
      <c r="C3072" t="s">
        <v>10545</v>
      </c>
      <c r="D3072" t="s">
        <v>9804</v>
      </c>
      <c r="E3072" t="s">
        <v>10546</v>
      </c>
      <c r="F3072" t="s">
        <v>118</v>
      </c>
      <c r="G3072" t="str">
        <f>HYPERLINK("https://vk.com/wall-22935147_368183?w=wall-22935147_368183_r368195")</f>
        <v>https://vk.com/wall-22935147_368183?w=wall-22935147_368183_r368195</v>
      </c>
      <c r="H3072" t="s">
        <v>119</v>
      </c>
      <c r="I3072" t="s">
        <v>1722</v>
      </c>
      <c r="J3072" t="str">
        <f>HYPERLINK("http://vk.com/id240644107")</f>
        <v>http://vk.com/id240644107</v>
      </c>
      <c r="K3072">
        <v>33</v>
      </c>
      <c r="L3072" t="s">
        <v>121</v>
      </c>
      <c r="N3072" t="s">
        <v>122</v>
      </c>
      <c r="O3072" t="s">
        <v>1093</v>
      </c>
      <c r="P3072" t="str">
        <f>HYPERLINK("http://vk.com/club22935147")</f>
        <v>http://vk.com/club22935147</v>
      </c>
      <c r="Q3072">
        <v>8943</v>
      </c>
      <c r="R3072" t="s">
        <v>124</v>
      </c>
      <c r="S3072" t="s">
        <v>125</v>
      </c>
      <c r="T3072" t="s">
        <v>169</v>
      </c>
      <c r="U3072" t="s">
        <v>169</v>
      </c>
      <c r="W3072">
        <v>0</v>
      </c>
      <c r="X3072">
        <v>0</v>
      </c>
      <c r="AM3072" t="s">
        <v>129</v>
      </c>
      <c r="AN3072" t="s">
        <v>130</v>
      </c>
      <c r="AP3072" t="s">
        <v>41</v>
      </c>
      <c r="AU3072" t="s">
        <v>46</v>
      </c>
      <c r="AZ3072" t="s">
        <v>51</v>
      </c>
      <c r="BA3072" t="s">
        <v>52</v>
      </c>
    </row>
    <row r="3073" spans="1:65" x14ac:dyDescent="0.2">
      <c r="A3073" t="s">
        <v>10399</v>
      </c>
      <c r="B3073" t="s">
        <v>1555</v>
      </c>
      <c r="C3073" t="s">
        <v>10547</v>
      </c>
      <c r="D3073" t="s">
        <v>9648</v>
      </c>
      <c r="E3073" t="s">
        <v>10548</v>
      </c>
      <c r="F3073" t="s">
        <v>118</v>
      </c>
      <c r="G3073" t="str">
        <f>HYPERLINK("https://www.youtube.com/watch?v=_dWy-k5kH-c&amp;lc=UgyTC7PoKgHKVgfK7l54AaABAg")</f>
        <v>https://www.youtube.com/watch?v=_dWy-k5kH-c&amp;lc=UgyTC7PoKgHKVgfK7l54AaABAg</v>
      </c>
      <c r="H3073" t="s">
        <v>119</v>
      </c>
      <c r="I3073" t="s">
        <v>10549</v>
      </c>
      <c r="J3073" t="str">
        <f>HYPERLINK("https://www.youtube.com/channel/UCttgKrZDIWQ79x6G0qyPJfA")</f>
        <v>https://www.youtube.com/channel/UCttgKrZDIWQ79x6G0qyPJfA</v>
      </c>
      <c r="K3073">
        <v>0</v>
      </c>
      <c r="L3073" t="s">
        <v>151</v>
      </c>
      <c r="N3073" t="s">
        <v>248</v>
      </c>
      <c r="O3073" t="s">
        <v>9651</v>
      </c>
      <c r="P3073" t="str">
        <f>HYPERLINK("https://www.youtube.com/channel/UC61C1e9F_XXg4TAReTBJhrw")</f>
        <v>https://www.youtube.com/channel/UC61C1e9F_XXg4TAReTBJhrw</v>
      </c>
      <c r="Q3073">
        <v>3310</v>
      </c>
      <c r="R3073" t="s">
        <v>124</v>
      </c>
      <c r="S3073" t="s">
        <v>125</v>
      </c>
      <c r="W3073">
        <v>0</v>
      </c>
      <c r="X3073">
        <v>0</v>
      </c>
      <c r="AE3073">
        <v>0</v>
      </c>
      <c r="AM3073" t="s">
        <v>129</v>
      </c>
      <c r="AN3073" t="s">
        <v>130</v>
      </c>
      <c r="AP3073" t="s">
        <v>41</v>
      </c>
      <c r="AZ3073" t="s">
        <v>51</v>
      </c>
      <c r="BA3073" t="s">
        <v>52</v>
      </c>
      <c r="BL3073" t="s">
        <v>63</v>
      </c>
    </row>
    <row r="3074" spans="1:65" x14ac:dyDescent="0.2">
      <c r="A3074" t="s">
        <v>10399</v>
      </c>
      <c r="B3074" t="s">
        <v>6786</v>
      </c>
      <c r="C3074" t="s">
        <v>10545</v>
      </c>
      <c r="D3074" t="s">
        <v>9804</v>
      </c>
      <c r="E3074" t="s">
        <v>10550</v>
      </c>
      <c r="F3074" t="s">
        <v>118</v>
      </c>
      <c r="G3074" t="str">
        <f>HYPERLINK("https://vk.com/wall-22935147_368183?reply=368194")</f>
        <v>https://vk.com/wall-22935147_368183?reply=368194</v>
      </c>
      <c r="H3074" t="s">
        <v>119</v>
      </c>
      <c r="I3074" t="s">
        <v>5650</v>
      </c>
      <c r="J3074" t="str">
        <f>HYPERLINK("http://vk.com/id619347783")</f>
        <v>http://vk.com/id619347783</v>
      </c>
      <c r="K3074">
        <v>5</v>
      </c>
      <c r="L3074" t="s">
        <v>121</v>
      </c>
      <c r="M3074">
        <v>44</v>
      </c>
      <c r="N3074" t="s">
        <v>122</v>
      </c>
      <c r="O3074" t="s">
        <v>1093</v>
      </c>
      <c r="P3074" t="str">
        <f>HYPERLINK("http://vk.com/club22935147")</f>
        <v>http://vk.com/club22935147</v>
      </c>
      <c r="Q3074">
        <v>8943</v>
      </c>
      <c r="R3074" t="s">
        <v>124</v>
      </c>
      <c r="S3074" t="s">
        <v>125</v>
      </c>
      <c r="T3074" t="s">
        <v>612</v>
      </c>
      <c r="U3074" t="s">
        <v>5651</v>
      </c>
      <c r="W3074">
        <v>0</v>
      </c>
      <c r="X3074">
        <v>0</v>
      </c>
      <c r="AM3074" t="s">
        <v>129</v>
      </c>
      <c r="AN3074" t="s">
        <v>130</v>
      </c>
      <c r="AP3074" t="s">
        <v>41</v>
      </c>
      <c r="AU3074" t="s">
        <v>46</v>
      </c>
      <c r="AZ3074" t="s">
        <v>51</v>
      </c>
      <c r="BA3074" t="s">
        <v>52</v>
      </c>
    </row>
    <row r="3075" spans="1:65" x14ac:dyDescent="0.2">
      <c r="A3075" t="s">
        <v>10399</v>
      </c>
      <c r="B3075" t="s">
        <v>459</v>
      </c>
      <c r="C3075" t="s">
        <v>10418</v>
      </c>
      <c r="D3075" t="s">
        <v>10551</v>
      </c>
      <c r="E3075" t="s">
        <v>10552</v>
      </c>
      <c r="F3075" t="s">
        <v>118</v>
      </c>
      <c r="G3075" t="str">
        <f>HYPERLINK("https://www.youtube.com/watch?v=_u_ovxYNQXk&amp;lc=Ugxqq0kk1YM3gzl6hv54AaABAg")</f>
        <v>https://www.youtube.com/watch?v=_u_ovxYNQXk&amp;lc=Ugxqq0kk1YM3gzl6hv54AaABAg</v>
      </c>
      <c r="H3075" t="s">
        <v>119</v>
      </c>
      <c r="I3075" t="s">
        <v>10553</v>
      </c>
      <c r="J3075" t="str">
        <f>HYPERLINK("https://www.youtube.com/channel/UCYXO-ER3tCnzand5XL0pEVg")</f>
        <v>https://www.youtube.com/channel/UCYXO-ER3tCnzand5XL0pEVg</v>
      </c>
      <c r="K3075">
        <v>22</v>
      </c>
      <c r="N3075" t="s">
        <v>248</v>
      </c>
      <c r="O3075" t="s">
        <v>3820</v>
      </c>
      <c r="P3075" t="str">
        <f>HYPERLINK("https://www.youtube.com/channel/UC9IPWOWrEOO05EDxyQAdvPg")</f>
        <v>https://www.youtube.com/channel/UC9IPWOWrEOO05EDxyQAdvPg</v>
      </c>
      <c r="Q3075">
        <v>18100</v>
      </c>
      <c r="R3075" t="s">
        <v>124</v>
      </c>
      <c r="S3075" t="s">
        <v>125</v>
      </c>
      <c r="W3075">
        <v>0</v>
      </c>
      <c r="X3075">
        <v>0</v>
      </c>
      <c r="AE3075">
        <v>0</v>
      </c>
      <c r="AM3075" t="s">
        <v>129</v>
      </c>
      <c r="AN3075" t="s">
        <v>130</v>
      </c>
      <c r="AP3075" t="s">
        <v>41</v>
      </c>
      <c r="AZ3075" t="s">
        <v>51</v>
      </c>
      <c r="BA3075" t="s">
        <v>52</v>
      </c>
    </row>
    <row r="3076" spans="1:65" x14ac:dyDescent="0.2">
      <c r="A3076" t="s">
        <v>10399</v>
      </c>
      <c r="B3076" t="s">
        <v>3126</v>
      </c>
      <c r="C3076" t="s">
        <v>10554</v>
      </c>
      <c r="D3076" t="s">
        <v>9804</v>
      </c>
      <c r="E3076" t="s">
        <v>10555</v>
      </c>
      <c r="F3076" t="s">
        <v>118</v>
      </c>
      <c r="G3076" t="str">
        <f>HYPERLINK("https://vk.com/wall-61101621_254524?reply=254526")</f>
        <v>https://vk.com/wall-61101621_254524?reply=254526</v>
      </c>
      <c r="H3076" t="s">
        <v>119</v>
      </c>
      <c r="I3076" t="s">
        <v>2603</v>
      </c>
      <c r="J3076" t="str">
        <f>HYPERLINK("http://vk.com/id414299157")</f>
        <v>http://vk.com/id414299157</v>
      </c>
      <c r="K3076">
        <v>1273</v>
      </c>
      <c r="L3076" t="s">
        <v>121</v>
      </c>
      <c r="M3076">
        <v>22</v>
      </c>
      <c r="N3076" t="s">
        <v>122</v>
      </c>
      <c r="O3076" t="s">
        <v>160</v>
      </c>
      <c r="P3076" t="str">
        <f>HYPERLINK("http://vk.com/club61101621")</f>
        <v>http://vk.com/club61101621</v>
      </c>
      <c r="Q3076">
        <v>21119</v>
      </c>
      <c r="R3076" t="s">
        <v>124</v>
      </c>
      <c r="S3076" t="s">
        <v>125</v>
      </c>
      <c r="W3076">
        <v>0</v>
      </c>
      <c r="X3076">
        <v>0</v>
      </c>
      <c r="AJ3076" t="s">
        <v>10556</v>
      </c>
      <c r="AK3076" t="s">
        <v>453</v>
      </c>
      <c r="AL3076" t="str">
        <f>HYPERLINK("https://sun9-78.userapi.com/impg/CTkGQS8ixtKe77c8EvUXFiZwMIgcp0_PmzuUtw/hkJpLAxrURw.jpg?size=804x1080&amp;quality=96&amp;sign=a95617c85c30beb26403904cd57ae394&amp;c_uniq_tag=-H_OhdvDPLCtE2e3SAdFuOQCrkEQnbjXDW_qAprON0w&amp;type=album")</f>
        <v>https://sun9-78.userapi.com/impg/CTkGQS8ixtKe77c8EvUXFiZwMIgcp0_PmzuUtw/hkJpLAxrURw.jpg?size=804x1080&amp;quality=96&amp;sign=a95617c85c30beb26403904cd57ae394&amp;c_uniq_tag=-H_OhdvDPLCtE2e3SAdFuOQCrkEQnbjXDW_qAprON0w&amp;type=album</v>
      </c>
      <c r="AM3076" t="s">
        <v>129</v>
      </c>
      <c r="AN3076" t="s">
        <v>130</v>
      </c>
      <c r="AP3076" t="s">
        <v>41</v>
      </c>
      <c r="AU3076" t="s">
        <v>46</v>
      </c>
      <c r="AZ3076" t="s">
        <v>51</v>
      </c>
      <c r="BA3076" t="s">
        <v>52</v>
      </c>
    </row>
    <row r="3077" spans="1:65" x14ac:dyDescent="0.2">
      <c r="A3077" t="s">
        <v>10399</v>
      </c>
      <c r="B3077" t="s">
        <v>3126</v>
      </c>
      <c r="C3077" t="s">
        <v>10554</v>
      </c>
      <c r="D3077" t="s">
        <v>9804</v>
      </c>
      <c r="E3077" t="s">
        <v>10555</v>
      </c>
      <c r="F3077" t="s">
        <v>118</v>
      </c>
      <c r="G3077" t="str">
        <f>HYPERLINK("https://vk.com/wall-22935147_368183?reply=368193")</f>
        <v>https://vk.com/wall-22935147_368183?reply=368193</v>
      </c>
      <c r="H3077" t="s">
        <v>119</v>
      </c>
      <c r="I3077" t="s">
        <v>2603</v>
      </c>
      <c r="J3077" t="str">
        <f>HYPERLINK("http://vk.com/id414299157")</f>
        <v>http://vk.com/id414299157</v>
      </c>
      <c r="K3077">
        <v>1273</v>
      </c>
      <c r="L3077" t="s">
        <v>121</v>
      </c>
      <c r="M3077">
        <v>22</v>
      </c>
      <c r="N3077" t="s">
        <v>122</v>
      </c>
      <c r="O3077" t="s">
        <v>1093</v>
      </c>
      <c r="P3077" t="str">
        <f>HYPERLINK("http://vk.com/club22935147")</f>
        <v>http://vk.com/club22935147</v>
      </c>
      <c r="Q3077">
        <v>8943</v>
      </c>
      <c r="R3077" t="s">
        <v>124</v>
      </c>
      <c r="S3077" t="s">
        <v>125</v>
      </c>
      <c r="W3077">
        <v>0</v>
      </c>
      <c r="X3077">
        <v>0</v>
      </c>
      <c r="AJ3077" t="s">
        <v>10556</v>
      </c>
      <c r="AK3077" t="s">
        <v>453</v>
      </c>
      <c r="AL3077" t="str">
        <f>HYPERLINK("https://sun9-78.userapi.com/impg/CTkGQS8ixtKe77c8EvUXFiZwMIgcp0_PmzuUtw/hkJpLAxrURw.jpg?size=804x1080&amp;quality=96&amp;sign=a95617c85c30beb26403904cd57ae394&amp;c_uniq_tag=-H_OhdvDPLCtE2e3SAdFuOQCrkEQnbjXDW_qAprON0w&amp;type=album")</f>
        <v>https://sun9-78.userapi.com/impg/CTkGQS8ixtKe77c8EvUXFiZwMIgcp0_PmzuUtw/hkJpLAxrURw.jpg?size=804x1080&amp;quality=96&amp;sign=a95617c85c30beb26403904cd57ae394&amp;c_uniq_tag=-H_OhdvDPLCtE2e3SAdFuOQCrkEQnbjXDW_qAprON0w&amp;type=album</v>
      </c>
      <c r="AM3077" t="s">
        <v>129</v>
      </c>
      <c r="AN3077" t="s">
        <v>130</v>
      </c>
      <c r="AP3077" t="s">
        <v>41</v>
      </c>
      <c r="AU3077" t="s">
        <v>46</v>
      </c>
      <c r="AZ3077" t="s">
        <v>51</v>
      </c>
      <c r="BA3077" t="s">
        <v>52</v>
      </c>
    </row>
    <row r="3078" spans="1:65" x14ac:dyDescent="0.2">
      <c r="A3078" t="s">
        <v>10399</v>
      </c>
      <c r="B3078" t="s">
        <v>5214</v>
      </c>
      <c r="C3078" t="s">
        <v>8447</v>
      </c>
      <c r="D3078" t="s">
        <v>3388</v>
      </c>
      <c r="E3078" t="s">
        <v>10557</v>
      </c>
      <c r="F3078" t="s">
        <v>180</v>
      </c>
      <c r="G3078" t="str">
        <f>HYPERLINK("https://www.wildberries.ru/catalog/25365834/detail.aspx?targetUrl=ES#Comments")</f>
        <v>https://www.wildberries.ru/catalog/25365834/detail.aspx?targetUrl=ES#Comments</v>
      </c>
      <c r="H3078" t="s">
        <v>228</v>
      </c>
      <c r="I3078" t="s">
        <v>10558</v>
      </c>
      <c r="J3078" t="str">
        <f>HYPERLINK("https://www.wildberries.ru/profile/w7TDssOkw7PCu8KzwrnCtMKzwrHCssKwwrU=")</f>
        <v>https://www.wildberries.ru/profile/w7TDssOkw7PCu8KzwrnCtMKzwrHCssKwwrU=</v>
      </c>
      <c r="L3078" t="s">
        <v>151</v>
      </c>
      <c r="N3078" t="s">
        <v>534</v>
      </c>
      <c r="O3078" t="s">
        <v>3388</v>
      </c>
      <c r="P3078" t="str">
        <f>HYPERLINK("https://www.wildberries.ru/catalog/18682734/detail.aspx")</f>
        <v>https://www.wildberries.ru/catalog/18682734/detail.aspx</v>
      </c>
      <c r="R3078" t="s">
        <v>184</v>
      </c>
      <c r="S3078" t="s">
        <v>125</v>
      </c>
      <c r="W3078">
        <v>2</v>
      </c>
      <c r="X3078">
        <v>2</v>
      </c>
      <c r="AH3078">
        <v>3</v>
      </c>
      <c r="AM3078" t="s">
        <v>129</v>
      </c>
      <c r="AN3078" t="s">
        <v>130</v>
      </c>
      <c r="AP3078" t="s">
        <v>41</v>
      </c>
      <c r="AT3078" t="s">
        <v>45</v>
      </c>
      <c r="AZ3078" t="s">
        <v>51</v>
      </c>
      <c r="BA3078" t="s">
        <v>52</v>
      </c>
    </row>
    <row r="3079" spans="1:65" x14ac:dyDescent="0.2">
      <c r="A3079" t="s">
        <v>10399</v>
      </c>
      <c r="B3079" t="s">
        <v>3471</v>
      </c>
      <c r="C3079" t="s">
        <v>10559</v>
      </c>
      <c r="D3079" t="s">
        <v>10250</v>
      </c>
      <c r="E3079" t="s">
        <v>10560</v>
      </c>
      <c r="F3079" t="s">
        <v>118</v>
      </c>
      <c r="G3079" t="str">
        <f>HYPERLINK("https://ok.ru/group/51085510115462/topic/153363912107398#MTYyNTU3MTY5NjIxOTotMTkwNToxNjI1NTcxNjk2MjE5OjE1MzM2MzkxMjEwNzM5ODox")</f>
        <v>https://ok.ru/group/51085510115462/topic/153363912107398#MTYyNTU3MTY5NjIxOTotMTkwNToxNjI1NTcxNjk2MjE5OjE1MzM2MzkxMjEwNzM5ODox</v>
      </c>
      <c r="H3079" t="s">
        <v>119</v>
      </c>
      <c r="I3079" t="s">
        <v>175</v>
      </c>
      <c r="J3079" t="str">
        <f>HYPERLINK("https://ok.ru/group/51085510115462")</f>
        <v>https://ok.ru/group/51085510115462</v>
      </c>
      <c r="K3079">
        <v>94768</v>
      </c>
      <c r="L3079" t="s">
        <v>340</v>
      </c>
      <c r="N3079" t="s">
        <v>347</v>
      </c>
      <c r="O3079" t="s">
        <v>175</v>
      </c>
      <c r="P3079" t="str">
        <f>HYPERLINK("https://ok.ru/group/51085510115462")</f>
        <v>https://ok.ru/group/51085510115462</v>
      </c>
      <c r="Q3079">
        <v>94768</v>
      </c>
      <c r="R3079" t="s">
        <v>124</v>
      </c>
      <c r="W3079">
        <v>0</v>
      </c>
      <c r="X3079">
        <v>0</v>
      </c>
      <c r="AM3079" t="s">
        <v>129</v>
      </c>
      <c r="AN3079" t="s">
        <v>130</v>
      </c>
      <c r="BI3079" t="s">
        <v>60</v>
      </c>
    </row>
    <row r="3080" spans="1:65" x14ac:dyDescent="0.2">
      <c r="A3080" t="s">
        <v>10399</v>
      </c>
      <c r="B3080" t="s">
        <v>1586</v>
      </c>
      <c r="C3080" t="s">
        <v>10554</v>
      </c>
      <c r="D3080" t="s">
        <v>10561</v>
      </c>
      <c r="E3080" t="s">
        <v>10562</v>
      </c>
      <c r="F3080" t="s">
        <v>118</v>
      </c>
      <c r="G3080" t="str">
        <f>HYPERLINK("https://vk.com/wall-27863223_291399?reply=291476")</f>
        <v>https://vk.com/wall-27863223_291399?reply=291476</v>
      </c>
      <c r="H3080" t="s">
        <v>119</v>
      </c>
      <c r="I3080" t="s">
        <v>10563</v>
      </c>
      <c r="J3080" t="str">
        <f>HYPERLINK("http://vk.com/id11297852")</f>
        <v>http://vk.com/id11297852</v>
      </c>
      <c r="K3080">
        <v>107</v>
      </c>
      <c r="L3080" t="s">
        <v>121</v>
      </c>
      <c r="M3080">
        <v>34</v>
      </c>
      <c r="N3080" t="s">
        <v>122</v>
      </c>
      <c r="O3080" t="s">
        <v>175</v>
      </c>
      <c r="P3080" t="str">
        <f>HYPERLINK("http://vk.com/club27863223")</f>
        <v>http://vk.com/club27863223</v>
      </c>
      <c r="Q3080">
        <v>134698</v>
      </c>
      <c r="R3080" t="s">
        <v>124</v>
      </c>
      <c r="S3080" t="s">
        <v>10564</v>
      </c>
      <c r="U3080" t="s">
        <v>10565</v>
      </c>
      <c r="W3080">
        <v>0</v>
      </c>
      <c r="X3080">
        <v>0</v>
      </c>
      <c r="AM3080" t="s">
        <v>129</v>
      </c>
      <c r="AN3080" t="s">
        <v>130</v>
      </c>
      <c r="AP3080" t="s">
        <v>41</v>
      </c>
      <c r="AT3080" t="s">
        <v>45</v>
      </c>
      <c r="AY3080" t="s">
        <v>50</v>
      </c>
      <c r="AZ3080" t="s">
        <v>51</v>
      </c>
      <c r="BA3080" t="s">
        <v>52</v>
      </c>
    </row>
    <row r="3081" spans="1:65" x14ac:dyDescent="0.2">
      <c r="A3081" t="s">
        <v>10399</v>
      </c>
      <c r="B3081" t="s">
        <v>1002</v>
      </c>
      <c r="C3081" t="s">
        <v>5345</v>
      </c>
      <c r="D3081" t="s">
        <v>10566</v>
      </c>
      <c r="E3081" t="s">
        <v>10567</v>
      </c>
      <c r="F3081" t="s">
        <v>180</v>
      </c>
      <c r="G3081" t="str">
        <f>HYPERLINK("https://www.ozon.ru/context/detail/id/223532121/#57622769")</f>
        <v>https://www.ozon.ru/context/detail/id/223532121/#57622769</v>
      </c>
      <c r="H3081" t="s">
        <v>119</v>
      </c>
      <c r="I3081" t="s">
        <v>10568</v>
      </c>
      <c r="J3081" t="str">
        <f>HYPERLINK("https://www.ozon.ru/context/client_opinion/ClientGuid/31341ce7-a496-4ffc-9474-9247a098d47e/")</f>
        <v>https://www.ozon.ru/context/client_opinion/ClientGuid/31341ce7-a496-4ffc-9474-9247a098d47e/</v>
      </c>
      <c r="L3081" t="s">
        <v>151</v>
      </c>
      <c r="N3081" t="s">
        <v>183</v>
      </c>
      <c r="O3081" t="s">
        <v>10566</v>
      </c>
      <c r="P3081" t="str">
        <f>HYPERLINK("https://www.ozon.ru/context/detail/id/223532121/")</f>
        <v>https://www.ozon.ru/context/detail/id/223532121/</v>
      </c>
      <c r="R3081" t="s">
        <v>184</v>
      </c>
      <c r="S3081" t="s">
        <v>125</v>
      </c>
      <c r="W3081">
        <v>0</v>
      </c>
      <c r="X3081">
        <v>0</v>
      </c>
      <c r="AH3081">
        <v>2</v>
      </c>
      <c r="AM3081" t="s">
        <v>129</v>
      </c>
      <c r="AN3081" t="s">
        <v>130</v>
      </c>
      <c r="AP3081" t="s">
        <v>41</v>
      </c>
      <c r="AZ3081" t="s">
        <v>51</v>
      </c>
      <c r="BA3081" t="s">
        <v>52</v>
      </c>
      <c r="BL3081" t="s">
        <v>63</v>
      </c>
    </row>
    <row r="3082" spans="1:65" x14ac:dyDescent="0.2">
      <c r="A3082" t="s">
        <v>10399</v>
      </c>
      <c r="B3082" t="s">
        <v>1002</v>
      </c>
      <c r="C3082" t="s">
        <v>10569</v>
      </c>
      <c r="D3082" t="s">
        <v>10059</v>
      </c>
      <c r="E3082" t="s">
        <v>10570</v>
      </c>
      <c r="F3082" t="s">
        <v>118</v>
      </c>
      <c r="G3082" t="str">
        <f>HYPERLINK("https://vk.com/wall-70010161_674172?reply=674252&amp;thread=674174")</f>
        <v>https://vk.com/wall-70010161_674172?reply=674252&amp;thread=674174</v>
      </c>
      <c r="H3082" t="s">
        <v>119</v>
      </c>
      <c r="I3082" t="s">
        <v>10571</v>
      </c>
      <c r="J3082" t="str">
        <f>HYPERLINK("http://vk.com/id575897516")</f>
        <v>http://vk.com/id575897516</v>
      </c>
      <c r="K3082">
        <v>168</v>
      </c>
      <c r="L3082" t="s">
        <v>121</v>
      </c>
      <c r="M3082">
        <v>38</v>
      </c>
      <c r="N3082" t="s">
        <v>122</v>
      </c>
      <c r="O3082" t="s">
        <v>10062</v>
      </c>
      <c r="P3082" t="str">
        <f>HYPERLINK("http://vk.com/club70010161")</f>
        <v>http://vk.com/club70010161</v>
      </c>
      <c r="Q3082">
        <v>19314</v>
      </c>
      <c r="R3082" t="s">
        <v>124</v>
      </c>
      <c r="S3082" t="s">
        <v>125</v>
      </c>
      <c r="T3082" t="s">
        <v>667</v>
      </c>
      <c r="U3082" t="s">
        <v>668</v>
      </c>
      <c r="AM3082" t="s">
        <v>129</v>
      </c>
      <c r="AN3082" t="s">
        <v>130</v>
      </c>
      <c r="AP3082" t="s">
        <v>41</v>
      </c>
      <c r="AZ3082" t="s">
        <v>51</v>
      </c>
      <c r="BA3082" t="s">
        <v>52</v>
      </c>
      <c r="BL3082" t="s">
        <v>63</v>
      </c>
    </row>
    <row r="3083" spans="1:65" x14ac:dyDescent="0.2">
      <c r="A3083" t="s">
        <v>10399</v>
      </c>
      <c r="B3083" t="s">
        <v>6115</v>
      </c>
      <c r="C3083" t="s">
        <v>10572</v>
      </c>
      <c r="D3083" t="s">
        <v>10059</v>
      </c>
      <c r="E3083" t="s">
        <v>10573</v>
      </c>
      <c r="F3083" t="s">
        <v>118</v>
      </c>
      <c r="G3083" t="str">
        <f>HYPERLINK("https://vk.com/wall-70010161_674172?reply=674249&amp;thread=674174")</f>
        <v>https://vk.com/wall-70010161_674172?reply=674249&amp;thread=674174</v>
      </c>
      <c r="H3083" t="s">
        <v>119</v>
      </c>
      <c r="I3083" t="s">
        <v>10571</v>
      </c>
      <c r="J3083" t="str">
        <f>HYPERLINK("http://vk.com/id575897516")</f>
        <v>http://vk.com/id575897516</v>
      </c>
      <c r="K3083">
        <v>168</v>
      </c>
      <c r="L3083" t="s">
        <v>121</v>
      </c>
      <c r="M3083">
        <v>38</v>
      </c>
      <c r="N3083" t="s">
        <v>122</v>
      </c>
      <c r="O3083" t="s">
        <v>10062</v>
      </c>
      <c r="P3083" t="str">
        <f>HYPERLINK("http://vk.com/club70010161")</f>
        <v>http://vk.com/club70010161</v>
      </c>
      <c r="Q3083">
        <v>19314</v>
      </c>
      <c r="R3083" t="s">
        <v>124</v>
      </c>
      <c r="S3083" t="s">
        <v>125</v>
      </c>
      <c r="T3083" t="s">
        <v>667</v>
      </c>
      <c r="U3083" t="s">
        <v>668</v>
      </c>
      <c r="AM3083" t="s">
        <v>129</v>
      </c>
      <c r="AN3083" t="s">
        <v>130</v>
      </c>
      <c r="AP3083" t="s">
        <v>41</v>
      </c>
      <c r="AT3083" t="s">
        <v>45</v>
      </c>
      <c r="AZ3083" t="s">
        <v>51</v>
      </c>
      <c r="BA3083" t="s">
        <v>52</v>
      </c>
      <c r="BM3083" t="s">
        <v>64</v>
      </c>
    </row>
    <row r="3084" spans="1:65" x14ac:dyDescent="0.2">
      <c r="A3084" t="s">
        <v>10399</v>
      </c>
      <c r="B3084" t="s">
        <v>7504</v>
      </c>
      <c r="C3084" t="s">
        <v>10574</v>
      </c>
      <c r="D3084" t="s">
        <v>10059</v>
      </c>
      <c r="E3084" t="s">
        <v>10575</v>
      </c>
      <c r="F3084" t="s">
        <v>118</v>
      </c>
      <c r="G3084" t="str">
        <f>HYPERLINK("https://vk.com/wall-70010161_674172?reply=674241&amp;thread=674174")</f>
        <v>https://vk.com/wall-70010161_674172?reply=674241&amp;thread=674174</v>
      </c>
      <c r="H3084" t="s">
        <v>228</v>
      </c>
      <c r="I3084" t="s">
        <v>10576</v>
      </c>
      <c r="J3084" t="str">
        <f>HYPERLINK("http://vk.com/id576259501")</f>
        <v>http://vk.com/id576259501</v>
      </c>
      <c r="K3084">
        <v>127</v>
      </c>
      <c r="L3084" t="s">
        <v>151</v>
      </c>
      <c r="M3084">
        <v>57</v>
      </c>
      <c r="N3084" t="s">
        <v>122</v>
      </c>
      <c r="O3084" t="s">
        <v>10062</v>
      </c>
      <c r="P3084" t="str">
        <f>HYPERLINK("http://vk.com/club70010161")</f>
        <v>http://vk.com/club70010161</v>
      </c>
      <c r="Q3084">
        <v>19314</v>
      </c>
      <c r="R3084" t="s">
        <v>124</v>
      </c>
      <c r="S3084" t="s">
        <v>125</v>
      </c>
      <c r="T3084" t="s">
        <v>667</v>
      </c>
      <c r="U3084" t="s">
        <v>668</v>
      </c>
      <c r="AM3084" t="s">
        <v>129</v>
      </c>
      <c r="AN3084" t="s">
        <v>130</v>
      </c>
      <c r="AP3084" t="s">
        <v>41</v>
      </c>
      <c r="AW3084" t="s">
        <v>48</v>
      </c>
      <c r="AZ3084" t="s">
        <v>51</v>
      </c>
      <c r="BA3084" t="s">
        <v>52</v>
      </c>
      <c r="BM3084" t="s">
        <v>64</v>
      </c>
    </row>
    <row r="3085" spans="1:65" x14ac:dyDescent="0.2">
      <c r="A3085" t="s">
        <v>10399</v>
      </c>
      <c r="B3085" t="s">
        <v>7504</v>
      </c>
      <c r="C3085" t="s">
        <v>10577</v>
      </c>
      <c r="D3085" t="s">
        <v>6109</v>
      </c>
      <c r="E3085" t="s">
        <v>10578</v>
      </c>
      <c r="F3085" t="s">
        <v>118</v>
      </c>
      <c r="G3085" t="str">
        <f>HYPERLINK("https://vk.com/wall-22935147_359535?reply=368191")</f>
        <v>https://vk.com/wall-22935147_359535?reply=368191</v>
      </c>
      <c r="H3085" t="s">
        <v>119</v>
      </c>
      <c r="I3085" t="s">
        <v>10579</v>
      </c>
      <c r="J3085" t="str">
        <f>HYPERLINK("http://vk.com/id87675434")</f>
        <v>http://vk.com/id87675434</v>
      </c>
      <c r="K3085">
        <v>406</v>
      </c>
      <c r="L3085" t="s">
        <v>121</v>
      </c>
      <c r="M3085">
        <v>29</v>
      </c>
      <c r="N3085" t="s">
        <v>122</v>
      </c>
      <c r="O3085" t="s">
        <v>1093</v>
      </c>
      <c r="P3085" t="str">
        <f>HYPERLINK("http://vk.com/club22935147")</f>
        <v>http://vk.com/club22935147</v>
      </c>
      <c r="Q3085">
        <v>8943</v>
      </c>
      <c r="R3085" t="s">
        <v>124</v>
      </c>
      <c r="S3085" t="s">
        <v>125</v>
      </c>
      <c r="W3085">
        <v>0</v>
      </c>
      <c r="X3085">
        <v>0</v>
      </c>
      <c r="AM3085" t="s">
        <v>129</v>
      </c>
      <c r="AN3085" t="s">
        <v>130</v>
      </c>
      <c r="AP3085" t="s">
        <v>41</v>
      </c>
      <c r="AW3085" t="s">
        <v>48</v>
      </c>
      <c r="AZ3085" t="s">
        <v>51</v>
      </c>
      <c r="BA3085" t="s">
        <v>52</v>
      </c>
      <c r="BL3085" t="s">
        <v>63</v>
      </c>
    </row>
    <row r="3086" spans="1:65" x14ac:dyDescent="0.2">
      <c r="A3086" t="s">
        <v>10399</v>
      </c>
      <c r="B3086" t="s">
        <v>10252</v>
      </c>
      <c r="C3086" t="s">
        <v>10574</v>
      </c>
      <c r="D3086" t="s">
        <v>10059</v>
      </c>
      <c r="E3086" t="s">
        <v>10580</v>
      </c>
      <c r="F3086" t="s">
        <v>118</v>
      </c>
      <c r="G3086" t="str">
        <f>HYPERLINK("https://vk.com/wall-70010161_674172?reply=674238&amp;thread=674173")</f>
        <v>https://vk.com/wall-70010161_674172?reply=674238&amp;thread=674173</v>
      </c>
      <c r="H3086" t="s">
        <v>228</v>
      </c>
      <c r="I3086" t="s">
        <v>10581</v>
      </c>
      <c r="J3086" t="str">
        <f>HYPERLINK("http://vk.com/id229270519")</f>
        <v>http://vk.com/id229270519</v>
      </c>
      <c r="K3086">
        <v>10</v>
      </c>
      <c r="L3086" t="s">
        <v>151</v>
      </c>
      <c r="N3086" t="s">
        <v>122</v>
      </c>
      <c r="O3086" t="s">
        <v>10062</v>
      </c>
      <c r="P3086" t="str">
        <f>HYPERLINK("http://vk.com/club70010161")</f>
        <v>http://vk.com/club70010161</v>
      </c>
      <c r="Q3086">
        <v>19314</v>
      </c>
      <c r="R3086" t="s">
        <v>124</v>
      </c>
      <c r="S3086" t="s">
        <v>125</v>
      </c>
      <c r="T3086" t="s">
        <v>667</v>
      </c>
      <c r="U3086" t="s">
        <v>10255</v>
      </c>
      <c r="AM3086" t="s">
        <v>129</v>
      </c>
      <c r="AN3086" t="s">
        <v>130</v>
      </c>
      <c r="AP3086" t="s">
        <v>41</v>
      </c>
      <c r="AT3086" t="s">
        <v>45</v>
      </c>
      <c r="AY3086" t="s">
        <v>50</v>
      </c>
      <c r="AZ3086" t="s">
        <v>51</v>
      </c>
      <c r="BA3086" t="s">
        <v>52</v>
      </c>
      <c r="BM3086" t="s">
        <v>64</v>
      </c>
    </row>
    <row r="3087" spans="1:65" x14ac:dyDescent="0.2">
      <c r="A3087" t="s">
        <v>10399</v>
      </c>
      <c r="B3087" t="s">
        <v>10252</v>
      </c>
      <c r="C3087" t="s">
        <v>10582</v>
      </c>
      <c r="D3087" t="s">
        <v>10583</v>
      </c>
      <c r="E3087" t="s">
        <v>10584</v>
      </c>
      <c r="F3087" t="s">
        <v>118</v>
      </c>
      <c r="G3087" t="str">
        <f>HYPERLINK("https://www.youtube.com/watch?v=auZ8ZJlBw4k&amp;lc=UgyACcJGgTfwQH-HGmZ4AaABAg.9PSSA-eMAon9PSTFONy-dG")</f>
        <v>https://www.youtube.com/watch?v=auZ8ZJlBw4k&amp;lc=UgyACcJGgTfwQH-HGmZ4AaABAg.9PSSA-eMAon9PSTFONy-dG</v>
      </c>
      <c r="H3087" t="s">
        <v>119</v>
      </c>
      <c r="I3087" t="s">
        <v>10585</v>
      </c>
      <c r="J3087" t="str">
        <f>HYPERLINK("https://www.youtube.com/channel/UCcvEBACS1JTDe4vSD32x4gg")</f>
        <v>https://www.youtube.com/channel/UCcvEBACS1JTDe4vSD32x4gg</v>
      </c>
      <c r="K3087">
        <v>2</v>
      </c>
      <c r="N3087" t="s">
        <v>248</v>
      </c>
      <c r="O3087" t="s">
        <v>6687</v>
      </c>
      <c r="P3087" t="str">
        <f>HYPERLINK("https://www.youtube.com/channel/UCGA5WbTknsqqFvlUd2auUEg")</f>
        <v>https://www.youtube.com/channel/UCGA5WbTknsqqFvlUd2auUEg</v>
      </c>
      <c r="Q3087">
        <v>2170</v>
      </c>
      <c r="R3087" t="s">
        <v>124</v>
      </c>
      <c r="W3087">
        <v>0</v>
      </c>
      <c r="X3087">
        <v>0</v>
      </c>
      <c r="AM3087" t="s">
        <v>129</v>
      </c>
      <c r="AN3087" t="s">
        <v>130</v>
      </c>
      <c r="AP3087" t="s">
        <v>41</v>
      </c>
      <c r="AZ3087" t="s">
        <v>51</v>
      </c>
      <c r="BB3087" t="s">
        <v>53</v>
      </c>
      <c r="BM3087" t="s">
        <v>64</v>
      </c>
    </row>
    <row r="3088" spans="1:65" x14ac:dyDescent="0.2">
      <c r="A3088" t="s">
        <v>10399</v>
      </c>
      <c r="B3088" t="s">
        <v>4773</v>
      </c>
      <c r="C3088" t="s">
        <v>10518</v>
      </c>
      <c r="D3088" t="s">
        <v>8502</v>
      </c>
      <c r="E3088" t="s">
        <v>10586</v>
      </c>
      <c r="F3088" t="s">
        <v>118</v>
      </c>
      <c r="G3088" t="str">
        <f>HYPERLINK("https://ok.ru/group/53318809747546/topic/153423195103322#MTYyNTU2OTY2NDA5MDotNTk1NzoxNjI1NTY5NjY0MDkwOjE1MzQyMzE5NTEwMzMyMjox")</f>
        <v>https://ok.ru/group/53318809747546/topic/153423195103322#MTYyNTU2OTY2NDA5MDotNTk1NzoxNjI1NTY5NjY0MDkwOjE1MzQyMzE5NTEwMzMyMjox</v>
      </c>
      <c r="H3088" t="s">
        <v>119</v>
      </c>
      <c r="I3088" t="s">
        <v>10587</v>
      </c>
      <c r="J3088" t="str">
        <f>HYPERLINK("https://ok.ru/profile/525264177005")</f>
        <v>https://ok.ru/profile/525264177005</v>
      </c>
      <c r="K3088">
        <v>69</v>
      </c>
      <c r="L3088" t="s">
        <v>121</v>
      </c>
      <c r="M3088">
        <v>83</v>
      </c>
      <c r="N3088" t="s">
        <v>347</v>
      </c>
      <c r="O3088" t="s">
        <v>8505</v>
      </c>
      <c r="P3088" t="str">
        <f>HYPERLINK("https://ok.ru/group/53318809747546")</f>
        <v>https://ok.ru/group/53318809747546</v>
      </c>
      <c r="Q3088">
        <v>16788</v>
      </c>
      <c r="R3088" t="s">
        <v>124</v>
      </c>
      <c r="S3088" t="s">
        <v>125</v>
      </c>
      <c r="T3088" t="s">
        <v>4836</v>
      </c>
      <c r="U3088" t="s">
        <v>4837</v>
      </c>
      <c r="W3088">
        <v>0</v>
      </c>
      <c r="X3088">
        <v>0</v>
      </c>
      <c r="AM3088" t="s">
        <v>129</v>
      </c>
      <c r="AN3088" t="s">
        <v>130</v>
      </c>
      <c r="AP3088" t="s">
        <v>41</v>
      </c>
      <c r="AT3088" t="s">
        <v>45</v>
      </c>
      <c r="AZ3088" t="s">
        <v>51</v>
      </c>
      <c r="BA3088" t="s">
        <v>52</v>
      </c>
    </row>
    <row r="3089" spans="1:69" x14ac:dyDescent="0.2">
      <c r="A3089" t="s">
        <v>10399</v>
      </c>
      <c r="B3089" t="s">
        <v>1023</v>
      </c>
      <c r="C3089" t="s">
        <v>10588</v>
      </c>
      <c r="D3089" t="s">
        <v>10589</v>
      </c>
      <c r="E3089" t="s">
        <v>10590</v>
      </c>
      <c r="F3089" t="s">
        <v>118</v>
      </c>
      <c r="G3089" t="str">
        <f>HYPERLINK("https://www.youtube.com/watch?v=8gHHOnif8mQ&amp;lc=Ugy1TxteISRptXKo2oV4AaABAg")</f>
        <v>https://www.youtube.com/watch?v=8gHHOnif8mQ&amp;lc=Ugy1TxteISRptXKo2oV4AaABAg</v>
      </c>
      <c r="H3089" t="s">
        <v>119</v>
      </c>
      <c r="I3089" t="s">
        <v>10591</v>
      </c>
      <c r="J3089" t="str">
        <f>HYPERLINK("https://www.youtube.com/channel/UCXMI3zhX_3YQLUjtAX5DxLQ")</f>
        <v>https://www.youtube.com/channel/UCXMI3zhX_3YQLUjtAX5DxLQ</v>
      </c>
      <c r="K3089">
        <v>0</v>
      </c>
      <c r="L3089" t="s">
        <v>121</v>
      </c>
      <c r="N3089" t="s">
        <v>248</v>
      </c>
      <c r="O3089" t="s">
        <v>10592</v>
      </c>
      <c r="P3089" t="str">
        <f>HYPERLINK("https://www.youtube.com/channel/UC-5y4QNtkfOZplq1c3E4HJw")</f>
        <v>https://www.youtube.com/channel/UC-5y4QNtkfOZplq1c3E4HJw</v>
      </c>
      <c r="Q3089">
        <v>942000</v>
      </c>
      <c r="R3089" t="s">
        <v>124</v>
      </c>
      <c r="S3089" t="s">
        <v>125</v>
      </c>
      <c r="W3089">
        <v>0</v>
      </c>
      <c r="X3089">
        <v>0</v>
      </c>
      <c r="AE3089">
        <v>0</v>
      </c>
      <c r="AM3089" t="s">
        <v>129</v>
      </c>
      <c r="AN3089" t="s">
        <v>130</v>
      </c>
      <c r="AP3089" t="s">
        <v>41</v>
      </c>
      <c r="AT3089" t="s">
        <v>45</v>
      </c>
      <c r="AZ3089" t="s">
        <v>51</v>
      </c>
      <c r="BA3089" t="s">
        <v>52</v>
      </c>
    </row>
    <row r="3090" spans="1:69" x14ac:dyDescent="0.2">
      <c r="A3090" t="s">
        <v>10399</v>
      </c>
      <c r="B3090" t="s">
        <v>1023</v>
      </c>
      <c r="C3090" t="s">
        <v>10593</v>
      </c>
      <c r="D3090" t="s">
        <v>10044</v>
      </c>
      <c r="E3090" t="s">
        <v>10594</v>
      </c>
      <c r="F3090" t="s">
        <v>118</v>
      </c>
      <c r="G3090" t="str">
        <f>HYPERLINK("https://vk.com/wall-22935147_368172?reply=368189")</f>
        <v>https://vk.com/wall-22935147_368172?reply=368189</v>
      </c>
      <c r="H3090" t="s">
        <v>119</v>
      </c>
      <c r="I3090" t="s">
        <v>10595</v>
      </c>
      <c r="J3090" t="str">
        <f>HYPERLINK("http://vk.com/id454341141")</f>
        <v>http://vk.com/id454341141</v>
      </c>
      <c r="K3090">
        <v>7</v>
      </c>
      <c r="L3090" t="s">
        <v>121</v>
      </c>
      <c r="N3090" t="s">
        <v>122</v>
      </c>
      <c r="O3090" t="s">
        <v>1093</v>
      </c>
      <c r="P3090" t="str">
        <f>HYPERLINK("http://vk.com/club22935147")</f>
        <v>http://vk.com/club22935147</v>
      </c>
      <c r="Q3090">
        <v>8943</v>
      </c>
      <c r="R3090" t="s">
        <v>124</v>
      </c>
      <c r="S3090" t="s">
        <v>125</v>
      </c>
      <c r="T3090" t="s">
        <v>169</v>
      </c>
      <c r="U3090" t="s">
        <v>169</v>
      </c>
      <c r="W3090">
        <v>0</v>
      </c>
      <c r="X3090">
        <v>0</v>
      </c>
      <c r="AM3090" t="s">
        <v>129</v>
      </c>
      <c r="AN3090" t="s">
        <v>130</v>
      </c>
      <c r="AP3090" t="s">
        <v>41</v>
      </c>
      <c r="AT3090" t="s">
        <v>45</v>
      </c>
      <c r="AZ3090" t="s">
        <v>51</v>
      </c>
      <c r="BA3090" t="s">
        <v>52</v>
      </c>
      <c r="BK3090" t="s">
        <v>62</v>
      </c>
      <c r="BL3090" t="s">
        <v>63</v>
      </c>
      <c r="BO3090" t="s">
        <v>66</v>
      </c>
    </row>
    <row r="3091" spans="1:69" x14ac:dyDescent="0.2">
      <c r="A3091" t="s">
        <v>10399</v>
      </c>
      <c r="B3091" t="s">
        <v>1610</v>
      </c>
      <c r="C3091" t="s">
        <v>10593</v>
      </c>
      <c r="D3091" t="s">
        <v>9804</v>
      </c>
      <c r="E3091" t="s">
        <v>10596</v>
      </c>
      <c r="F3091" t="s">
        <v>118</v>
      </c>
      <c r="G3091" t="str">
        <f>HYPERLINK("https://vk.com/wall-22935147_368183?reply=368188")</f>
        <v>https://vk.com/wall-22935147_368183?reply=368188</v>
      </c>
      <c r="H3091" t="s">
        <v>119</v>
      </c>
      <c r="I3091" t="s">
        <v>5494</v>
      </c>
      <c r="J3091" t="str">
        <f>HYPERLINK("http://vk.com/id191196273")</f>
        <v>http://vk.com/id191196273</v>
      </c>
      <c r="K3091">
        <v>64</v>
      </c>
      <c r="L3091" t="s">
        <v>121</v>
      </c>
      <c r="M3091">
        <v>45</v>
      </c>
      <c r="N3091" t="s">
        <v>122</v>
      </c>
      <c r="O3091" t="s">
        <v>1093</v>
      </c>
      <c r="P3091" t="str">
        <f>HYPERLINK("http://vk.com/club22935147")</f>
        <v>http://vk.com/club22935147</v>
      </c>
      <c r="Q3091">
        <v>8943</v>
      </c>
      <c r="R3091" t="s">
        <v>124</v>
      </c>
      <c r="S3091" t="s">
        <v>125</v>
      </c>
      <c r="T3091" t="s">
        <v>2225</v>
      </c>
      <c r="U3091" t="s">
        <v>2861</v>
      </c>
      <c r="W3091">
        <v>0</v>
      </c>
      <c r="X3091">
        <v>0</v>
      </c>
      <c r="AM3091" t="s">
        <v>129</v>
      </c>
      <c r="AN3091" t="s">
        <v>130</v>
      </c>
      <c r="AP3091" t="s">
        <v>41</v>
      </c>
      <c r="AU3091" t="s">
        <v>46</v>
      </c>
      <c r="AZ3091" t="s">
        <v>51</v>
      </c>
      <c r="BA3091" t="s">
        <v>52</v>
      </c>
    </row>
    <row r="3092" spans="1:69" x14ac:dyDescent="0.2">
      <c r="A3092" t="s">
        <v>10399</v>
      </c>
      <c r="B3092" t="s">
        <v>1620</v>
      </c>
      <c r="C3092" t="s">
        <v>10597</v>
      </c>
      <c r="D3092" t="s">
        <v>10598</v>
      </c>
      <c r="E3092" t="s">
        <v>10599</v>
      </c>
      <c r="F3092" t="s">
        <v>118</v>
      </c>
      <c r="G3092" t="str">
        <f>HYPERLINK("https://vk.com/wall-159637212_5620?reply=5621")</f>
        <v>https://vk.com/wall-159637212_5620?reply=5621</v>
      </c>
      <c r="H3092" t="s">
        <v>119</v>
      </c>
      <c r="I3092" t="s">
        <v>10600</v>
      </c>
      <c r="J3092" t="str">
        <f>HYPERLINK("http://vk.com/id354452963")</f>
        <v>http://vk.com/id354452963</v>
      </c>
      <c r="K3092">
        <v>3539</v>
      </c>
      <c r="L3092" t="s">
        <v>121</v>
      </c>
      <c r="M3092">
        <v>46</v>
      </c>
      <c r="N3092" t="s">
        <v>122</v>
      </c>
      <c r="O3092" t="s">
        <v>10601</v>
      </c>
      <c r="P3092" t="str">
        <f>HYPERLINK("http://vk.com/club159637212")</f>
        <v>http://vk.com/club159637212</v>
      </c>
      <c r="Q3092">
        <v>9343</v>
      </c>
      <c r="R3092" t="s">
        <v>124</v>
      </c>
      <c r="S3092" t="s">
        <v>125</v>
      </c>
      <c r="T3092" t="s">
        <v>1103</v>
      </c>
      <c r="U3092" t="s">
        <v>1104</v>
      </c>
      <c r="AM3092" t="s">
        <v>129</v>
      </c>
      <c r="AN3092" t="s">
        <v>130</v>
      </c>
      <c r="AP3092" t="s">
        <v>41</v>
      </c>
      <c r="AU3092" t="s">
        <v>46</v>
      </c>
      <c r="AZ3092" t="s">
        <v>51</v>
      </c>
      <c r="BA3092" t="s">
        <v>52</v>
      </c>
    </row>
    <row r="3093" spans="1:69" x14ac:dyDescent="0.2">
      <c r="A3093" t="s">
        <v>10399</v>
      </c>
      <c r="B3093" t="s">
        <v>9315</v>
      </c>
      <c r="C3093" t="s">
        <v>10602</v>
      </c>
      <c r="D3093" t="s">
        <v>9804</v>
      </c>
      <c r="E3093" t="s">
        <v>10603</v>
      </c>
      <c r="F3093" t="s">
        <v>118</v>
      </c>
      <c r="G3093" t="str">
        <f>HYPERLINK("https://vk.com/wall-22935147_368183?reply=368187")</f>
        <v>https://vk.com/wall-22935147_368183?reply=368187</v>
      </c>
      <c r="H3093" t="s">
        <v>228</v>
      </c>
      <c r="I3093" t="s">
        <v>5325</v>
      </c>
      <c r="J3093" t="str">
        <f>HYPERLINK("http://vk.com/id657910898")</f>
        <v>http://vk.com/id657910898</v>
      </c>
      <c r="L3093" t="s">
        <v>121</v>
      </c>
      <c r="M3093">
        <v>46</v>
      </c>
      <c r="N3093" t="s">
        <v>122</v>
      </c>
      <c r="O3093" t="s">
        <v>1093</v>
      </c>
      <c r="P3093" t="str">
        <f>HYPERLINK("http://vk.com/club22935147")</f>
        <v>http://vk.com/club22935147</v>
      </c>
      <c r="Q3093">
        <v>8943</v>
      </c>
      <c r="R3093" t="s">
        <v>124</v>
      </c>
      <c r="S3093" t="s">
        <v>125</v>
      </c>
      <c r="T3093" t="s">
        <v>169</v>
      </c>
      <c r="U3093" t="s">
        <v>169</v>
      </c>
      <c r="W3093">
        <v>0</v>
      </c>
      <c r="X3093">
        <v>0</v>
      </c>
      <c r="AM3093" t="s">
        <v>129</v>
      </c>
      <c r="AN3093" t="s">
        <v>130</v>
      </c>
      <c r="AP3093" t="s">
        <v>41</v>
      </c>
      <c r="AU3093" t="s">
        <v>46</v>
      </c>
      <c r="AZ3093" t="s">
        <v>51</v>
      </c>
      <c r="BA3093" t="s">
        <v>52</v>
      </c>
    </row>
    <row r="3094" spans="1:69" x14ac:dyDescent="0.2">
      <c r="A3094" t="s">
        <v>10399</v>
      </c>
      <c r="B3094" t="s">
        <v>2629</v>
      </c>
      <c r="C3094" t="s">
        <v>10518</v>
      </c>
      <c r="D3094" t="s">
        <v>8502</v>
      </c>
      <c r="E3094" t="s">
        <v>10604</v>
      </c>
      <c r="F3094" t="s">
        <v>118</v>
      </c>
      <c r="G3094" t="str">
        <f>HYPERLINK("https://ok.ru/group/53318809747546/topic/153423195103322#MTYyNTU2NzQ0MzIxMjotMjY4OToxNjI1NTY3NDQzMjEyOjE1MzQyMzE5NTEwMzMyMjox")</f>
        <v>https://ok.ru/group/53318809747546/topic/153423195103322#MTYyNTU2NzQ0MzIxMjotMjY4OToxNjI1NTY3NDQzMjEyOjE1MzQyMzE5NTEwMzMyMjox</v>
      </c>
      <c r="H3094" t="s">
        <v>119</v>
      </c>
      <c r="I3094" t="s">
        <v>10119</v>
      </c>
      <c r="J3094" t="str">
        <f>HYPERLINK("https://ok.ru/profile/575716412560")</f>
        <v>https://ok.ru/profile/575716412560</v>
      </c>
      <c r="K3094">
        <v>57</v>
      </c>
      <c r="L3094" t="s">
        <v>121</v>
      </c>
      <c r="N3094" t="s">
        <v>347</v>
      </c>
      <c r="O3094" t="s">
        <v>8505</v>
      </c>
      <c r="P3094" t="str">
        <f>HYPERLINK("https://ok.ru/group/53318809747546")</f>
        <v>https://ok.ru/group/53318809747546</v>
      </c>
      <c r="Q3094">
        <v>16788</v>
      </c>
      <c r="R3094" t="s">
        <v>124</v>
      </c>
      <c r="S3094" t="s">
        <v>125</v>
      </c>
      <c r="T3094" t="s">
        <v>5115</v>
      </c>
      <c r="U3094" t="s">
        <v>5116</v>
      </c>
      <c r="W3094">
        <v>0</v>
      </c>
      <c r="X3094">
        <v>0</v>
      </c>
      <c r="AM3094" t="s">
        <v>129</v>
      </c>
      <c r="AN3094" t="s">
        <v>130</v>
      </c>
      <c r="AP3094" t="s">
        <v>41</v>
      </c>
      <c r="AT3094" t="s">
        <v>45</v>
      </c>
      <c r="AZ3094" t="s">
        <v>51</v>
      </c>
      <c r="BA3094" t="s">
        <v>52</v>
      </c>
    </row>
    <row r="3095" spans="1:69" x14ac:dyDescent="0.2">
      <c r="A3095" t="s">
        <v>10399</v>
      </c>
      <c r="B3095" t="s">
        <v>3163</v>
      </c>
      <c r="C3095" t="s">
        <v>10605</v>
      </c>
      <c r="D3095" t="s">
        <v>10606</v>
      </c>
      <c r="E3095" t="s">
        <v>10607</v>
      </c>
      <c r="F3095" t="s">
        <v>118</v>
      </c>
      <c r="G3095" t="str">
        <f>HYPERLINK("https://www.youtube.com/watch?v=dwkAY8aNg4M&amp;lc=UgyEj3w-KsAp7YgkKSt4AaABAg")</f>
        <v>https://www.youtube.com/watch?v=dwkAY8aNg4M&amp;lc=UgyEj3w-KsAp7YgkKSt4AaABAg</v>
      </c>
      <c r="H3095" t="s">
        <v>119</v>
      </c>
      <c r="I3095" t="s">
        <v>10608</v>
      </c>
      <c r="J3095" t="str">
        <f>HYPERLINK("https://www.youtube.com/channel/UCPIXhVVOLTSLCT6qB40PU1Q")</f>
        <v>https://www.youtube.com/channel/UCPIXhVVOLTSLCT6qB40PU1Q</v>
      </c>
      <c r="K3095">
        <v>1</v>
      </c>
      <c r="L3095" t="s">
        <v>151</v>
      </c>
      <c r="N3095" t="s">
        <v>248</v>
      </c>
      <c r="O3095" t="s">
        <v>2307</v>
      </c>
      <c r="P3095" t="str">
        <f>HYPERLINK("https://www.youtube.com/channel/UCfV0sfiYm-_0X3ULYnctXxw")</f>
        <v>https://www.youtube.com/channel/UCfV0sfiYm-_0X3ULYnctXxw</v>
      </c>
      <c r="Q3095">
        <v>25000</v>
      </c>
      <c r="R3095" t="s">
        <v>124</v>
      </c>
      <c r="S3095" t="s">
        <v>125</v>
      </c>
      <c r="W3095">
        <v>0</v>
      </c>
      <c r="X3095">
        <v>0</v>
      </c>
      <c r="AE3095">
        <v>1</v>
      </c>
      <c r="AM3095" t="s">
        <v>129</v>
      </c>
      <c r="AN3095" t="s">
        <v>130</v>
      </c>
      <c r="AP3095" t="s">
        <v>41</v>
      </c>
      <c r="AW3095" t="s">
        <v>48</v>
      </c>
      <c r="AZ3095" t="s">
        <v>51</v>
      </c>
      <c r="BA3095" t="s">
        <v>52</v>
      </c>
    </row>
    <row r="3096" spans="1:69" x14ac:dyDescent="0.2">
      <c r="A3096" t="s">
        <v>10399</v>
      </c>
      <c r="B3096" t="s">
        <v>5764</v>
      </c>
      <c r="C3096" t="s">
        <v>10609</v>
      </c>
      <c r="D3096" t="s">
        <v>1336</v>
      </c>
      <c r="E3096" t="s">
        <v>10610</v>
      </c>
      <c r="F3096" t="s">
        <v>118</v>
      </c>
      <c r="G3096" t="str">
        <f>HYPERLINK("https://www.youtube.com/watch?v=XSvUHFcHCNU&amp;lc=UgxCG7DH_CUs6I3gzrd4AaABAg")</f>
        <v>https://www.youtube.com/watch?v=XSvUHFcHCNU&amp;lc=UgxCG7DH_CUs6I3gzrd4AaABAg</v>
      </c>
      <c r="H3096" t="s">
        <v>119</v>
      </c>
      <c r="I3096" t="s">
        <v>10611</v>
      </c>
      <c r="J3096" t="str">
        <f>HYPERLINK("https://www.youtube.com/channel/UCyR8RMNJJUXrckaM0c0xvJQ")</f>
        <v>https://www.youtube.com/channel/UCyR8RMNJJUXrckaM0c0xvJQ</v>
      </c>
      <c r="K3096">
        <v>0</v>
      </c>
      <c r="L3096" t="s">
        <v>121</v>
      </c>
      <c r="N3096" t="s">
        <v>248</v>
      </c>
      <c r="O3096" t="s">
        <v>1338</v>
      </c>
      <c r="P3096" t="str">
        <f>HYPERLINK("https://www.youtube.com/channel/UCbGvxMcJgZWpeT0ymfG7-RQ")</f>
        <v>https://www.youtube.com/channel/UCbGvxMcJgZWpeT0ymfG7-RQ</v>
      </c>
      <c r="Q3096">
        <v>818</v>
      </c>
      <c r="R3096" t="s">
        <v>124</v>
      </c>
      <c r="W3096">
        <v>0</v>
      </c>
      <c r="X3096">
        <v>0</v>
      </c>
      <c r="AE3096">
        <v>1</v>
      </c>
      <c r="AM3096" t="s">
        <v>129</v>
      </c>
      <c r="AN3096" t="s">
        <v>130</v>
      </c>
      <c r="AP3096" t="s">
        <v>41</v>
      </c>
      <c r="AZ3096" t="s">
        <v>51</v>
      </c>
      <c r="BA3096" t="s">
        <v>52</v>
      </c>
      <c r="BM3096" t="s">
        <v>64</v>
      </c>
    </row>
    <row r="3097" spans="1:69" x14ac:dyDescent="0.2">
      <c r="A3097" t="s">
        <v>10399</v>
      </c>
      <c r="B3097" t="s">
        <v>5764</v>
      </c>
      <c r="C3097" t="s">
        <v>10612</v>
      </c>
      <c r="D3097" t="s">
        <v>531</v>
      </c>
      <c r="E3097" t="s">
        <v>10613</v>
      </c>
      <c r="F3097" t="s">
        <v>180</v>
      </c>
      <c r="G3097" t="str">
        <f>HYPERLINK("https://www.wildberries.ru/catalog/13884511/detail.aspx?targetUrl=ES#Comments")</f>
        <v>https://www.wildberries.ru/catalog/13884511/detail.aspx?targetUrl=ES#Comments</v>
      </c>
      <c r="H3097" t="s">
        <v>181</v>
      </c>
      <c r="I3097" t="s">
        <v>10614</v>
      </c>
      <c r="J3097" t="str">
        <f>HYPERLINK("https://www.wildberries.ru/profile/w7TDssOkw7PCu8K4wrHCtcK2wrPCuMK4")</f>
        <v>https://www.wildberries.ru/profile/w7TDssOkw7PCu8K4wrHCtcK2wrPCuMK4</v>
      </c>
      <c r="L3097" t="s">
        <v>151</v>
      </c>
      <c r="N3097" t="s">
        <v>534</v>
      </c>
      <c r="O3097" t="s">
        <v>531</v>
      </c>
      <c r="P3097" t="str">
        <f>HYPERLINK("https://www.wildberries.ru/catalog/10388939/detail.aspx")</f>
        <v>https://www.wildberries.ru/catalog/10388939/detail.aspx</v>
      </c>
      <c r="R3097" t="s">
        <v>184</v>
      </c>
      <c r="S3097" t="s">
        <v>125</v>
      </c>
      <c r="W3097">
        <v>0</v>
      </c>
      <c r="X3097">
        <v>0</v>
      </c>
      <c r="AH3097">
        <v>5</v>
      </c>
      <c r="AM3097" t="s">
        <v>129</v>
      </c>
      <c r="AN3097" t="s">
        <v>130</v>
      </c>
      <c r="AP3097" t="s">
        <v>41</v>
      </c>
      <c r="AZ3097" t="s">
        <v>51</v>
      </c>
      <c r="BA3097" t="s">
        <v>52</v>
      </c>
      <c r="BK3097" t="s">
        <v>62</v>
      </c>
    </row>
    <row r="3098" spans="1:69" x14ac:dyDescent="0.2">
      <c r="A3098" t="s">
        <v>10399</v>
      </c>
      <c r="B3098" t="s">
        <v>3853</v>
      </c>
      <c r="C3098" t="s">
        <v>10615</v>
      </c>
      <c r="D3098" t="s">
        <v>10616</v>
      </c>
      <c r="E3098" t="s">
        <v>10617</v>
      </c>
      <c r="F3098" t="s">
        <v>118</v>
      </c>
      <c r="G3098" t="str">
        <f>HYPERLINK("https://vk.com/wall-175618628_69940?reply=70267&amp;thread=69947")</f>
        <v>https://vk.com/wall-175618628_69940?reply=70267&amp;thread=69947</v>
      </c>
      <c r="H3098" t="s">
        <v>119</v>
      </c>
      <c r="I3098" t="s">
        <v>10618</v>
      </c>
      <c r="J3098" t="str">
        <f>HYPERLINK("http://vk.com/id57039163")</f>
        <v>http://vk.com/id57039163</v>
      </c>
      <c r="K3098">
        <v>1353</v>
      </c>
      <c r="L3098" t="s">
        <v>151</v>
      </c>
      <c r="N3098" t="s">
        <v>122</v>
      </c>
      <c r="O3098" t="s">
        <v>10619</v>
      </c>
      <c r="P3098" t="str">
        <f>HYPERLINK("http://vk.com/club175618628")</f>
        <v>http://vk.com/club175618628</v>
      </c>
      <c r="Q3098">
        <v>11087</v>
      </c>
      <c r="R3098" t="s">
        <v>124</v>
      </c>
      <c r="S3098" t="s">
        <v>125</v>
      </c>
      <c r="T3098" t="s">
        <v>264</v>
      </c>
      <c r="U3098" t="s">
        <v>265</v>
      </c>
      <c r="AM3098" t="s">
        <v>129</v>
      </c>
      <c r="AN3098" t="s">
        <v>130</v>
      </c>
      <c r="AP3098" t="s">
        <v>41</v>
      </c>
      <c r="AT3098" t="s">
        <v>45</v>
      </c>
      <c r="AZ3098" t="s">
        <v>51</v>
      </c>
      <c r="BA3098" t="s">
        <v>52</v>
      </c>
    </row>
    <row r="3099" spans="1:69" x14ac:dyDescent="0.2">
      <c r="A3099" t="s">
        <v>10399</v>
      </c>
      <c r="B3099" t="s">
        <v>513</v>
      </c>
      <c r="C3099" t="s">
        <v>10518</v>
      </c>
      <c r="D3099" t="s">
        <v>8502</v>
      </c>
      <c r="E3099" t="s">
        <v>10620</v>
      </c>
      <c r="F3099" t="s">
        <v>118</v>
      </c>
      <c r="G3099" t="str">
        <f>HYPERLINK("https://ok.ru/group/53318809747546/topic/153423195103322#MTYyNTU2NjA4ODEwMDotMTAzNDM6MTYyNTU2NjA4ODEwMDoxNTM0MjMxOTUxMDMzMjI6MQ==")</f>
        <v>https://ok.ru/group/53318809747546/topic/153423195103322#MTYyNTU2NjA4ODEwMDotMTAzNDM6MTYyNTU2NjA4ODEwMDoxNTM0MjMxOTUxMDMzMjI6MQ==</v>
      </c>
      <c r="H3099" t="s">
        <v>119</v>
      </c>
      <c r="I3099" t="s">
        <v>9860</v>
      </c>
      <c r="J3099" t="str">
        <f>HYPERLINK("https://ok.ru/profile/531030352832")</f>
        <v>https://ok.ru/profile/531030352832</v>
      </c>
      <c r="K3099">
        <v>10</v>
      </c>
      <c r="L3099" t="s">
        <v>121</v>
      </c>
      <c r="N3099" t="s">
        <v>347</v>
      </c>
      <c r="O3099" t="s">
        <v>8505</v>
      </c>
      <c r="P3099" t="str">
        <f>HYPERLINK("https://ok.ru/group/53318809747546")</f>
        <v>https://ok.ru/group/53318809747546</v>
      </c>
      <c r="Q3099">
        <v>16788</v>
      </c>
      <c r="R3099" t="s">
        <v>124</v>
      </c>
      <c r="S3099" t="s">
        <v>125</v>
      </c>
      <c r="T3099" t="s">
        <v>523</v>
      </c>
      <c r="U3099" t="s">
        <v>3874</v>
      </c>
      <c r="W3099">
        <v>1</v>
      </c>
      <c r="X3099">
        <v>1</v>
      </c>
      <c r="AM3099" t="s">
        <v>129</v>
      </c>
      <c r="AN3099" t="s">
        <v>130</v>
      </c>
      <c r="AP3099" t="s">
        <v>41</v>
      </c>
      <c r="AT3099" t="s">
        <v>45</v>
      </c>
      <c r="AZ3099" t="s">
        <v>51</v>
      </c>
      <c r="BA3099" t="s">
        <v>52</v>
      </c>
    </row>
    <row r="3100" spans="1:69" x14ac:dyDescent="0.2">
      <c r="A3100" t="s">
        <v>10399</v>
      </c>
      <c r="B3100" t="s">
        <v>6471</v>
      </c>
      <c r="C3100" t="s">
        <v>10298</v>
      </c>
      <c r="D3100" t="s">
        <v>1727</v>
      </c>
      <c r="E3100" t="s">
        <v>10621</v>
      </c>
      <c r="F3100" t="s">
        <v>180</v>
      </c>
      <c r="G3100" t="str">
        <f>HYPERLINK("https://www.ozon.ru/context/detail/id/248909251/#57590151")</f>
        <v>https://www.ozon.ru/context/detail/id/248909251/#57590151</v>
      </c>
      <c r="H3100" t="s">
        <v>181</v>
      </c>
      <c r="I3100" t="s">
        <v>10622</v>
      </c>
      <c r="J3100" t="str">
        <f>HYPERLINK("https://www.ozon.ru/context/client_opinion/ClientGuid/b4084759-edae-471a-a59d-29bc96ed92cd/")</f>
        <v>https://www.ozon.ru/context/client_opinion/ClientGuid/b4084759-edae-471a-a59d-29bc96ed92cd/</v>
      </c>
      <c r="L3100" t="s">
        <v>121</v>
      </c>
      <c r="N3100" t="s">
        <v>183</v>
      </c>
      <c r="O3100" t="s">
        <v>1729</v>
      </c>
      <c r="P3100" t="str">
        <f>HYPERLINK("https://www.ozon.ru/context/detail/id/248909251/")</f>
        <v>https://www.ozon.ru/context/detail/id/248909251/</v>
      </c>
      <c r="R3100" t="s">
        <v>184</v>
      </c>
      <c r="S3100" t="s">
        <v>125</v>
      </c>
      <c r="W3100">
        <v>0</v>
      </c>
      <c r="X3100">
        <v>0</v>
      </c>
      <c r="AH3100">
        <v>5</v>
      </c>
      <c r="AJ3100" t="s">
        <v>10623</v>
      </c>
      <c r="AK3100" t="s">
        <v>129</v>
      </c>
      <c r="AL3100" t="str">
        <f>HYPERLINK("https://cdn1.ozone.ru/s3/rp-photo-3/8132db30-7a9d-48c7-b925-13a4edabadc9.jpeg")</f>
        <v>https://cdn1.ozone.ru/s3/rp-photo-3/8132db30-7a9d-48c7-b925-13a4edabadc9.jpeg</v>
      </c>
      <c r="AM3100" t="s">
        <v>129</v>
      </c>
      <c r="AN3100" t="s">
        <v>130</v>
      </c>
      <c r="AP3100" t="s">
        <v>41</v>
      </c>
      <c r="AT3100" t="s">
        <v>45</v>
      </c>
      <c r="AZ3100" t="s">
        <v>51</v>
      </c>
      <c r="BB3100" t="s">
        <v>53</v>
      </c>
      <c r="BL3100" t="s">
        <v>63</v>
      </c>
    </row>
    <row r="3101" spans="1:69" x14ac:dyDescent="0.2">
      <c r="A3101" t="s">
        <v>10399</v>
      </c>
      <c r="B3101" t="s">
        <v>1659</v>
      </c>
      <c r="C3101" t="s">
        <v>10624</v>
      </c>
      <c r="D3101" t="s">
        <v>129</v>
      </c>
      <c r="E3101" t="s">
        <v>10625</v>
      </c>
      <c r="F3101" t="s">
        <v>118</v>
      </c>
      <c r="G3101" t="str">
        <f>HYPERLINK("https://vk.com/wall-200985325_15214?reply=16301&amp;thread=15217")</f>
        <v>https://vk.com/wall-200985325_15214?reply=16301&amp;thread=15217</v>
      </c>
      <c r="H3101" t="s">
        <v>119</v>
      </c>
      <c r="I3101" t="s">
        <v>10626</v>
      </c>
      <c r="J3101" t="str">
        <f>HYPERLINK("http://vk.com/id651377281")</f>
        <v>http://vk.com/id651377281</v>
      </c>
      <c r="K3101">
        <v>1</v>
      </c>
      <c r="L3101" t="s">
        <v>121</v>
      </c>
      <c r="M3101">
        <v>20</v>
      </c>
      <c r="N3101" t="s">
        <v>122</v>
      </c>
      <c r="O3101" t="s">
        <v>10627</v>
      </c>
      <c r="P3101" t="str">
        <f>HYPERLINK("http://vk.com/club200985325")</f>
        <v>http://vk.com/club200985325</v>
      </c>
      <c r="Q3101">
        <v>42794</v>
      </c>
      <c r="R3101" t="s">
        <v>124</v>
      </c>
      <c r="S3101" t="s">
        <v>125</v>
      </c>
      <c r="AM3101" t="s">
        <v>129</v>
      </c>
      <c r="AN3101" t="s">
        <v>130</v>
      </c>
      <c r="AP3101" t="s">
        <v>41</v>
      </c>
      <c r="AU3101" t="s">
        <v>46</v>
      </c>
      <c r="AZ3101" t="s">
        <v>51</v>
      </c>
      <c r="BA3101" t="s">
        <v>52</v>
      </c>
    </row>
    <row r="3102" spans="1:69" x14ac:dyDescent="0.2">
      <c r="A3102" t="s">
        <v>10399</v>
      </c>
      <c r="B3102" t="s">
        <v>2121</v>
      </c>
      <c r="C3102" t="s">
        <v>10628</v>
      </c>
      <c r="D3102" t="s">
        <v>10629</v>
      </c>
      <c r="E3102" t="s">
        <v>10630</v>
      </c>
      <c r="F3102" t="s">
        <v>118</v>
      </c>
      <c r="G3102" t="str">
        <f>HYPERLINK("https://vk.com/wall-166409832_23256?reply=23294")</f>
        <v>https://vk.com/wall-166409832_23256?reply=23294</v>
      </c>
      <c r="H3102" t="s">
        <v>119</v>
      </c>
      <c r="I3102" t="s">
        <v>10631</v>
      </c>
      <c r="J3102" t="str">
        <f>HYPERLINK("http://vk.com/id3075936")</f>
        <v>http://vk.com/id3075936</v>
      </c>
      <c r="K3102">
        <v>78</v>
      </c>
      <c r="L3102" t="s">
        <v>151</v>
      </c>
      <c r="N3102" t="s">
        <v>122</v>
      </c>
      <c r="O3102" t="s">
        <v>10632</v>
      </c>
      <c r="P3102" t="str">
        <f>HYPERLINK("http://vk.com/club166409832")</f>
        <v>http://vk.com/club166409832</v>
      </c>
      <c r="Q3102">
        <v>1894</v>
      </c>
      <c r="R3102" t="s">
        <v>124</v>
      </c>
      <c r="S3102" t="s">
        <v>125</v>
      </c>
      <c r="T3102" t="s">
        <v>137</v>
      </c>
      <c r="U3102" t="s">
        <v>137</v>
      </c>
      <c r="AM3102" t="s">
        <v>129</v>
      </c>
      <c r="AN3102" t="s">
        <v>130</v>
      </c>
      <c r="AP3102" t="s">
        <v>41</v>
      </c>
      <c r="AW3102" t="s">
        <v>48</v>
      </c>
      <c r="AZ3102" t="s">
        <v>51</v>
      </c>
      <c r="BA3102" t="s">
        <v>52</v>
      </c>
      <c r="BL3102" t="s">
        <v>63</v>
      </c>
    </row>
    <row r="3103" spans="1:69" x14ac:dyDescent="0.2">
      <c r="A3103" t="s">
        <v>10399</v>
      </c>
      <c r="B3103" t="s">
        <v>2673</v>
      </c>
      <c r="C3103" t="s">
        <v>10633</v>
      </c>
      <c r="D3103" t="s">
        <v>204</v>
      </c>
      <c r="E3103" t="s">
        <v>10634</v>
      </c>
      <c r="F3103" t="s">
        <v>180</v>
      </c>
      <c r="G3103" t="str">
        <f>HYPERLINK("https://play.google.com/store/apps/details?id=ru.iflex.android.a3colortv&amp;reviewId=gp:AOqpTOFyT298FFgkmyXpkGb_NM0KtJJMoDLGGHgamLRHJwhAM0_I9JHCfNsg6YVu20VsI2mPfVAdFSVGiaTLKg")</f>
        <v>https://play.google.com/store/apps/details?id=ru.iflex.android.a3colortv&amp;reviewId=gp:AOqpTOFyT298FFgkmyXpkGb_NM0KtJJMoDLGGHgamLRHJwhAM0_I9JHCfNsg6YVu20VsI2mPfVAdFSVGiaTLKg</v>
      </c>
      <c r="H3103" t="s">
        <v>181</v>
      </c>
      <c r="I3103" t="s">
        <v>10635</v>
      </c>
      <c r="J3103" t="str">
        <f>HYPERLINK("https://plus.google.com/110186657402860699610")</f>
        <v>https://plus.google.com/110186657402860699610</v>
      </c>
      <c r="L3103" t="s">
        <v>121</v>
      </c>
      <c r="N3103" t="s">
        <v>207</v>
      </c>
      <c r="O3103" t="s">
        <v>204</v>
      </c>
      <c r="P3103" t="str">
        <f>HYPERLINK("https://play.google.com/store/apps/details?id=ru.iflex.android.a3colortv&amp;hl=ru")</f>
        <v>https://play.google.com/store/apps/details?id=ru.iflex.android.a3colortv&amp;hl=ru</v>
      </c>
      <c r="R3103" t="s">
        <v>184</v>
      </c>
      <c r="S3103" t="s">
        <v>125</v>
      </c>
      <c r="W3103">
        <v>0</v>
      </c>
      <c r="X3103">
        <v>0</v>
      </c>
      <c r="AH3103">
        <v>5</v>
      </c>
      <c r="AM3103" t="s">
        <v>129</v>
      </c>
      <c r="AN3103" t="s">
        <v>130</v>
      </c>
      <c r="AP3103" t="s">
        <v>41</v>
      </c>
      <c r="AZ3103" t="s">
        <v>51</v>
      </c>
      <c r="BA3103" t="s">
        <v>52</v>
      </c>
      <c r="BQ3103" t="s">
        <v>68</v>
      </c>
    </row>
    <row r="3104" spans="1:69" x14ac:dyDescent="0.2">
      <c r="A3104" t="s">
        <v>10399</v>
      </c>
      <c r="B3104" t="s">
        <v>3512</v>
      </c>
      <c r="C3104" t="s">
        <v>10636</v>
      </c>
      <c r="D3104" t="s">
        <v>10637</v>
      </c>
      <c r="E3104" t="s">
        <v>10638</v>
      </c>
      <c r="F3104" t="s">
        <v>118</v>
      </c>
      <c r="G3104" t="str">
        <f>HYPERLINK("https://www.youtube.com/watch?v=tWixw9QT3AM&amp;lc=UgxOFajVHZ4yQgRJzPJ4AaABAg")</f>
        <v>https://www.youtube.com/watch?v=tWixw9QT3AM&amp;lc=UgxOFajVHZ4yQgRJzPJ4AaABAg</v>
      </c>
      <c r="H3104" t="s">
        <v>119</v>
      </c>
      <c r="I3104" t="s">
        <v>10639</v>
      </c>
      <c r="J3104" t="str">
        <f>HYPERLINK("https://www.youtube.com/channel/UCG-KZmi1t2cGciLNhThPoTA")</f>
        <v>https://www.youtube.com/channel/UCG-KZmi1t2cGciLNhThPoTA</v>
      </c>
      <c r="K3104">
        <v>0</v>
      </c>
      <c r="N3104" t="s">
        <v>248</v>
      </c>
      <c r="O3104" t="s">
        <v>10640</v>
      </c>
      <c r="P3104" t="str">
        <f>HYPERLINK("https://www.youtube.com/channel/UCoNRBemshpzRU6Kgvruee6g")</f>
        <v>https://www.youtube.com/channel/UCoNRBemshpzRU6Kgvruee6g</v>
      </c>
      <c r="Q3104">
        <v>587</v>
      </c>
      <c r="R3104" t="s">
        <v>124</v>
      </c>
      <c r="W3104">
        <v>0</v>
      </c>
      <c r="X3104">
        <v>0</v>
      </c>
      <c r="AE3104">
        <v>0</v>
      </c>
      <c r="AM3104" t="s">
        <v>129</v>
      </c>
      <c r="AN3104" t="s">
        <v>130</v>
      </c>
      <c r="AP3104" t="s">
        <v>41</v>
      </c>
      <c r="AU3104" t="s">
        <v>46</v>
      </c>
      <c r="AZ3104" t="s">
        <v>51</v>
      </c>
      <c r="BA3104" t="s">
        <v>52</v>
      </c>
      <c r="BL3104" t="s">
        <v>63</v>
      </c>
    </row>
    <row r="3105" spans="1:113" x14ac:dyDescent="0.2">
      <c r="A3105" t="s">
        <v>10399</v>
      </c>
      <c r="B3105" t="s">
        <v>577</v>
      </c>
      <c r="C3105" t="s">
        <v>5594</v>
      </c>
      <c r="D3105" t="s">
        <v>1328</v>
      </c>
      <c r="E3105" t="s">
        <v>10641</v>
      </c>
      <c r="F3105" t="s">
        <v>180</v>
      </c>
      <c r="G3105" t="str">
        <f>HYPERLINK("https://www.ozon.ru/context/detail/id/223365373/#57574043")</f>
        <v>https://www.ozon.ru/context/detail/id/223365373/#57574043</v>
      </c>
      <c r="H3105" t="s">
        <v>181</v>
      </c>
      <c r="I3105" t="s">
        <v>2189</v>
      </c>
      <c r="J3105" t="str">
        <f>HYPERLINK("https://www.ozon.ru/context/client_opinion/ClientGuid/7dcda1dd-3af6-4a7d-864b-7b7b7bdac051/")</f>
        <v>https://www.ozon.ru/context/client_opinion/ClientGuid/7dcda1dd-3af6-4a7d-864b-7b7b7bdac051/</v>
      </c>
      <c r="L3105" t="s">
        <v>151</v>
      </c>
      <c r="N3105" t="s">
        <v>183</v>
      </c>
      <c r="O3105" t="s">
        <v>1328</v>
      </c>
      <c r="P3105" t="str">
        <f>HYPERLINK("https://www.ozon.ru/context/detail/id/223365373/")</f>
        <v>https://www.ozon.ru/context/detail/id/223365373/</v>
      </c>
      <c r="R3105" t="s">
        <v>184</v>
      </c>
      <c r="S3105" t="s">
        <v>125</v>
      </c>
      <c r="W3105">
        <v>0</v>
      </c>
      <c r="X3105">
        <v>0</v>
      </c>
      <c r="AH3105">
        <v>5</v>
      </c>
      <c r="AM3105" t="s">
        <v>129</v>
      </c>
      <c r="AN3105" t="s">
        <v>130</v>
      </c>
      <c r="AP3105" t="s">
        <v>41</v>
      </c>
      <c r="AT3105" t="s">
        <v>45</v>
      </c>
      <c r="AW3105" t="s">
        <v>48</v>
      </c>
      <c r="AZ3105" t="s">
        <v>51</v>
      </c>
      <c r="BA3105" t="s">
        <v>52</v>
      </c>
    </row>
    <row r="3106" spans="1:113" x14ac:dyDescent="0.2">
      <c r="A3106" t="s">
        <v>10399</v>
      </c>
      <c r="B3106" t="s">
        <v>580</v>
      </c>
      <c r="C3106" t="s">
        <v>10642</v>
      </c>
      <c r="D3106" t="s">
        <v>10489</v>
      </c>
      <c r="E3106" t="s">
        <v>10643</v>
      </c>
      <c r="F3106" t="s">
        <v>118</v>
      </c>
      <c r="G3106" t="str">
        <f>HYPERLINK("https://vk.com/wall-159446803_11566?reply=11592")</f>
        <v>https://vk.com/wall-159446803_11566?reply=11592</v>
      </c>
      <c r="H3106" t="s">
        <v>181</v>
      </c>
      <c r="I3106" t="s">
        <v>10644</v>
      </c>
      <c r="J3106" t="str">
        <f>HYPERLINK("http://vk.com/id34576252")</f>
        <v>http://vk.com/id34576252</v>
      </c>
      <c r="K3106">
        <v>207</v>
      </c>
      <c r="L3106" t="s">
        <v>151</v>
      </c>
      <c r="N3106" t="s">
        <v>122</v>
      </c>
      <c r="O3106" t="s">
        <v>10492</v>
      </c>
      <c r="P3106" t="str">
        <f>HYPERLINK("http://vk.com/club159446803")</f>
        <v>http://vk.com/club159446803</v>
      </c>
      <c r="Q3106">
        <v>1184</v>
      </c>
      <c r="R3106" t="s">
        <v>124</v>
      </c>
      <c r="S3106" t="s">
        <v>125</v>
      </c>
      <c r="T3106" t="s">
        <v>570</v>
      </c>
      <c r="U3106" t="s">
        <v>10645</v>
      </c>
      <c r="AM3106" t="s">
        <v>129</v>
      </c>
      <c r="AN3106" t="s">
        <v>130</v>
      </c>
      <c r="AP3106" t="s">
        <v>41</v>
      </c>
      <c r="AW3106" t="s">
        <v>48</v>
      </c>
      <c r="AZ3106" t="s">
        <v>51</v>
      </c>
      <c r="BA3106" t="s">
        <v>52</v>
      </c>
    </row>
    <row r="3107" spans="1:113" x14ac:dyDescent="0.2">
      <c r="A3107" t="s">
        <v>10399</v>
      </c>
      <c r="B3107" t="s">
        <v>6164</v>
      </c>
      <c r="C3107" t="s">
        <v>10646</v>
      </c>
      <c r="D3107" t="s">
        <v>204</v>
      </c>
      <c r="E3107" t="s">
        <v>10647</v>
      </c>
      <c r="F3107" t="s">
        <v>180</v>
      </c>
      <c r="G3107" t="str">
        <f>HYPERLINK("https://play.google.com/store/apps/details?id=ru.iflex.android.a3colortv&amp;reviewId=gp:AOqpTOEt4SZxFHXNfIGXlkde7OkVlJ73vt9csYDNAGvm9rLFM1Rh8CTLzPnLVbsrB8WSB5m6fWJildPGqYQuvg")</f>
        <v>https://play.google.com/store/apps/details?id=ru.iflex.android.a3colortv&amp;reviewId=gp:AOqpTOEt4SZxFHXNfIGXlkde7OkVlJ73vt9csYDNAGvm9rLFM1Rh8CTLzPnLVbsrB8WSB5m6fWJildPGqYQuvg</v>
      </c>
      <c r="H3107" t="s">
        <v>181</v>
      </c>
      <c r="I3107" t="s">
        <v>10648</v>
      </c>
      <c r="J3107" t="str">
        <f>HYPERLINK("https://plus.google.com/111364706589571901338")</f>
        <v>https://plus.google.com/111364706589571901338</v>
      </c>
      <c r="L3107" t="s">
        <v>121</v>
      </c>
      <c r="N3107" t="s">
        <v>207</v>
      </c>
      <c r="O3107" t="s">
        <v>204</v>
      </c>
      <c r="P3107" t="str">
        <f>HYPERLINK("https://play.google.com/store/apps/details?id=ru.iflex.android.a3colortv&amp;hl=ru")</f>
        <v>https://play.google.com/store/apps/details?id=ru.iflex.android.a3colortv&amp;hl=ru</v>
      </c>
      <c r="R3107" t="s">
        <v>184</v>
      </c>
      <c r="S3107" t="s">
        <v>125</v>
      </c>
      <c r="W3107">
        <v>0</v>
      </c>
      <c r="X3107">
        <v>0</v>
      </c>
      <c r="AH3107">
        <v>5</v>
      </c>
      <c r="AM3107" t="s">
        <v>129</v>
      </c>
      <c r="AN3107" t="s">
        <v>130</v>
      </c>
      <c r="AP3107" t="s">
        <v>41</v>
      </c>
      <c r="AZ3107" t="s">
        <v>51</v>
      </c>
      <c r="BA3107" t="s">
        <v>52</v>
      </c>
      <c r="BQ3107" t="s">
        <v>68</v>
      </c>
    </row>
    <row r="3108" spans="1:113" x14ac:dyDescent="0.2">
      <c r="A3108" t="s">
        <v>10399</v>
      </c>
      <c r="B3108" t="s">
        <v>10649</v>
      </c>
      <c r="C3108" t="s">
        <v>5628</v>
      </c>
      <c r="D3108" t="s">
        <v>476</v>
      </c>
      <c r="E3108" t="s">
        <v>10650</v>
      </c>
      <c r="F3108" t="s">
        <v>180</v>
      </c>
      <c r="G3108" t="str">
        <f>HYPERLINK("https://www.ozon.ru/context/detail/id/261611432/#57551876")</f>
        <v>https://www.ozon.ru/context/detail/id/261611432/#57551876</v>
      </c>
      <c r="H3108" t="s">
        <v>181</v>
      </c>
      <c r="I3108" t="s">
        <v>10651</v>
      </c>
      <c r="J3108" t="str">
        <f>HYPERLINK("https://www.ozon.ru/context/client_opinion/ClientGuid/914a665a-e5ba-4351-bd21-812d1b38bf2b/")</f>
        <v>https://www.ozon.ru/context/client_opinion/ClientGuid/914a665a-e5ba-4351-bd21-812d1b38bf2b/</v>
      </c>
      <c r="L3108" t="s">
        <v>121</v>
      </c>
      <c r="N3108" t="s">
        <v>183</v>
      </c>
      <c r="O3108" t="s">
        <v>476</v>
      </c>
      <c r="P3108" t="str">
        <f>HYPERLINK("https://www.ozon.ru/context/detail/id/261611432/")</f>
        <v>https://www.ozon.ru/context/detail/id/261611432/</v>
      </c>
      <c r="R3108" t="s">
        <v>184</v>
      </c>
      <c r="S3108" t="s">
        <v>125</v>
      </c>
      <c r="W3108">
        <v>0</v>
      </c>
      <c r="X3108">
        <v>0</v>
      </c>
      <c r="AH3108">
        <v>5</v>
      </c>
      <c r="AM3108" t="s">
        <v>129</v>
      </c>
      <c r="AN3108" t="s">
        <v>130</v>
      </c>
      <c r="AP3108" t="s">
        <v>41</v>
      </c>
      <c r="AT3108" t="s">
        <v>45</v>
      </c>
      <c r="AZ3108" t="s">
        <v>51</v>
      </c>
      <c r="BA3108" t="s">
        <v>52</v>
      </c>
    </row>
    <row r="3109" spans="1:113" x14ac:dyDescent="0.2">
      <c r="A3109" t="s">
        <v>10399</v>
      </c>
      <c r="B3109" t="s">
        <v>1749</v>
      </c>
      <c r="C3109" t="s">
        <v>10518</v>
      </c>
      <c r="D3109" t="s">
        <v>8502</v>
      </c>
      <c r="E3109" t="s">
        <v>10652</v>
      </c>
      <c r="F3109" t="s">
        <v>118</v>
      </c>
      <c r="G3109" t="str">
        <f>HYPERLINK("https://ok.ru/group/53318809747546/topic/153423195103322#MTYyNTU1NTkyOTI3MzotMTAwODc6MTYyNTU1NTkyOTI3MzoxNTM0MjMxOTUxMDMzMjI6MQ==")</f>
        <v>https://ok.ru/group/53318809747546/topic/153423195103322#MTYyNTU1NTkyOTI3MzotMTAwODc6MTYyNTU1NTkyOTI3MzoxNTM0MjMxOTUxMDMzMjI6MQ==</v>
      </c>
      <c r="H3109" t="s">
        <v>119</v>
      </c>
      <c r="I3109" t="s">
        <v>9860</v>
      </c>
      <c r="J3109" t="str">
        <f>HYPERLINK("https://ok.ru/profile/531030352832")</f>
        <v>https://ok.ru/profile/531030352832</v>
      </c>
      <c r="K3109">
        <v>10</v>
      </c>
      <c r="L3109" t="s">
        <v>121</v>
      </c>
      <c r="N3109" t="s">
        <v>347</v>
      </c>
      <c r="O3109" t="s">
        <v>8505</v>
      </c>
      <c r="P3109" t="str">
        <f>HYPERLINK("https://ok.ru/group/53318809747546")</f>
        <v>https://ok.ru/group/53318809747546</v>
      </c>
      <c r="Q3109">
        <v>16788</v>
      </c>
      <c r="R3109" t="s">
        <v>124</v>
      </c>
      <c r="S3109" t="s">
        <v>125</v>
      </c>
      <c r="T3109" t="s">
        <v>523</v>
      </c>
      <c r="U3109" t="s">
        <v>3874</v>
      </c>
      <c r="W3109">
        <v>0</v>
      </c>
      <c r="X3109">
        <v>0</v>
      </c>
      <c r="AM3109" t="s">
        <v>129</v>
      </c>
      <c r="AN3109" t="s">
        <v>130</v>
      </c>
      <c r="AP3109" t="s">
        <v>41</v>
      </c>
      <c r="AT3109" t="s">
        <v>45</v>
      </c>
      <c r="AZ3109" t="s">
        <v>51</v>
      </c>
      <c r="BA3109" t="s">
        <v>52</v>
      </c>
      <c r="BL3109" t="s">
        <v>63</v>
      </c>
    </row>
    <row r="3110" spans="1:113" x14ac:dyDescent="0.2">
      <c r="A3110" t="s">
        <v>10399</v>
      </c>
      <c r="B3110" t="s">
        <v>3250</v>
      </c>
      <c r="C3110" t="s">
        <v>10653</v>
      </c>
      <c r="D3110" t="s">
        <v>1590</v>
      </c>
      <c r="E3110" t="s">
        <v>10654</v>
      </c>
      <c r="F3110" t="s">
        <v>118</v>
      </c>
      <c r="G3110" t="str">
        <f>HYPERLINK("https://vk.com/wall-27863223_291304?reply=291466")</f>
        <v>https://vk.com/wall-27863223_291304?reply=291466</v>
      </c>
      <c r="H3110" t="s">
        <v>228</v>
      </c>
      <c r="I3110" t="s">
        <v>6822</v>
      </c>
      <c r="J3110" t="str">
        <f>HYPERLINK("http://vk.com/id33737831")</f>
        <v>http://vk.com/id33737831</v>
      </c>
      <c r="K3110">
        <v>51</v>
      </c>
      <c r="L3110" t="s">
        <v>151</v>
      </c>
      <c r="M3110">
        <v>66</v>
      </c>
      <c r="N3110" t="s">
        <v>122</v>
      </c>
      <c r="O3110" t="s">
        <v>175</v>
      </c>
      <c r="P3110" t="str">
        <f>HYPERLINK("http://vk.com/club27863223")</f>
        <v>http://vk.com/club27863223</v>
      </c>
      <c r="Q3110">
        <v>134698</v>
      </c>
      <c r="R3110" t="s">
        <v>124</v>
      </c>
      <c r="S3110" t="s">
        <v>125</v>
      </c>
      <c r="T3110" t="s">
        <v>4407</v>
      </c>
      <c r="U3110" t="s">
        <v>6823</v>
      </c>
      <c r="W3110">
        <v>0</v>
      </c>
      <c r="X3110">
        <v>0</v>
      </c>
      <c r="AM3110" t="s">
        <v>129</v>
      </c>
      <c r="AN3110" t="s">
        <v>130</v>
      </c>
      <c r="AP3110" t="s">
        <v>41</v>
      </c>
      <c r="AZ3110" t="s">
        <v>51</v>
      </c>
      <c r="BA3110" t="s">
        <v>52</v>
      </c>
      <c r="DI3110" t="s">
        <v>112</v>
      </c>
    </row>
    <row r="3111" spans="1:113" x14ac:dyDescent="0.2">
      <c r="A3111" t="s">
        <v>10399</v>
      </c>
      <c r="B3111" t="s">
        <v>5354</v>
      </c>
      <c r="C3111" t="s">
        <v>10655</v>
      </c>
      <c r="D3111" t="s">
        <v>1590</v>
      </c>
      <c r="E3111" t="s">
        <v>10656</v>
      </c>
      <c r="F3111" t="s">
        <v>118</v>
      </c>
      <c r="G3111" t="str">
        <f>HYPERLINK("https://vk.com/wall-27863223_291304?w=wall-27863223_291304_r291464")</f>
        <v>https://vk.com/wall-27863223_291304?w=wall-27863223_291304_r291464</v>
      </c>
      <c r="H3111" t="s">
        <v>119</v>
      </c>
      <c r="I3111" t="s">
        <v>6822</v>
      </c>
      <c r="J3111" t="str">
        <f>HYPERLINK("http://vk.com/id33737831")</f>
        <v>http://vk.com/id33737831</v>
      </c>
      <c r="K3111">
        <v>51</v>
      </c>
      <c r="L3111" t="s">
        <v>151</v>
      </c>
      <c r="M3111">
        <v>66</v>
      </c>
      <c r="N3111" t="s">
        <v>122</v>
      </c>
      <c r="O3111" t="s">
        <v>175</v>
      </c>
      <c r="P3111" t="str">
        <f>HYPERLINK("http://vk.com/club27863223")</f>
        <v>http://vk.com/club27863223</v>
      </c>
      <c r="Q3111">
        <v>134698</v>
      </c>
      <c r="R3111" t="s">
        <v>124</v>
      </c>
      <c r="S3111" t="s">
        <v>125</v>
      </c>
      <c r="T3111" t="s">
        <v>4407</v>
      </c>
      <c r="U3111" t="s">
        <v>6823</v>
      </c>
      <c r="W3111">
        <v>0</v>
      </c>
      <c r="X3111">
        <v>0</v>
      </c>
      <c r="AJ3111" t="s">
        <v>10657</v>
      </c>
      <c r="AK3111" t="s">
        <v>129</v>
      </c>
      <c r="AL3111" t="str">
        <f>HYPERLINK("https://sun9-61.userapi.com/impg/8UfYaRksPrDSo42Js_4duZwmwnlVdEmaqXF-8A/czCSd4xDiV0.jpg?size=450x600&amp;quality=96&amp;sign=7196f9c711079eab4acaa2dc3f53c620&amp;c_uniq_tag=bxPOjRbV8ZA-pSVrJZfLav8WaO_mmqgZ9hYv_2k6f6w&amp;type=album")</f>
        <v>https://sun9-61.userapi.com/impg/8UfYaRksPrDSo42Js_4duZwmwnlVdEmaqXF-8A/czCSd4xDiV0.jpg?size=450x600&amp;quality=96&amp;sign=7196f9c711079eab4acaa2dc3f53c620&amp;c_uniq_tag=bxPOjRbV8ZA-pSVrJZfLav8WaO_mmqgZ9hYv_2k6f6w&amp;type=album</v>
      </c>
      <c r="AM3111" t="s">
        <v>129</v>
      </c>
      <c r="AN3111" t="s">
        <v>130</v>
      </c>
      <c r="AP3111" t="s">
        <v>41</v>
      </c>
      <c r="AT3111" t="s">
        <v>45</v>
      </c>
      <c r="AU3111" t="s">
        <v>46</v>
      </c>
      <c r="AZ3111" t="s">
        <v>51</v>
      </c>
      <c r="BA3111" t="s">
        <v>52</v>
      </c>
    </row>
    <row r="3112" spans="1:113" x14ac:dyDescent="0.2">
      <c r="A3112" t="s">
        <v>10399</v>
      </c>
      <c r="B3112" t="s">
        <v>1147</v>
      </c>
      <c r="C3112" t="s">
        <v>10658</v>
      </c>
      <c r="D3112" t="s">
        <v>129</v>
      </c>
      <c r="E3112" t="s">
        <v>10659</v>
      </c>
      <c r="F3112" t="s">
        <v>180</v>
      </c>
      <c r="G3112" t="str">
        <f>HYPERLINK("https://www.instagram.com/p/CQ-cIfUpSlm/")</f>
        <v>https://www.instagram.com/p/CQ-cIfUpSlm/</v>
      </c>
      <c r="H3112" t="s">
        <v>228</v>
      </c>
      <c r="I3112" t="s">
        <v>10660</v>
      </c>
      <c r="J3112" t="str">
        <f>HYPERLINK("http://instagram.com/totenstilles_dolls")</f>
        <v>http://instagram.com/totenstilles_dolls</v>
      </c>
      <c r="K3112">
        <v>267</v>
      </c>
      <c r="N3112" t="s">
        <v>1389</v>
      </c>
      <c r="O3112" t="s">
        <v>10660</v>
      </c>
      <c r="P3112" t="str">
        <f>HYPERLINK("http://instagram.com/totenstilles_dolls")</f>
        <v>http://instagram.com/totenstilles_dolls</v>
      </c>
      <c r="Q3112">
        <v>267</v>
      </c>
      <c r="R3112" t="s">
        <v>124</v>
      </c>
      <c r="W3112">
        <v>42</v>
      </c>
      <c r="X3112">
        <v>42</v>
      </c>
      <c r="AE3112">
        <v>8</v>
      </c>
      <c r="AJ3112" t="s">
        <v>10661</v>
      </c>
      <c r="AK3112" t="s">
        <v>10662</v>
      </c>
      <c r="AL3112" t="s">
        <v>10663</v>
      </c>
      <c r="AM3112" t="s">
        <v>129</v>
      </c>
      <c r="AN3112" t="s">
        <v>130</v>
      </c>
      <c r="AP3112" t="s">
        <v>41</v>
      </c>
      <c r="AW3112" t="s">
        <v>48</v>
      </c>
      <c r="AZ3112" t="s">
        <v>51</v>
      </c>
      <c r="BA3112" t="s">
        <v>52</v>
      </c>
    </row>
    <row r="3113" spans="1:113" x14ac:dyDescent="0.2">
      <c r="A3113" t="s">
        <v>10399</v>
      </c>
      <c r="B3113" t="s">
        <v>2213</v>
      </c>
      <c r="C3113" t="s">
        <v>10664</v>
      </c>
      <c r="D3113" t="s">
        <v>1590</v>
      </c>
      <c r="E3113" t="s">
        <v>10665</v>
      </c>
      <c r="F3113" t="s">
        <v>118</v>
      </c>
      <c r="G3113" t="str">
        <f>HYPERLINK("https://vk.com/wall-27863223_291304?reply=291462&amp;thread=291458")</f>
        <v>https://vk.com/wall-27863223_291304?reply=291462&amp;thread=291458</v>
      </c>
      <c r="H3113" t="s">
        <v>228</v>
      </c>
      <c r="I3113" t="s">
        <v>6822</v>
      </c>
      <c r="J3113" t="str">
        <f>HYPERLINK("http://vk.com/id33737831")</f>
        <v>http://vk.com/id33737831</v>
      </c>
      <c r="K3113">
        <v>51</v>
      </c>
      <c r="L3113" t="s">
        <v>151</v>
      </c>
      <c r="M3113">
        <v>66</v>
      </c>
      <c r="N3113" t="s">
        <v>122</v>
      </c>
      <c r="O3113" t="s">
        <v>175</v>
      </c>
      <c r="P3113" t="str">
        <f>HYPERLINK("http://vk.com/club27863223")</f>
        <v>http://vk.com/club27863223</v>
      </c>
      <c r="Q3113">
        <v>134698</v>
      </c>
      <c r="R3113" t="s">
        <v>124</v>
      </c>
      <c r="S3113" t="s">
        <v>125</v>
      </c>
      <c r="T3113" t="s">
        <v>4407</v>
      </c>
      <c r="U3113" t="s">
        <v>6823</v>
      </c>
      <c r="AM3113" t="s">
        <v>129</v>
      </c>
      <c r="AN3113" t="s">
        <v>130</v>
      </c>
      <c r="AP3113" t="s">
        <v>41</v>
      </c>
      <c r="AT3113" t="s">
        <v>45</v>
      </c>
      <c r="AW3113" t="s">
        <v>48</v>
      </c>
      <c r="AZ3113" t="s">
        <v>51</v>
      </c>
      <c r="BA3113" t="s">
        <v>52</v>
      </c>
      <c r="BL3113" t="s">
        <v>63</v>
      </c>
      <c r="BQ3113" t="s">
        <v>68</v>
      </c>
      <c r="CV3113" t="s">
        <v>99</v>
      </c>
    </row>
    <row r="3114" spans="1:113" x14ac:dyDescent="0.2">
      <c r="A3114" t="s">
        <v>10399</v>
      </c>
      <c r="B3114" t="s">
        <v>10666</v>
      </c>
      <c r="C3114" t="s">
        <v>10667</v>
      </c>
      <c r="D3114" t="s">
        <v>8502</v>
      </c>
      <c r="E3114" t="s">
        <v>10668</v>
      </c>
      <c r="F3114" t="s">
        <v>118</v>
      </c>
      <c r="G3114" t="str">
        <f>HYPERLINK("https://ok.ru/group/53318809747546/topic/153423195103322#MTYyNTU1MTcwMDQzOTotMzAyMzoxNjI1NTUxNzAwNDM5OjE1MzQyMzE5NTEwMzMyMjox")</f>
        <v>https://ok.ru/group/53318809747546/topic/153423195103322#MTYyNTU1MTcwMDQzOTotMzAyMzoxNjI1NTUxNzAwNDM5OjE1MzQyMzE5NTEwMzMyMjox</v>
      </c>
      <c r="H3114" t="s">
        <v>119</v>
      </c>
      <c r="I3114" t="s">
        <v>10669</v>
      </c>
      <c r="J3114" t="str">
        <f>HYPERLINK("https://ok.ru/profile/574300697")</f>
        <v>https://ok.ru/profile/574300697</v>
      </c>
      <c r="K3114">
        <v>247</v>
      </c>
      <c r="L3114" t="s">
        <v>121</v>
      </c>
      <c r="N3114" t="s">
        <v>347</v>
      </c>
      <c r="O3114" t="s">
        <v>8505</v>
      </c>
      <c r="P3114" t="str">
        <f>HYPERLINK("https://ok.ru/group/53318809747546")</f>
        <v>https://ok.ru/group/53318809747546</v>
      </c>
      <c r="Q3114">
        <v>16788</v>
      </c>
      <c r="R3114" t="s">
        <v>124</v>
      </c>
      <c r="S3114" t="s">
        <v>125</v>
      </c>
      <c r="T3114" t="s">
        <v>627</v>
      </c>
      <c r="U3114" t="s">
        <v>846</v>
      </c>
      <c r="W3114">
        <v>1</v>
      </c>
      <c r="X3114">
        <v>1</v>
      </c>
      <c r="AM3114" t="s">
        <v>129</v>
      </c>
      <c r="AN3114" t="s">
        <v>130</v>
      </c>
      <c r="AP3114" t="s">
        <v>41</v>
      </c>
      <c r="AZ3114" t="s">
        <v>51</v>
      </c>
      <c r="BA3114" t="s">
        <v>52</v>
      </c>
      <c r="BL3114" t="s">
        <v>63</v>
      </c>
    </row>
    <row r="3115" spans="1:113" x14ac:dyDescent="0.2">
      <c r="A3115" t="s">
        <v>10399</v>
      </c>
      <c r="B3115" t="s">
        <v>5362</v>
      </c>
      <c r="C3115" t="s">
        <v>10670</v>
      </c>
      <c r="D3115" t="s">
        <v>175</v>
      </c>
      <c r="E3115" t="s">
        <v>10671</v>
      </c>
      <c r="F3115" t="s">
        <v>180</v>
      </c>
      <c r="G3115" t="str">
        <f>HYPERLINK("https://yandex.ru/maps/org/7156710587#3U8cxZkC224UwI4L3iFzlPiDLXFHCIQX")</f>
        <v>https://yandex.ru/maps/org/7156710587#3U8cxZkC224UwI4L3iFzlPiDLXFHCIQX</v>
      </c>
      <c r="H3115" t="s">
        <v>228</v>
      </c>
      <c r="I3115" t="s">
        <v>10672</v>
      </c>
      <c r="J3115" t="str">
        <f>HYPERLINK("https://yandex.ru/maps/org/7156710587#3U8cxZkC224UwI4L3iFzlPiDLXFHCIQX")</f>
        <v>https://yandex.ru/maps/org/7156710587#3U8cxZkC224UwI4L3iFzlPiDLXFHCIQX</v>
      </c>
      <c r="N3115" t="s">
        <v>236</v>
      </c>
      <c r="O3115" t="s">
        <v>175</v>
      </c>
      <c r="P3115" t="str">
        <f>HYPERLINK("https://yandex.ru/maps/org/7156710587")</f>
        <v>https://yandex.ru/maps/org/7156710587</v>
      </c>
      <c r="R3115" t="s">
        <v>184</v>
      </c>
      <c r="S3115" t="s">
        <v>125</v>
      </c>
      <c r="T3115" t="s">
        <v>1103</v>
      </c>
      <c r="U3115" t="s">
        <v>1104</v>
      </c>
      <c r="W3115">
        <v>0</v>
      </c>
      <c r="X3115">
        <v>0</v>
      </c>
      <c r="AH3115">
        <v>1</v>
      </c>
      <c r="AM3115" t="s">
        <v>129</v>
      </c>
      <c r="AN3115" t="s">
        <v>130</v>
      </c>
      <c r="AP3115" t="s">
        <v>41</v>
      </c>
      <c r="AX3115" t="s">
        <v>49</v>
      </c>
      <c r="AY3115" t="s">
        <v>50</v>
      </c>
      <c r="BD3115" t="s">
        <v>55</v>
      </c>
      <c r="BF3115" t="s">
        <v>57</v>
      </c>
      <c r="CK3115" t="s">
        <v>88</v>
      </c>
      <c r="CL3115" t="s">
        <v>89</v>
      </c>
    </row>
    <row r="3116" spans="1:113" x14ac:dyDescent="0.2">
      <c r="A3116" t="s">
        <v>10399</v>
      </c>
      <c r="B3116" t="s">
        <v>10005</v>
      </c>
      <c r="C3116" t="s">
        <v>10673</v>
      </c>
      <c r="D3116" t="s">
        <v>10044</v>
      </c>
      <c r="E3116" t="s">
        <v>10674</v>
      </c>
      <c r="F3116" t="s">
        <v>118</v>
      </c>
      <c r="G3116" t="str">
        <f>HYPERLINK("https://vk.com/wall-22935147_368172?reply=368180")</f>
        <v>https://vk.com/wall-22935147_368172?reply=368180</v>
      </c>
      <c r="H3116" t="s">
        <v>119</v>
      </c>
      <c r="I3116" t="s">
        <v>10675</v>
      </c>
      <c r="J3116" t="str">
        <f>HYPERLINK("http://vk.com/id139912660")</f>
        <v>http://vk.com/id139912660</v>
      </c>
      <c r="K3116">
        <v>1614</v>
      </c>
      <c r="L3116" t="s">
        <v>151</v>
      </c>
      <c r="M3116">
        <v>35</v>
      </c>
      <c r="N3116" t="s">
        <v>122</v>
      </c>
      <c r="O3116" t="s">
        <v>1093</v>
      </c>
      <c r="P3116" t="str">
        <f>HYPERLINK("http://vk.com/club22935147")</f>
        <v>http://vk.com/club22935147</v>
      </c>
      <c r="Q3116">
        <v>8943</v>
      </c>
      <c r="R3116" t="s">
        <v>124</v>
      </c>
      <c r="S3116" t="s">
        <v>125</v>
      </c>
      <c r="T3116" t="s">
        <v>828</v>
      </c>
      <c r="U3116" t="s">
        <v>829</v>
      </c>
      <c r="W3116">
        <v>0</v>
      </c>
      <c r="X3116">
        <v>0</v>
      </c>
      <c r="AM3116" t="s">
        <v>129</v>
      </c>
      <c r="AN3116" t="s">
        <v>130</v>
      </c>
      <c r="AP3116" t="s">
        <v>41</v>
      </c>
      <c r="AW3116" t="s">
        <v>48</v>
      </c>
      <c r="AY3116" t="s">
        <v>50</v>
      </c>
      <c r="AZ3116" t="s">
        <v>51</v>
      </c>
      <c r="BA3116" t="s">
        <v>52</v>
      </c>
    </row>
    <row r="3117" spans="1:113" x14ac:dyDescent="0.2">
      <c r="A3117" t="s">
        <v>10399</v>
      </c>
      <c r="B3117" t="s">
        <v>10005</v>
      </c>
      <c r="C3117" t="s">
        <v>10673</v>
      </c>
      <c r="D3117" t="s">
        <v>10044</v>
      </c>
      <c r="E3117" t="s">
        <v>10676</v>
      </c>
      <c r="F3117" t="s">
        <v>118</v>
      </c>
      <c r="G3117" t="str">
        <f>HYPERLINK("https://vk.com/wall-22935147_368172?reply=368179")</f>
        <v>https://vk.com/wall-22935147_368172?reply=368179</v>
      </c>
      <c r="H3117" t="s">
        <v>119</v>
      </c>
      <c r="I3117" t="s">
        <v>10675</v>
      </c>
      <c r="J3117" t="str">
        <f>HYPERLINK("http://vk.com/id139912660")</f>
        <v>http://vk.com/id139912660</v>
      </c>
      <c r="K3117">
        <v>1614</v>
      </c>
      <c r="L3117" t="s">
        <v>151</v>
      </c>
      <c r="M3117">
        <v>35</v>
      </c>
      <c r="N3117" t="s">
        <v>122</v>
      </c>
      <c r="O3117" t="s">
        <v>1093</v>
      </c>
      <c r="P3117" t="str">
        <f>HYPERLINK("http://vk.com/club22935147")</f>
        <v>http://vk.com/club22935147</v>
      </c>
      <c r="Q3117">
        <v>8943</v>
      </c>
      <c r="R3117" t="s">
        <v>124</v>
      </c>
      <c r="S3117" t="s">
        <v>125</v>
      </c>
      <c r="T3117" t="s">
        <v>828</v>
      </c>
      <c r="U3117" t="s">
        <v>829</v>
      </c>
      <c r="W3117">
        <v>0</v>
      </c>
      <c r="X3117">
        <v>0</v>
      </c>
      <c r="AM3117" t="s">
        <v>129</v>
      </c>
      <c r="AN3117" t="s">
        <v>130</v>
      </c>
      <c r="AP3117" t="s">
        <v>41</v>
      </c>
      <c r="AW3117" t="s">
        <v>48</v>
      </c>
      <c r="AZ3117" t="s">
        <v>51</v>
      </c>
      <c r="BA3117" t="s">
        <v>52</v>
      </c>
      <c r="CB3117" t="s">
        <v>79</v>
      </c>
    </row>
    <row r="3118" spans="1:113" x14ac:dyDescent="0.2">
      <c r="A3118" t="s">
        <v>10399</v>
      </c>
      <c r="B3118" t="s">
        <v>1800</v>
      </c>
      <c r="C3118" t="s">
        <v>10612</v>
      </c>
      <c r="D3118" t="s">
        <v>3391</v>
      </c>
      <c r="E3118" t="s">
        <v>10677</v>
      </c>
      <c r="F3118" t="s">
        <v>180</v>
      </c>
      <c r="G3118" t="str">
        <f>HYPERLINK("https://www.wildberries.ru/catalog/14072152/detail.aspx?targetUrl=ES#Comments")</f>
        <v>https://www.wildberries.ru/catalog/14072152/detail.aspx?targetUrl=ES#Comments</v>
      </c>
      <c r="H3118" t="s">
        <v>181</v>
      </c>
      <c r="I3118" t="s">
        <v>3026</v>
      </c>
      <c r="J3118" t="str">
        <f>HYPERLINK("https://www.wildberries.ru/profile/w7TDssOkw7PCu8KwwrbCtcK2wrDCucKw")</f>
        <v>https://www.wildberries.ru/profile/w7TDssOkw7PCu8KwwrbCtcK2wrDCucKw</v>
      </c>
      <c r="L3118" t="s">
        <v>151</v>
      </c>
      <c r="N3118" t="s">
        <v>534</v>
      </c>
      <c r="O3118" t="s">
        <v>3391</v>
      </c>
      <c r="P3118" t="str">
        <f>HYPERLINK("https://www.wildberries.ru/catalog/10526045/detail.aspx")</f>
        <v>https://www.wildberries.ru/catalog/10526045/detail.aspx</v>
      </c>
      <c r="R3118" t="s">
        <v>184</v>
      </c>
      <c r="S3118" t="s">
        <v>125</v>
      </c>
      <c r="W3118">
        <v>0</v>
      </c>
      <c r="X3118">
        <v>0</v>
      </c>
      <c r="AH3118">
        <v>5</v>
      </c>
      <c r="AM3118" t="s">
        <v>129</v>
      </c>
      <c r="AN3118" t="s">
        <v>130</v>
      </c>
      <c r="AP3118" t="s">
        <v>41</v>
      </c>
      <c r="AZ3118" t="s">
        <v>51</v>
      </c>
      <c r="BA3118" t="s">
        <v>52</v>
      </c>
      <c r="BK3118" t="s">
        <v>62</v>
      </c>
    </row>
    <row r="3119" spans="1:113" x14ac:dyDescent="0.2">
      <c r="A3119" t="s">
        <v>10399</v>
      </c>
      <c r="B3119" t="s">
        <v>4468</v>
      </c>
      <c r="C3119" t="s">
        <v>10678</v>
      </c>
      <c r="D3119" t="s">
        <v>8502</v>
      </c>
      <c r="E3119" t="s">
        <v>10679</v>
      </c>
      <c r="F3119" t="s">
        <v>118</v>
      </c>
      <c r="G3119" t="str">
        <f>HYPERLINK("https://ok.ru/group/53318809747546/topic/153423195103322#MTYyNTU1MDEyNTAzODotMTA5MzU6MTYyNTU1MDEyNTAzODoxNTM0MjMxOTUxMDMzMjI6MQ==")</f>
        <v>https://ok.ru/group/53318809747546/topic/153423195103322#MTYyNTU1MDEyNTAzODotMTA5MzU6MTYyNTU1MDEyNTAzODoxNTM0MjMxOTUxMDMzMjI6MQ==</v>
      </c>
      <c r="H3119" t="s">
        <v>119</v>
      </c>
      <c r="I3119" t="s">
        <v>3303</v>
      </c>
      <c r="J3119" t="str">
        <f>HYPERLINK("https://ok.ru/profile/510800787638")</f>
        <v>https://ok.ru/profile/510800787638</v>
      </c>
      <c r="K3119">
        <v>306</v>
      </c>
      <c r="L3119" t="s">
        <v>121</v>
      </c>
      <c r="M3119">
        <v>35</v>
      </c>
      <c r="N3119" t="s">
        <v>347</v>
      </c>
      <c r="O3119" t="s">
        <v>8505</v>
      </c>
      <c r="P3119" t="str">
        <f>HYPERLINK("https://ok.ru/group/53318809747546")</f>
        <v>https://ok.ru/group/53318809747546</v>
      </c>
      <c r="Q3119">
        <v>16788</v>
      </c>
      <c r="R3119" t="s">
        <v>124</v>
      </c>
      <c r="S3119" t="s">
        <v>125</v>
      </c>
      <c r="T3119" t="s">
        <v>759</v>
      </c>
      <c r="U3119" t="s">
        <v>10680</v>
      </c>
      <c r="W3119">
        <v>0</v>
      </c>
      <c r="X3119">
        <v>0</v>
      </c>
      <c r="AM3119" t="s">
        <v>129</v>
      </c>
      <c r="AN3119" t="s">
        <v>130</v>
      </c>
      <c r="AP3119" t="s">
        <v>41</v>
      </c>
      <c r="AT3119" t="s">
        <v>45</v>
      </c>
      <c r="AZ3119" t="s">
        <v>51</v>
      </c>
      <c r="BA3119" t="s">
        <v>52</v>
      </c>
      <c r="BL3119" t="s">
        <v>63</v>
      </c>
    </row>
    <row r="3120" spans="1:113" x14ac:dyDescent="0.2">
      <c r="A3120" t="s">
        <v>10399</v>
      </c>
      <c r="B3120" t="s">
        <v>10681</v>
      </c>
      <c r="C3120" t="s">
        <v>10682</v>
      </c>
      <c r="D3120" t="s">
        <v>10683</v>
      </c>
      <c r="E3120" t="s">
        <v>10684</v>
      </c>
      <c r="F3120" t="s">
        <v>118</v>
      </c>
      <c r="G3120" t="str">
        <f>HYPERLINK("https://vk.com/wall-67275462_166699?reply=166753&amp;thread=166705")</f>
        <v>https://vk.com/wall-67275462_166699?reply=166753&amp;thread=166705</v>
      </c>
      <c r="H3120" t="s">
        <v>119</v>
      </c>
      <c r="I3120" t="s">
        <v>10685</v>
      </c>
      <c r="J3120" t="str">
        <f>HYPERLINK("http://vk.com/id64031010")</f>
        <v>http://vk.com/id64031010</v>
      </c>
      <c r="K3120">
        <v>355</v>
      </c>
      <c r="L3120" t="s">
        <v>151</v>
      </c>
      <c r="M3120">
        <v>66</v>
      </c>
      <c r="N3120" t="s">
        <v>122</v>
      </c>
      <c r="O3120" t="s">
        <v>10686</v>
      </c>
      <c r="P3120" t="str">
        <f>HYPERLINK("http://vk.com/club67275462")</f>
        <v>http://vk.com/club67275462</v>
      </c>
      <c r="Q3120">
        <v>21272</v>
      </c>
      <c r="R3120" t="s">
        <v>124</v>
      </c>
      <c r="S3120" t="s">
        <v>125</v>
      </c>
      <c r="T3120" t="s">
        <v>523</v>
      </c>
      <c r="U3120" t="s">
        <v>5941</v>
      </c>
      <c r="AM3120" t="s">
        <v>129</v>
      </c>
      <c r="AN3120" t="s">
        <v>130</v>
      </c>
      <c r="AP3120" t="s">
        <v>41</v>
      </c>
      <c r="AT3120" t="s">
        <v>45</v>
      </c>
      <c r="AZ3120" t="s">
        <v>51</v>
      </c>
      <c r="BA3120" t="s">
        <v>52</v>
      </c>
    </row>
    <row r="3121" spans="1:70" x14ac:dyDescent="0.2">
      <c r="A3121" t="s">
        <v>10399</v>
      </c>
      <c r="B3121" t="s">
        <v>9740</v>
      </c>
      <c r="C3121" t="s">
        <v>10687</v>
      </c>
      <c r="D3121" t="s">
        <v>10683</v>
      </c>
      <c r="E3121" t="s">
        <v>10688</v>
      </c>
      <c r="F3121" t="s">
        <v>118</v>
      </c>
      <c r="G3121" t="str">
        <f>HYPERLINK("https://vk.com/wall-67275462_166699?reply=166752&amp;thread=166705")</f>
        <v>https://vk.com/wall-67275462_166699?reply=166752&amp;thread=166705</v>
      </c>
      <c r="H3121" t="s">
        <v>119</v>
      </c>
      <c r="I3121" t="s">
        <v>10685</v>
      </c>
      <c r="J3121" t="str">
        <f>HYPERLINK("http://vk.com/id64031010")</f>
        <v>http://vk.com/id64031010</v>
      </c>
      <c r="K3121">
        <v>355</v>
      </c>
      <c r="L3121" t="s">
        <v>151</v>
      </c>
      <c r="M3121">
        <v>66</v>
      </c>
      <c r="N3121" t="s">
        <v>122</v>
      </c>
      <c r="O3121" t="s">
        <v>10686</v>
      </c>
      <c r="P3121" t="str">
        <f>HYPERLINK("http://vk.com/club67275462")</f>
        <v>http://vk.com/club67275462</v>
      </c>
      <c r="Q3121">
        <v>21272</v>
      </c>
      <c r="R3121" t="s">
        <v>124</v>
      </c>
      <c r="S3121" t="s">
        <v>125</v>
      </c>
      <c r="T3121" t="s">
        <v>523</v>
      </c>
      <c r="U3121" t="s">
        <v>5941</v>
      </c>
      <c r="AM3121" t="s">
        <v>129</v>
      </c>
      <c r="AN3121" t="s">
        <v>130</v>
      </c>
      <c r="AP3121" t="s">
        <v>41</v>
      </c>
      <c r="AT3121" t="s">
        <v>45</v>
      </c>
      <c r="AZ3121" t="s">
        <v>51</v>
      </c>
      <c r="BA3121" t="s">
        <v>52</v>
      </c>
    </row>
    <row r="3122" spans="1:70" x14ac:dyDescent="0.2">
      <c r="A3122" t="s">
        <v>10399</v>
      </c>
      <c r="B3122" t="s">
        <v>2241</v>
      </c>
      <c r="C3122" t="s">
        <v>10689</v>
      </c>
      <c r="D3122" t="s">
        <v>10683</v>
      </c>
      <c r="E3122" t="s">
        <v>10690</v>
      </c>
      <c r="F3122" t="s">
        <v>118</v>
      </c>
      <c r="G3122" t="str">
        <f>HYPERLINK("https://vk.com/wall-67275462_166699?reply=166749")</f>
        <v>https://vk.com/wall-67275462_166699?reply=166749</v>
      </c>
      <c r="H3122" t="s">
        <v>119</v>
      </c>
      <c r="I3122" t="s">
        <v>10685</v>
      </c>
      <c r="J3122" t="str">
        <f>HYPERLINK("http://vk.com/id64031010")</f>
        <v>http://vk.com/id64031010</v>
      </c>
      <c r="K3122">
        <v>355</v>
      </c>
      <c r="L3122" t="s">
        <v>151</v>
      </c>
      <c r="M3122">
        <v>66</v>
      </c>
      <c r="N3122" t="s">
        <v>122</v>
      </c>
      <c r="O3122" t="s">
        <v>10686</v>
      </c>
      <c r="P3122" t="str">
        <f>HYPERLINK("http://vk.com/club67275462")</f>
        <v>http://vk.com/club67275462</v>
      </c>
      <c r="Q3122">
        <v>21272</v>
      </c>
      <c r="R3122" t="s">
        <v>124</v>
      </c>
      <c r="S3122" t="s">
        <v>125</v>
      </c>
      <c r="T3122" t="s">
        <v>523</v>
      </c>
      <c r="U3122" t="s">
        <v>5941</v>
      </c>
      <c r="AM3122" t="s">
        <v>129</v>
      </c>
      <c r="AN3122" t="s">
        <v>130</v>
      </c>
      <c r="AP3122" t="s">
        <v>41</v>
      </c>
      <c r="AT3122" t="s">
        <v>45</v>
      </c>
      <c r="AZ3122" t="s">
        <v>51</v>
      </c>
      <c r="BA3122" t="s">
        <v>52</v>
      </c>
    </row>
    <row r="3123" spans="1:70" x14ac:dyDescent="0.2">
      <c r="A3123" t="s">
        <v>10399</v>
      </c>
      <c r="B3123" t="s">
        <v>7915</v>
      </c>
      <c r="C3123" t="s">
        <v>10691</v>
      </c>
      <c r="D3123" t="s">
        <v>10242</v>
      </c>
      <c r="E3123" t="s">
        <v>10692</v>
      </c>
      <c r="F3123" t="s">
        <v>118</v>
      </c>
      <c r="G3123" t="str">
        <f>HYPERLINK("https://www.youtube.com/watch?v=fQ9vzQtZPKg&amp;lc=UgwxmqRQz3iYvGTVWuN4AaABAg")</f>
        <v>https://www.youtube.com/watch?v=fQ9vzQtZPKg&amp;lc=UgwxmqRQz3iYvGTVWuN4AaABAg</v>
      </c>
      <c r="H3123" t="s">
        <v>228</v>
      </c>
      <c r="I3123" t="s">
        <v>8209</v>
      </c>
      <c r="J3123" t="str">
        <f>HYPERLINK("https://www.youtube.com/channel/UCXtvx-qhizvmIOMLuwYbfkA")</f>
        <v>https://www.youtube.com/channel/UCXtvx-qhizvmIOMLuwYbfkA</v>
      </c>
      <c r="K3123">
        <v>4</v>
      </c>
      <c r="N3123" t="s">
        <v>248</v>
      </c>
      <c r="O3123" t="s">
        <v>5564</v>
      </c>
      <c r="P3123" t="str">
        <f>HYPERLINK("https://www.youtube.com/channel/UCTUx4EVcZIIKPG517num88g")</f>
        <v>https://www.youtube.com/channel/UCTUx4EVcZIIKPG517num88g</v>
      </c>
      <c r="Q3123">
        <v>2430</v>
      </c>
      <c r="R3123" t="s">
        <v>124</v>
      </c>
      <c r="S3123" t="s">
        <v>125</v>
      </c>
      <c r="W3123">
        <v>1</v>
      </c>
      <c r="X3123">
        <v>1</v>
      </c>
      <c r="AE3123">
        <v>0</v>
      </c>
      <c r="AM3123" t="s">
        <v>129</v>
      </c>
      <c r="AN3123" t="s">
        <v>130</v>
      </c>
      <c r="AP3123" t="s">
        <v>41</v>
      </c>
      <c r="AU3123" t="s">
        <v>46</v>
      </c>
      <c r="AY3123" t="s">
        <v>50</v>
      </c>
      <c r="AZ3123" t="s">
        <v>51</v>
      </c>
      <c r="BA3123" t="s">
        <v>52</v>
      </c>
      <c r="BR3123" t="s">
        <v>69</v>
      </c>
    </row>
    <row r="3124" spans="1:70" x14ac:dyDescent="0.2">
      <c r="A3124" t="s">
        <v>10399</v>
      </c>
      <c r="B3124" t="s">
        <v>692</v>
      </c>
      <c r="C3124" t="s">
        <v>10693</v>
      </c>
      <c r="D3124" t="s">
        <v>10044</v>
      </c>
      <c r="E3124" t="s">
        <v>10694</v>
      </c>
      <c r="F3124" t="s">
        <v>118</v>
      </c>
      <c r="G3124" t="str">
        <f>HYPERLINK("https://vk.com/wall-22935147_368172?reply=368178")</f>
        <v>https://vk.com/wall-22935147_368172?reply=368178</v>
      </c>
      <c r="H3124" t="s">
        <v>119</v>
      </c>
      <c r="I3124" t="s">
        <v>5553</v>
      </c>
      <c r="J3124" t="str">
        <f>HYPERLINK("http://vk.com/id13434534")</f>
        <v>http://vk.com/id13434534</v>
      </c>
      <c r="K3124">
        <v>53</v>
      </c>
      <c r="L3124" t="s">
        <v>121</v>
      </c>
      <c r="N3124" t="s">
        <v>122</v>
      </c>
      <c r="O3124" t="s">
        <v>1093</v>
      </c>
      <c r="P3124" t="str">
        <f>HYPERLINK("http://vk.com/club22935147")</f>
        <v>http://vk.com/club22935147</v>
      </c>
      <c r="Q3124">
        <v>8943</v>
      </c>
      <c r="R3124" t="s">
        <v>124</v>
      </c>
      <c r="S3124" t="s">
        <v>125</v>
      </c>
      <c r="T3124" t="s">
        <v>153</v>
      </c>
      <c r="U3124" t="s">
        <v>643</v>
      </c>
      <c r="W3124">
        <v>0</v>
      </c>
      <c r="X3124">
        <v>0</v>
      </c>
      <c r="AM3124" t="s">
        <v>129</v>
      </c>
      <c r="AN3124" t="s">
        <v>130</v>
      </c>
      <c r="AP3124" t="s">
        <v>41</v>
      </c>
      <c r="AT3124" t="s">
        <v>45</v>
      </c>
      <c r="AZ3124" t="s">
        <v>51</v>
      </c>
      <c r="BA3124" t="s">
        <v>52</v>
      </c>
      <c r="BO3124" t="s">
        <v>66</v>
      </c>
    </row>
    <row r="3125" spans="1:70" x14ac:dyDescent="0.2">
      <c r="A3125" t="s">
        <v>10399</v>
      </c>
      <c r="B3125" t="s">
        <v>9447</v>
      </c>
      <c r="C3125" t="s">
        <v>10695</v>
      </c>
      <c r="D3125" t="s">
        <v>8502</v>
      </c>
      <c r="E3125" t="s">
        <v>10696</v>
      </c>
      <c r="F3125" t="s">
        <v>118</v>
      </c>
      <c r="G3125" t="str">
        <f>HYPERLINK("https://ok.ru/group/53318809747546/topic/153423195103322#MTYyNTU0NTY1ODMzNTotMTE1NjM6MTYyNTU0NTY1ODMzNToxNTM0MjMxOTUxMDMzMjI6MQ==")</f>
        <v>https://ok.ru/group/53318809747546/topic/153423195103322#MTYyNTU0NTY1ODMzNTotMTE1NjM6MTYyNTU0NTY1ODMzNToxNTM0MjMxOTUxMDMzMjI6MQ==</v>
      </c>
      <c r="H3125" t="s">
        <v>119</v>
      </c>
      <c r="I3125" t="s">
        <v>10697</v>
      </c>
      <c r="J3125" t="str">
        <f>HYPERLINK("https://ok.ru/profile/594033280277")</f>
        <v>https://ok.ru/profile/594033280277</v>
      </c>
      <c r="K3125">
        <v>2</v>
      </c>
      <c r="L3125" t="s">
        <v>121</v>
      </c>
      <c r="N3125" t="s">
        <v>347</v>
      </c>
      <c r="O3125" t="s">
        <v>8505</v>
      </c>
      <c r="P3125" t="str">
        <f>HYPERLINK("https://ok.ru/group/53318809747546")</f>
        <v>https://ok.ru/group/53318809747546</v>
      </c>
      <c r="Q3125">
        <v>16788</v>
      </c>
      <c r="R3125" t="s">
        <v>124</v>
      </c>
      <c r="S3125" t="s">
        <v>125</v>
      </c>
      <c r="T3125" t="s">
        <v>137</v>
      </c>
      <c r="U3125" t="s">
        <v>137</v>
      </c>
      <c r="W3125">
        <v>0</v>
      </c>
      <c r="X3125">
        <v>0</v>
      </c>
      <c r="AM3125" t="s">
        <v>129</v>
      </c>
      <c r="AN3125" t="s">
        <v>130</v>
      </c>
      <c r="AP3125" t="s">
        <v>41</v>
      </c>
      <c r="AZ3125" t="s">
        <v>51</v>
      </c>
      <c r="BA3125" t="s">
        <v>52</v>
      </c>
      <c r="BM3125" t="s">
        <v>64</v>
      </c>
    </row>
    <row r="3126" spans="1:70" x14ac:dyDescent="0.2">
      <c r="A3126" t="s">
        <v>10399</v>
      </c>
      <c r="B3126" t="s">
        <v>6916</v>
      </c>
      <c r="C3126" t="s">
        <v>9312</v>
      </c>
      <c r="D3126" t="s">
        <v>9313</v>
      </c>
      <c r="E3126" t="s">
        <v>10698</v>
      </c>
      <c r="F3126" t="s">
        <v>180</v>
      </c>
      <c r="G3126" t="str">
        <f>HYPERLINK("https://www.wildberries.ru/catalog/14967643/detail.aspx?targetUrl=ES#Comments")</f>
        <v>https://www.wildberries.ru/catalog/14967643/detail.aspx?targetUrl=ES#Comments</v>
      </c>
      <c r="H3126" t="s">
        <v>181</v>
      </c>
      <c r="I3126" t="s">
        <v>1781</v>
      </c>
      <c r="J3126" t="str">
        <f>HYPERLINK("https://www.wildberries.ru/profile/w7TDssOkw7PCu8KzwrPCuMKywrDCtcK3wrk=")</f>
        <v>https://www.wildberries.ru/profile/w7TDssOkw7PCu8KzwrPCuMKywrDCtcK3wrk=</v>
      </c>
      <c r="L3126" t="s">
        <v>151</v>
      </c>
      <c r="N3126" t="s">
        <v>534</v>
      </c>
      <c r="O3126" t="s">
        <v>9313</v>
      </c>
      <c r="P3126" t="str">
        <f>HYPERLINK("https://www.wildberries.ru/catalog/11194495/detail.aspx")</f>
        <v>https://www.wildberries.ru/catalog/11194495/detail.aspx</v>
      </c>
      <c r="R3126" t="s">
        <v>184</v>
      </c>
      <c r="S3126" t="s">
        <v>125</v>
      </c>
      <c r="W3126">
        <v>0</v>
      </c>
      <c r="X3126">
        <v>0</v>
      </c>
      <c r="AH3126">
        <v>5</v>
      </c>
      <c r="AM3126" t="s">
        <v>129</v>
      </c>
      <c r="AN3126" t="s">
        <v>130</v>
      </c>
      <c r="AP3126" t="s">
        <v>41</v>
      </c>
      <c r="AZ3126" t="s">
        <v>51</v>
      </c>
      <c r="BA3126" t="s">
        <v>52</v>
      </c>
      <c r="BK3126" t="s">
        <v>62</v>
      </c>
      <c r="BL3126" t="s">
        <v>63</v>
      </c>
    </row>
    <row r="3127" spans="1:70" x14ac:dyDescent="0.2">
      <c r="A3127" t="s">
        <v>10399</v>
      </c>
      <c r="B3127" t="s">
        <v>10699</v>
      </c>
      <c r="C3127" t="s">
        <v>10695</v>
      </c>
      <c r="D3127" t="s">
        <v>8502</v>
      </c>
      <c r="E3127" t="s">
        <v>10700</v>
      </c>
      <c r="F3127" t="s">
        <v>118</v>
      </c>
      <c r="G3127" t="str">
        <f>HYPERLINK("https://ok.ru/group/53318809747546/topic/153423195103322#MTYyNTU0NDE1OTA5NjotNDY3NToxNjI1NTQ0MTU5MDk2OjE1MzQyMzE5NTEwMzMyMjox")</f>
        <v>https://ok.ru/group/53318809747546/topic/153423195103322#MTYyNTU0NDE1OTA5NjotNDY3NToxNjI1NTQ0MTU5MDk2OjE1MzQyMzE5NTEwMzMyMjox</v>
      </c>
      <c r="H3127" t="s">
        <v>119</v>
      </c>
      <c r="I3127" t="s">
        <v>10701</v>
      </c>
      <c r="J3127" t="str">
        <f>HYPERLINK("https://ok.ru/profile/579665338345")</f>
        <v>https://ok.ru/profile/579665338345</v>
      </c>
      <c r="K3127">
        <v>98</v>
      </c>
      <c r="L3127" t="s">
        <v>121</v>
      </c>
      <c r="M3127">
        <v>36</v>
      </c>
      <c r="N3127" t="s">
        <v>347</v>
      </c>
      <c r="O3127" t="s">
        <v>8505</v>
      </c>
      <c r="P3127" t="str">
        <f>HYPERLINK("https://ok.ru/group/53318809747546")</f>
        <v>https://ok.ru/group/53318809747546</v>
      </c>
      <c r="Q3127">
        <v>16788</v>
      </c>
      <c r="R3127" t="s">
        <v>124</v>
      </c>
      <c r="S3127" t="s">
        <v>125</v>
      </c>
      <c r="W3127">
        <v>1</v>
      </c>
      <c r="X3127">
        <v>1</v>
      </c>
      <c r="AM3127" t="s">
        <v>129</v>
      </c>
      <c r="AN3127" t="s">
        <v>130</v>
      </c>
      <c r="AP3127" t="s">
        <v>41</v>
      </c>
      <c r="AT3127" t="s">
        <v>45</v>
      </c>
      <c r="AZ3127" t="s">
        <v>51</v>
      </c>
      <c r="BA3127" t="s">
        <v>52</v>
      </c>
      <c r="BL3127" t="s">
        <v>63</v>
      </c>
    </row>
    <row r="3128" spans="1:70" x14ac:dyDescent="0.2">
      <c r="A3128" t="s">
        <v>10399</v>
      </c>
      <c r="B3128" t="s">
        <v>8705</v>
      </c>
      <c r="C3128" t="s">
        <v>10695</v>
      </c>
      <c r="D3128" t="s">
        <v>8502</v>
      </c>
      <c r="E3128" t="s">
        <v>10702</v>
      </c>
      <c r="F3128" t="s">
        <v>118</v>
      </c>
      <c r="G3128" t="str">
        <f>HYPERLINK("https://ok.ru/group/53318809747546/topic/153423195103322#MTYyNTU0MzczNDAyODotMTA3MjU6MTYyNTU0MzczNDAyODoxNTM0MjMxOTUxMDMzMjI6MQ==")</f>
        <v>https://ok.ru/group/53318809747546/topic/153423195103322#MTYyNTU0MzczNDAyODotMTA3MjU6MTYyNTU0MzczNDAyODoxNTM0MjMxOTUxMDMzMjI6MQ==</v>
      </c>
      <c r="H3128" t="s">
        <v>119</v>
      </c>
      <c r="I3128" t="s">
        <v>10703</v>
      </c>
      <c r="J3128" t="str">
        <f>HYPERLINK("https://ok.ru/profile/563920133276")</f>
        <v>https://ok.ru/profile/563920133276</v>
      </c>
      <c r="K3128">
        <v>85</v>
      </c>
      <c r="L3128" t="s">
        <v>121</v>
      </c>
      <c r="N3128" t="s">
        <v>347</v>
      </c>
      <c r="O3128" t="s">
        <v>8505</v>
      </c>
      <c r="P3128" t="str">
        <f>HYPERLINK("https://ok.ru/group/53318809747546")</f>
        <v>https://ok.ru/group/53318809747546</v>
      </c>
      <c r="Q3128">
        <v>16788</v>
      </c>
      <c r="R3128" t="s">
        <v>124</v>
      </c>
      <c r="S3128" t="s">
        <v>125</v>
      </c>
      <c r="T3128" t="s">
        <v>189</v>
      </c>
      <c r="U3128" t="s">
        <v>10704</v>
      </c>
      <c r="W3128">
        <v>0</v>
      </c>
      <c r="X3128">
        <v>0</v>
      </c>
      <c r="AM3128" t="s">
        <v>129</v>
      </c>
      <c r="AN3128" t="s">
        <v>130</v>
      </c>
      <c r="AP3128" t="s">
        <v>41</v>
      </c>
      <c r="AZ3128" t="s">
        <v>51</v>
      </c>
      <c r="BA3128" t="s">
        <v>52</v>
      </c>
      <c r="BK3128" t="s">
        <v>62</v>
      </c>
      <c r="BL3128" t="s">
        <v>63</v>
      </c>
    </row>
    <row r="3129" spans="1:70" x14ac:dyDescent="0.2">
      <c r="A3129" t="s">
        <v>10399</v>
      </c>
      <c r="B3129" t="s">
        <v>10705</v>
      </c>
      <c r="C3129" t="s">
        <v>10695</v>
      </c>
      <c r="D3129" t="s">
        <v>8502</v>
      </c>
      <c r="E3129" t="s">
        <v>10706</v>
      </c>
      <c r="F3129" t="s">
        <v>118</v>
      </c>
      <c r="G3129" t="str">
        <f>HYPERLINK("https://ok.ru/group/53318809747546/topic/153423195103322#MTYyNTU0MzA3NzM2MjotNjM4NToxNjI1NTQzMDc3MzYyOjE1MzQyMzE5NTEwMzMyMjox")</f>
        <v>https://ok.ru/group/53318809747546/topic/153423195103322#MTYyNTU0MzA3NzM2MjotNjM4NToxNjI1NTQzMDc3MzYyOjE1MzQyMzE5NTEwMzMyMjox</v>
      </c>
      <c r="H3129" t="s">
        <v>119</v>
      </c>
      <c r="I3129" t="s">
        <v>10707</v>
      </c>
      <c r="J3129" t="str">
        <f>HYPERLINK("https://ok.ru/profile/549532177388")</f>
        <v>https://ok.ru/profile/549532177388</v>
      </c>
      <c r="K3129">
        <v>94</v>
      </c>
      <c r="L3129" t="s">
        <v>121</v>
      </c>
      <c r="N3129" t="s">
        <v>347</v>
      </c>
      <c r="O3129" t="s">
        <v>8505</v>
      </c>
      <c r="P3129" t="str">
        <f>HYPERLINK("https://ok.ru/group/53318809747546")</f>
        <v>https://ok.ru/group/53318809747546</v>
      </c>
      <c r="Q3129">
        <v>16788</v>
      </c>
      <c r="R3129" t="s">
        <v>124</v>
      </c>
      <c r="S3129" t="s">
        <v>125</v>
      </c>
      <c r="T3129" t="s">
        <v>189</v>
      </c>
      <c r="U3129" t="s">
        <v>190</v>
      </c>
      <c r="W3129">
        <v>0</v>
      </c>
      <c r="X3129">
        <v>0</v>
      </c>
      <c r="AM3129" t="s">
        <v>129</v>
      </c>
      <c r="AN3129" t="s">
        <v>130</v>
      </c>
      <c r="AP3129" t="s">
        <v>41</v>
      </c>
      <c r="AT3129" t="s">
        <v>45</v>
      </c>
      <c r="AZ3129" t="s">
        <v>51</v>
      </c>
      <c r="BA3129" t="s">
        <v>52</v>
      </c>
    </row>
    <row r="3130" spans="1:70" x14ac:dyDescent="0.2">
      <c r="A3130" t="s">
        <v>10399</v>
      </c>
      <c r="B3130" t="s">
        <v>3288</v>
      </c>
      <c r="C3130" t="s">
        <v>10695</v>
      </c>
      <c r="D3130" t="s">
        <v>8502</v>
      </c>
      <c r="E3130" t="s">
        <v>10708</v>
      </c>
      <c r="F3130" t="s">
        <v>118</v>
      </c>
      <c r="G3130" t="str">
        <f>HYPERLINK("https://ok.ru/group/53318809747546/topic/153423195103322#MTYyNTU0MjcwNDM4MjotMTk0OToxNjI1NTQyNzA0MzgyOjE1MzQyMzE5NTEwMzMyMjox")</f>
        <v>https://ok.ru/group/53318809747546/topic/153423195103322#MTYyNTU0MjcwNDM4MjotMTk0OToxNjI1NTQyNzA0MzgyOjE1MzQyMzE5NTEwMzMyMjox</v>
      </c>
      <c r="H3130" t="s">
        <v>119</v>
      </c>
      <c r="I3130" t="s">
        <v>10709</v>
      </c>
      <c r="J3130" t="str">
        <f>HYPERLINK("https://ok.ru/profile/472735137548")</f>
        <v>https://ok.ru/profile/472735137548</v>
      </c>
      <c r="K3130">
        <v>121</v>
      </c>
      <c r="L3130" t="s">
        <v>121</v>
      </c>
      <c r="M3130">
        <v>58</v>
      </c>
      <c r="N3130" t="s">
        <v>347</v>
      </c>
      <c r="O3130" t="s">
        <v>8505</v>
      </c>
      <c r="P3130" t="str">
        <f>HYPERLINK("https://ok.ru/group/53318809747546")</f>
        <v>https://ok.ru/group/53318809747546</v>
      </c>
      <c r="Q3130">
        <v>16788</v>
      </c>
      <c r="R3130" t="s">
        <v>124</v>
      </c>
      <c r="S3130" t="s">
        <v>125</v>
      </c>
      <c r="T3130" t="s">
        <v>364</v>
      </c>
      <c r="U3130" t="s">
        <v>10710</v>
      </c>
      <c r="W3130">
        <v>3</v>
      </c>
      <c r="X3130">
        <v>3</v>
      </c>
      <c r="AM3130" t="s">
        <v>129</v>
      </c>
      <c r="AN3130" t="s">
        <v>130</v>
      </c>
      <c r="AP3130" t="s">
        <v>41</v>
      </c>
      <c r="AT3130" t="s">
        <v>45</v>
      </c>
      <c r="AZ3130" t="s">
        <v>51</v>
      </c>
      <c r="BA3130" t="s">
        <v>52</v>
      </c>
      <c r="BL3130" t="s">
        <v>63</v>
      </c>
    </row>
    <row r="3131" spans="1:70" x14ac:dyDescent="0.2">
      <c r="A3131" t="s">
        <v>10399</v>
      </c>
      <c r="B3131" t="s">
        <v>4000</v>
      </c>
      <c r="C3131" t="s">
        <v>10711</v>
      </c>
      <c r="D3131" t="s">
        <v>10489</v>
      </c>
      <c r="E3131" t="s">
        <v>10712</v>
      </c>
      <c r="F3131" t="s">
        <v>118</v>
      </c>
      <c r="G3131" t="str">
        <f>HYPERLINK("https://vk.com/wall-159446803_11566?reply=11580&amp;thread=11576")</f>
        <v>https://vk.com/wall-159446803_11566?reply=11580&amp;thread=11576</v>
      </c>
      <c r="H3131" t="s">
        <v>181</v>
      </c>
      <c r="I3131" t="s">
        <v>10713</v>
      </c>
      <c r="J3131" t="str">
        <f>HYPERLINK("http://vk.com/id339549601")</f>
        <v>http://vk.com/id339549601</v>
      </c>
      <c r="K3131">
        <v>57</v>
      </c>
      <c r="L3131" t="s">
        <v>121</v>
      </c>
      <c r="M3131">
        <v>61</v>
      </c>
      <c r="N3131" t="s">
        <v>122</v>
      </c>
      <c r="O3131" t="s">
        <v>10492</v>
      </c>
      <c r="P3131" t="str">
        <f>HYPERLINK("http://vk.com/club159446803")</f>
        <v>http://vk.com/club159446803</v>
      </c>
      <c r="Q3131">
        <v>1184</v>
      </c>
      <c r="R3131" t="s">
        <v>124</v>
      </c>
      <c r="S3131" t="s">
        <v>125</v>
      </c>
      <c r="T3131" t="s">
        <v>137</v>
      </c>
      <c r="U3131" t="s">
        <v>137</v>
      </c>
      <c r="AM3131" t="s">
        <v>129</v>
      </c>
      <c r="AN3131" t="s">
        <v>130</v>
      </c>
      <c r="AP3131" t="s">
        <v>41</v>
      </c>
      <c r="AW3131" t="s">
        <v>48</v>
      </c>
      <c r="AZ3131" t="s">
        <v>51</v>
      </c>
      <c r="BA3131" t="s">
        <v>52</v>
      </c>
    </row>
    <row r="3132" spans="1:70" x14ac:dyDescent="0.2">
      <c r="A3132" t="s">
        <v>10399</v>
      </c>
      <c r="B3132" t="s">
        <v>10714</v>
      </c>
      <c r="C3132" t="s">
        <v>10715</v>
      </c>
      <c r="D3132" t="s">
        <v>8502</v>
      </c>
      <c r="E3132" t="s">
        <v>10716</v>
      </c>
      <c r="F3132" t="s">
        <v>180</v>
      </c>
      <c r="G3132" t="str">
        <f>HYPERLINK("https://ok.ru/group/53318809747546/topic/153423195103322")</f>
        <v>https://ok.ru/group/53318809747546/topic/153423195103322</v>
      </c>
      <c r="H3132" t="s">
        <v>119</v>
      </c>
      <c r="I3132" t="s">
        <v>9860</v>
      </c>
      <c r="J3132" t="str">
        <f>HYPERLINK("https://ok.ru/profile/531030352832")</f>
        <v>https://ok.ru/profile/531030352832</v>
      </c>
      <c r="K3132">
        <v>10</v>
      </c>
      <c r="L3132" t="s">
        <v>121</v>
      </c>
      <c r="N3132" t="s">
        <v>347</v>
      </c>
      <c r="O3132" t="s">
        <v>8505</v>
      </c>
      <c r="P3132" t="str">
        <f>HYPERLINK("https://ok.ru/group/53318809747546")</f>
        <v>https://ok.ru/group/53318809747546</v>
      </c>
      <c r="Q3132">
        <v>16788</v>
      </c>
      <c r="R3132" t="s">
        <v>124</v>
      </c>
      <c r="S3132" t="s">
        <v>125</v>
      </c>
      <c r="T3132" t="s">
        <v>523</v>
      </c>
      <c r="U3132" t="s">
        <v>3874</v>
      </c>
      <c r="W3132">
        <v>9</v>
      </c>
      <c r="X3132">
        <v>8</v>
      </c>
      <c r="Y3132">
        <v>0</v>
      </c>
      <c r="Z3132">
        <v>0</v>
      </c>
      <c r="AA3132">
        <v>0</v>
      </c>
      <c r="AB3132">
        <v>1</v>
      </c>
      <c r="AE3132">
        <v>57</v>
      </c>
      <c r="AF3132">
        <v>0</v>
      </c>
      <c r="AJ3132" t="s">
        <v>10717</v>
      </c>
      <c r="AK3132" t="s">
        <v>129</v>
      </c>
      <c r="AL3132" t="str">
        <f>HYPERLINK("https://i.mycdn.me/image?id=909531763290&amp;t=20&amp;plc=API&amp;aid=1131601408&amp;tkn=*fhpTh-eYnTjqnU2a94-EYhBLiuU")</f>
        <v>https://i.mycdn.me/image?id=909531763290&amp;t=20&amp;plc=API&amp;aid=1131601408&amp;tkn=*fhpTh-eYnTjqnU2a94-EYhBLiuU</v>
      </c>
      <c r="AM3132" t="s">
        <v>129</v>
      </c>
      <c r="AN3132" t="s">
        <v>130</v>
      </c>
      <c r="AP3132" t="s">
        <v>41</v>
      </c>
      <c r="AZ3132" t="s">
        <v>51</v>
      </c>
      <c r="BA3132" t="s">
        <v>52</v>
      </c>
      <c r="BL3132" t="s">
        <v>63</v>
      </c>
    </row>
    <row r="3133" spans="1:70" x14ac:dyDescent="0.2">
      <c r="A3133" t="s">
        <v>10399</v>
      </c>
      <c r="B3133" t="s">
        <v>10718</v>
      </c>
      <c r="C3133" t="s">
        <v>10719</v>
      </c>
      <c r="D3133" t="s">
        <v>1186</v>
      </c>
      <c r="E3133" t="s">
        <v>10720</v>
      </c>
      <c r="F3133" t="s">
        <v>180</v>
      </c>
      <c r="G3133" t="str">
        <f>HYPERLINK("https://4pda.to/forum/index.php?showtopic=916407&amp;st=3080#entry107818529")</f>
        <v>https://4pda.to/forum/index.php?showtopic=916407&amp;st=3080#entry107818529</v>
      </c>
      <c r="H3133" t="s">
        <v>119</v>
      </c>
      <c r="I3133" t="s">
        <v>10721</v>
      </c>
      <c r="J3133" t="str">
        <f>HYPERLINK("https://4pda.to/forum/index.php?showuser=5062214")</f>
        <v>https://4pda.to/forum/index.php?showuser=5062214</v>
      </c>
      <c r="N3133" t="s">
        <v>293</v>
      </c>
      <c r="O3133" t="s">
        <v>1189</v>
      </c>
      <c r="P3133" t="str">
        <f>HYPERLINK("https://4pda.to/forum/index.php?showforum=319")</f>
        <v>https://4pda.to/forum/index.php?showforum=319</v>
      </c>
      <c r="R3133" t="s">
        <v>295</v>
      </c>
      <c r="S3133" t="s">
        <v>125</v>
      </c>
      <c r="AM3133" t="s">
        <v>129</v>
      </c>
      <c r="AN3133" t="s">
        <v>130</v>
      </c>
      <c r="AP3133" t="s">
        <v>41</v>
      </c>
      <c r="AU3133" t="s">
        <v>46</v>
      </c>
      <c r="AZ3133" t="s">
        <v>51</v>
      </c>
      <c r="BA3133" t="s">
        <v>52</v>
      </c>
      <c r="BQ3133" t="s">
        <v>68</v>
      </c>
    </row>
    <row r="3134" spans="1:70" x14ac:dyDescent="0.2">
      <c r="A3134" t="s">
        <v>10399</v>
      </c>
      <c r="B3134" t="s">
        <v>10722</v>
      </c>
      <c r="C3134" t="s">
        <v>10723</v>
      </c>
      <c r="D3134" t="s">
        <v>129</v>
      </c>
      <c r="E3134" t="s">
        <v>10419</v>
      </c>
      <c r="F3134" t="s">
        <v>180</v>
      </c>
      <c r="G3134" t="str">
        <f>HYPERLINK("https://vk.com/wall-61101621_254519")</f>
        <v>https://vk.com/wall-61101621_254519</v>
      </c>
      <c r="H3134" t="s">
        <v>119</v>
      </c>
      <c r="I3134" t="s">
        <v>10724</v>
      </c>
      <c r="J3134" t="str">
        <f>HYPERLINK("http://vk.com/id74466849")</f>
        <v>http://vk.com/id74466849</v>
      </c>
      <c r="K3134">
        <v>91</v>
      </c>
      <c r="L3134" t="s">
        <v>121</v>
      </c>
      <c r="N3134" t="s">
        <v>122</v>
      </c>
      <c r="O3134" t="s">
        <v>160</v>
      </c>
      <c r="P3134" t="str">
        <f>HYPERLINK("http://vk.com/club61101621")</f>
        <v>http://vk.com/club61101621</v>
      </c>
      <c r="Q3134">
        <v>21119</v>
      </c>
      <c r="R3134" t="s">
        <v>124</v>
      </c>
      <c r="S3134" t="s">
        <v>125</v>
      </c>
      <c r="T3134" t="s">
        <v>759</v>
      </c>
      <c r="U3134" t="s">
        <v>6905</v>
      </c>
      <c r="W3134">
        <v>7</v>
      </c>
      <c r="X3134">
        <v>7</v>
      </c>
      <c r="AE3134">
        <v>4</v>
      </c>
      <c r="AF3134">
        <v>0</v>
      </c>
      <c r="AG3134">
        <v>1494</v>
      </c>
      <c r="AJ3134" t="s">
        <v>10725</v>
      </c>
      <c r="AK3134" t="s">
        <v>129</v>
      </c>
      <c r="AL3134" t="str">
        <f>HYPERLINK("https://sun9-33.userapi.com/impg/lT06D4lwXnD5UkXuNZnAbWEW_YSbQgLVEhLN1Q/cpriyc_R_Ds.jpg?size=1600x1200&amp;quality=96&amp;sign=5ea23217c812126dbb46df40fd18e00e&amp;c_uniq_tag=w6OkLj8ehLBOwc6FE6JfFLEslQk4ntAVoorbO1uUl7k&amp;type=album")</f>
        <v>https://sun9-33.userapi.com/impg/lT06D4lwXnD5UkXuNZnAbWEW_YSbQgLVEhLN1Q/cpriyc_R_Ds.jpg?size=1600x1200&amp;quality=96&amp;sign=5ea23217c812126dbb46df40fd18e00e&amp;c_uniq_tag=w6OkLj8ehLBOwc6FE6JfFLEslQk4ntAVoorbO1uUl7k&amp;type=album</v>
      </c>
      <c r="AM3134" t="s">
        <v>129</v>
      </c>
      <c r="AN3134" t="s">
        <v>130</v>
      </c>
      <c r="AP3134" t="s">
        <v>41</v>
      </c>
      <c r="AY3134" t="s">
        <v>50</v>
      </c>
      <c r="AZ3134" t="s">
        <v>51</v>
      </c>
      <c r="BB3134" t="s">
        <v>53</v>
      </c>
    </row>
    <row r="3135" spans="1:70" x14ac:dyDescent="0.2">
      <c r="A3135" t="s">
        <v>10399</v>
      </c>
      <c r="B3135" t="s">
        <v>10726</v>
      </c>
      <c r="C3135" t="s">
        <v>10727</v>
      </c>
      <c r="D3135" t="s">
        <v>10044</v>
      </c>
      <c r="E3135" t="s">
        <v>10728</v>
      </c>
      <c r="F3135" t="s">
        <v>118</v>
      </c>
      <c r="G3135" t="str">
        <f>HYPERLINK("https://vk.com/wall-22935147_368172?reply=368176")</f>
        <v>https://vk.com/wall-22935147_368172?reply=368176</v>
      </c>
      <c r="H3135" t="s">
        <v>181</v>
      </c>
      <c r="I3135" t="s">
        <v>5494</v>
      </c>
      <c r="J3135" t="str">
        <f>HYPERLINK("http://vk.com/id191196273")</f>
        <v>http://vk.com/id191196273</v>
      </c>
      <c r="K3135">
        <v>64</v>
      </c>
      <c r="L3135" t="s">
        <v>121</v>
      </c>
      <c r="M3135">
        <v>45</v>
      </c>
      <c r="N3135" t="s">
        <v>122</v>
      </c>
      <c r="O3135" t="s">
        <v>1093</v>
      </c>
      <c r="P3135" t="str">
        <f>HYPERLINK("http://vk.com/club22935147")</f>
        <v>http://vk.com/club22935147</v>
      </c>
      <c r="Q3135">
        <v>8943</v>
      </c>
      <c r="R3135" t="s">
        <v>124</v>
      </c>
      <c r="S3135" t="s">
        <v>125</v>
      </c>
      <c r="T3135" t="s">
        <v>2225</v>
      </c>
      <c r="U3135" t="s">
        <v>2861</v>
      </c>
      <c r="W3135">
        <v>0</v>
      </c>
      <c r="X3135">
        <v>0</v>
      </c>
      <c r="AM3135" t="s">
        <v>129</v>
      </c>
      <c r="AN3135" t="s">
        <v>130</v>
      </c>
      <c r="AP3135" t="s">
        <v>41</v>
      </c>
      <c r="AZ3135" t="s">
        <v>51</v>
      </c>
      <c r="BA3135" t="s">
        <v>52</v>
      </c>
      <c r="BO3135" t="s">
        <v>66</v>
      </c>
    </row>
    <row r="3136" spans="1:70" x14ac:dyDescent="0.2">
      <c r="A3136" t="s">
        <v>10729</v>
      </c>
      <c r="B3136" t="s">
        <v>10730</v>
      </c>
      <c r="C3136" t="s">
        <v>10731</v>
      </c>
      <c r="D3136" t="s">
        <v>1590</v>
      </c>
      <c r="E3136" t="s">
        <v>10732</v>
      </c>
      <c r="F3136" t="s">
        <v>118</v>
      </c>
      <c r="G3136" t="str">
        <f>HYPERLINK("https://vk.com/wall-27863223_291304?reply=291458")</f>
        <v>https://vk.com/wall-27863223_291304?reply=291458</v>
      </c>
      <c r="H3136" t="s">
        <v>228</v>
      </c>
      <c r="I3136" t="s">
        <v>6822</v>
      </c>
      <c r="J3136" t="str">
        <f>HYPERLINK("http://vk.com/id33737831")</f>
        <v>http://vk.com/id33737831</v>
      </c>
      <c r="K3136">
        <v>51</v>
      </c>
      <c r="L3136" t="s">
        <v>151</v>
      </c>
      <c r="M3136">
        <v>66</v>
      </c>
      <c r="N3136" t="s">
        <v>122</v>
      </c>
      <c r="O3136" t="s">
        <v>175</v>
      </c>
      <c r="P3136" t="str">
        <f>HYPERLINK("http://vk.com/club27863223")</f>
        <v>http://vk.com/club27863223</v>
      </c>
      <c r="Q3136">
        <v>134698</v>
      </c>
      <c r="R3136" t="s">
        <v>124</v>
      </c>
      <c r="S3136" t="s">
        <v>125</v>
      </c>
      <c r="T3136" t="s">
        <v>4407</v>
      </c>
      <c r="U3136" t="s">
        <v>6823</v>
      </c>
      <c r="W3136">
        <v>0</v>
      </c>
      <c r="X3136">
        <v>0</v>
      </c>
      <c r="AM3136" t="s">
        <v>129</v>
      </c>
      <c r="AN3136" t="s">
        <v>130</v>
      </c>
      <c r="AP3136" t="s">
        <v>41</v>
      </c>
      <c r="AT3136" t="s">
        <v>45</v>
      </c>
      <c r="AU3136" t="s">
        <v>46</v>
      </c>
      <c r="AW3136" t="s">
        <v>48</v>
      </c>
      <c r="AY3136" t="s">
        <v>50</v>
      </c>
      <c r="AZ3136" t="s">
        <v>51</v>
      </c>
      <c r="BA3136" t="s">
        <v>52</v>
      </c>
    </row>
    <row r="3137" spans="1:76" x14ac:dyDescent="0.2">
      <c r="A3137" t="s">
        <v>10729</v>
      </c>
      <c r="B3137" t="s">
        <v>5455</v>
      </c>
      <c r="C3137" t="s">
        <v>6454</v>
      </c>
      <c r="D3137" t="s">
        <v>1350</v>
      </c>
      <c r="E3137" t="s">
        <v>10733</v>
      </c>
      <c r="F3137" t="s">
        <v>180</v>
      </c>
      <c r="G3137" t="str">
        <f>HYPERLINK("https://www.ozon.ru/context/detail/id/231618666/#57497019")</f>
        <v>https://www.ozon.ru/context/detail/id/231618666/#57497019</v>
      </c>
      <c r="H3137" t="s">
        <v>228</v>
      </c>
      <c r="I3137" t="s">
        <v>512</v>
      </c>
      <c r="J3137" t="str">
        <f>HYPERLINK("https://www.ozon.ru/context/client_opinion/ClientGuid//")</f>
        <v>https://www.ozon.ru/context/client_opinion/ClientGuid//</v>
      </c>
      <c r="N3137" t="s">
        <v>183</v>
      </c>
      <c r="O3137" t="s">
        <v>1350</v>
      </c>
      <c r="P3137" t="str">
        <f>HYPERLINK("https://www.ozon.ru/context/detail/id/231618666/")</f>
        <v>https://www.ozon.ru/context/detail/id/231618666/</v>
      </c>
      <c r="R3137" t="s">
        <v>184</v>
      </c>
      <c r="S3137" t="s">
        <v>125</v>
      </c>
      <c r="W3137">
        <v>0</v>
      </c>
      <c r="X3137">
        <v>0</v>
      </c>
      <c r="AH3137">
        <v>3</v>
      </c>
      <c r="AM3137" t="s">
        <v>129</v>
      </c>
      <c r="AN3137" t="s">
        <v>130</v>
      </c>
      <c r="AP3137" t="s">
        <v>41</v>
      </c>
      <c r="AZ3137" t="s">
        <v>51</v>
      </c>
      <c r="BA3137" t="s">
        <v>52</v>
      </c>
      <c r="BK3137" t="s">
        <v>62</v>
      </c>
      <c r="BL3137" t="s">
        <v>63</v>
      </c>
    </row>
    <row r="3138" spans="1:76" x14ac:dyDescent="0.2">
      <c r="A3138" t="s">
        <v>10729</v>
      </c>
      <c r="B3138" t="s">
        <v>5459</v>
      </c>
      <c r="C3138" t="s">
        <v>10734</v>
      </c>
      <c r="D3138" t="s">
        <v>10735</v>
      </c>
      <c r="E3138" t="s">
        <v>10736</v>
      </c>
      <c r="F3138" t="s">
        <v>180</v>
      </c>
      <c r="G3138" t="str">
        <f>HYPERLINK("https://market.yandex.ru/product/905117748/reviews?id=134063297")</f>
        <v>https://market.yandex.ru/product/905117748/reviews?id=134063297</v>
      </c>
      <c r="H3138" t="s">
        <v>119</v>
      </c>
      <c r="I3138" t="s">
        <v>10737</v>
      </c>
      <c r="J3138" t="str">
        <f>HYPERLINK("https://market.yandex.ru/user/73buucat7vnafajzqecwcw30gw/reviews")</f>
        <v>https://market.yandex.ru/user/73buucat7vnafajzqecwcw30gw/reviews</v>
      </c>
      <c r="L3138" t="s">
        <v>121</v>
      </c>
      <c r="N3138" t="s">
        <v>611</v>
      </c>
      <c r="O3138" t="s">
        <v>10735</v>
      </c>
      <c r="P3138" t="str">
        <f>HYPERLINK("https://market.yandex.ru/product/905117748")</f>
        <v>https://market.yandex.ru/product/905117748</v>
      </c>
      <c r="R3138" t="s">
        <v>184</v>
      </c>
      <c r="S3138" t="s">
        <v>125</v>
      </c>
      <c r="T3138" t="s">
        <v>169</v>
      </c>
      <c r="U3138" t="s">
        <v>169</v>
      </c>
      <c r="W3138">
        <v>0</v>
      </c>
      <c r="X3138">
        <v>0</v>
      </c>
      <c r="AH3138">
        <v>4</v>
      </c>
      <c r="AM3138" t="s">
        <v>129</v>
      </c>
      <c r="AN3138" t="s">
        <v>130</v>
      </c>
      <c r="AP3138" t="s">
        <v>41</v>
      </c>
      <c r="AT3138" t="s">
        <v>45</v>
      </c>
      <c r="AU3138" t="s">
        <v>46</v>
      </c>
      <c r="AW3138" t="s">
        <v>48</v>
      </c>
      <c r="AY3138" t="s">
        <v>50</v>
      </c>
      <c r="AZ3138" t="s">
        <v>51</v>
      </c>
      <c r="BB3138" t="s">
        <v>53</v>
      </c>
    </row>
    <row r="3139" spans="1:76" x14ac:dyDescent="0.2">
      <c r="A3139" t="s">
        <v>10729</v>
      </c>
      <c r="B3139" t="s">
        <v>10410</v>
      </c>
      <c r="C3139" t="s">
        <v>10738</v>
      </c>
      <c r="D3139" t="s">
        <v>10739</v>
      </c>
      <c r="E3139" t="s">
        <v>10740</v>
      </c>
      <c r="F3139" t="s">
        <v>180</v>
      </c>
      <c r="G3139" t="str">
        <f>HYPERLINK("https://www.wildberries.ru/catalog/31155527/detail.aspx?targetUrl=ES#Comments")</f>
        <v>https://www.wildberries.ru/catalog/31155527/detail.aspx?targetUrl=ES#Comments</v>
      </c>
      <c r="H3139" t="s">
        <v>119</v>
      </c>
      <c r="I3139" t="s">
        <v>2131</v>
      </c>
      <c r="J3139" t="str">
        <f>HYPERLINK("https://www.wildberries.ru/profile/w7TDssOkw7PCu8KzwrbCtsKzwrPCscKzwrc=")</f>
        <v>https://www.wildberries.ru/profile/w7TDssOkw7PCu8KzwrbCtsKzwrPCscKzwrc=</v>
      </c>
      <c r="L3139" t="s">
        <v>121</v>
      </c>
      <c r="N3139" t="s">
        <v>534</v>
      </c>
      <c r="O3139" t="s">
        <v>10741</v>
      </c>
      <c r="P3139" t="str">
        <f>HYPERLINK("https://www.wildberries.ru/catalog/23185399/detail.aspx")</f>
        <v>https://www.wildberries.ru/catalog/23185399/detail.aspx</v>
      </c>
      <c r="R3139" t="s">
        <v>184</v>
      </c>
      <c r="S3139" t="s">
        <v>125</v>
      </c>
      <c r="W3139">
        <v>0</v>
      </c>
      <c r="X3139">
        <v>0</v>
      </c>
      <c r="AH3139">
        <v>1</v>
      </c>
      <c r="AM3139" t="s">
        <v>129</v>
      </c>
      <c r="AN3139" t="s">
        <v>130</v>
      </c>
      <c r="AP3139" t="s">
        <v>41</v>
      </c>
      <c r="AZ3139" t="s">
        <v>51</v>
      </c>
      <c r="BA3139" t="s">
        <v>52</v>
      </c>
      <c r="BK3139" t="s">
        <v>62</v>
      </c>
    </row>
    <row r="3140" spans="1:76" x14ac:dyDescent="0.2">
      <c r="A3140" t="s">
        <v>10729</v>
      </c>
      <c r="B3140" t="s">
        <v>4576</v>
      </c>
      <c r="C3140" t="s">
        <v>10742</v>
      </c>
      <c r="D3140" t="s">
        <v>10044</v>
      </c>
      <c r="E3140" t="s">
        <v>10743</v>
      </c>
      <c r="F3140" t="s">
        <v>118</v>
      </c>
      <c r="G3140" t="str">
        <f>HYPERLINK("https://vk.com/wall-22935147_368172?reply=368175")</f>
        <v>https://vk.com/wall-22935147_368172?reply=368175</v>
      </c>
      <c r="H3140" t="s">
        <v>228</v>
      </c>
      <c r="I3140" t="s">
        <v>6887</v>
      </c>
      <c r="J3140" t="str">
        <f>HYPERLINK("http://vk.com/id358374226")</f>
        <v>http://vk.com/id358374226</v>
      </c>
      <c r="K3140">
        <v>3</v>
      </c>
      <c r="L3140" t="s">
        <v>121</v>
      </c>
      <c r="M3140">
        <v>119</v>
      </c>
      <c r="N3140" t="s">
        <v>122</v>
      </c>
      <c r="O3140" t="s">
        <v>1093</v>
      </c>
      <c r="P3140" t="str">
        <f>HYPERLINK("http://vk.com/club22935147")</f>
        <v>http://vk.com/club22935147</v>
      </c>
      <c r="Q3140">
        <v>8943</v>
      </c>
      <c r="R3140" t="s">
        <v>124</v>
      </c>
      <c r="S3140" t="s">
        <v>125</v>
      </c>
      <c r="T3140" t="s">
        <v>169</v>
      </c>
      <c r="U3140" t="s">
        <v>169</v>
      </c>
      <c r="AM3140" t="s">
        <v>129</v>
      </c>
      <c r="AN3140" t="s">
        <v>130</v>
      </c>
      <c r="AP3140" t="s">
        <v>41</v>
      </c>
      <c r="AT3140" t="s">
        <v>45</v>
      </c>
      <c r="AZ3140" t="s">
        <v>51</v>
      </c>
      <c r="BA3140" t="s">
        <v>52</v>
      </c>
      <c r="BL3140" t="s">
        <v>63</v>
      </c>
    </row>
    <row r="3141" spans="1:76" x14ac:dyDescent="0.2">
      <c r="A3141" t="s">
        <v>10729</v>
      </c>
      <c r="B3141" t="s">
        <v>10744</v>
      </c>
      <c r="C3141" t="s">
        <v>10745</v>
      </c>
      <c r="D3141" t="s">
        <v>10044</v>
      </c>
      <c r="E3141" t="s">
        <v>10746</v>
      </c>
      <c r="F3141" t="s">
        <v>118</v>
      </c>
      <c r="G3141" t="str">
        <f>HYPERLINK("https://vk.com/wall-22935147_368172?reply=368173")</f>
        <v>https://vk.com/wall-22935147_368172?reply=368173</v>
      </c>
      <c r="H3141" t="s">
        <v>119</v>
      </c>
      <c r="I3141" t="s">
        <v>5021</v>
      </c>
      <c r="J3141" t="str">
        <f>HYPERLINK("http://vk.com/id514754539")</f>
        <v>http://vk.com/id514754539</v>
      </c>
      <c r="K3141">
        <v>57</v>
      </c>
      <c r="L3141" t="s">
        <v>121</v>
      </c>
      <c r="M3141">
        <v>20</v>
      </c>
      <c r="N3141" t="s">
        <v>122</v>
      </c>
      <c r="O3141" t="s">
        <v>1093</v>
      </c>
      <c r="P3141" t="str">
        <f>HYPERLINK("http://vk.com/club22935147")</f>
        <v>http://vk.com/club22935147</v>
      </c>
      <c r="Q3141">
        <v>8943</v>
      </c>
      <c r="R3141" t="s">
        <v>124</v>
      </c>
      <c r="S3141" t="s">
        <v>125</v>
      </c>
      <c r="T3141" t="s">
        <v>153</v>
      </c>
      <c r="U3141" t="s">
        <v>1851</v>
      </c>
      <c r="W3141">
        <v>0</v>
      </c>
      <c r="X3141">
        <v>0</v>
      </c>
      <c r="AM3141" t="s">
        <v>129</v>
      </c>
      <c r="AN3141" t="s">
        <v>130</v>
      </c>
      <c r="AP3141" t="s">
        <v>41</v>
      </c>
      <c r="AT3141" t="s">
        <v>45</v>
      </c>
      <c r="AZ3141" t="s">
        <v>51</v>
      </c>
      <c r="BA3141" t="s">
        <v>52</v>
      </c>
      <c r="BL3141" t="s">
        <v>63</v>
      </c>
    </row>
    <row r="3142" spans="1:76" x14ac:dyDescent="0.2">
      <c r="A3142" t="s">
        <v>10729</v>
      </c>
      <c r="B3142" t="s">
        <v>4580</v>
      </c>
      <c r="C3142" t="s">
        <v>10747</v>
      </c>
      <c r="D3142" t="s">
        <v>129</v>
      </c>
      <c r="E3142" t="s">
        <v>10748</v>
      </c>
      <c r="F3142" t="s">
        <v>180</v>
      </c>
      <c r="G3142" t="str">
        <f>HYPERLINK("https://vk.com/wall-22935147_368172")</f>
        <v>https://vk.com/wall-22935147_368172</v>
      </c>
      <c r="H3142" t="s">
        <v>228</v>
      </c>
      <c r="I3142" t="s">
        <v>10451</v>
      </c>
      <c r="J3142" t="str">
        <f>HYPERLINK("http://vk.com/id255586024")</f>
        <v>http://vk.com/id255586024</v>
      </c>
      <c r="K3142">
        <v>475</v>
      </c>
      <c r="L3142" t="s">
        <v>151</v>
      </c>
      <c r="N3142" t="s">
        <v>122</v>
      </c>
      <c r="O3142" t="s">
        <v>1093</v>
      </c>
      <c r="P3142" t="str">
        <f>HYPERLINK("http://vk.com/club22935147")</f>
        <v>http://vk.com/club22935147</v>
      </c>
      <c r="Q3142">
        <v>8943</v>
      </c>
      <c r="R3142" t="s">
        <v>124</v>
      </c>
      <c r="S3142" t="s">
        <v>125</v>
      </c>
      <c r="T3142" t="s">
        <v>1819</v>
      </c>
      <c r="U3142" t="s">
        <v>10453</v>
      </c>
      <c r="W3142">
        <v>14</v>
      </c>
      <c r="X3142">
        <v>14</v>
      </c>
      <c r="AE3142">
        <v>17</v>
      </c>
      <c r="AF3142">
        <v>0</v>
      </c>
      <c r="AG3142">
        <v>1828</v>
      </c>
      <c r="AM3142" t="s">
        <v>129</v>
      </c>
      <c r="AN3142" t="s">
        <v>130</v>
      </c>
      <c r="AP3142" t="s">
        <v>41</v>
      </c>
      <c r="AT3142" t="s">
        <v>45</v>
      </c>
      <c r="AZ3142" t="s">
        <v>51</v>
      </c>
      <c r="BA3142" t="s">
        <v>52</v>
      </c>
      <c r="BL3142" t="s">
        <v>63</v>
      </c>
      <c r="BM3142" t="s">
        <v>64</v>
      </c>
      <c r="BO3142" t="s">
        <v>66</v>
      </c>
      <c r="BX3142" t="s">
        <v>75</v>
      </c>
    </row>
    <row r="3143" spans="1:76" x14ac:dyDescent="0.2">
      <c r="A3143" t="s">
        <v>10729</v>
      </c>
      <c r="B3143" t="s">
        <v>4580</v>
      </c>
      <c r="C3143" t="s">
        <v>10749</v>
      </c>
      <c r="D3143" t="s">
        <v>5174</v>
      </c>
      <c r="E3143" t="s">
        <v>5429</v>
      </c>
      <c r="F3143" t="s">
        <v>118</v>
      </c>
      <c r="G3143" t="str">
        <f>HYPERLINK("https://www.wildberries.ru/catalog/18944219/detail.aspx?targetUrl=ES#Comments")</f>
        <v>https://www.wildberries.ru/catalog/18944219/detail.aspx?targetUrl=ES#Comments</v>
      </c>
      <c r="H3143" t="s">
        <v>119</v>
      </c>
      <c r="I3143" t="s">
        <v>3023</v>
      </c>
      <c r="J3143" t="str">
        <f>HYPERLINK("https://www.wildberries.ru/brands/trikolor")</f>
        <v>https://www.wildberries.ru/brands/trikolor</v>
      </c>
      <c r="L3143" t="s">
        <v>340</v>
      </c>
      <c r="N3143" t="s">
        <v>534</v>
      </c>
      <c r="O3143" t="s">
        <v>5174</v>
      </c>
      <c r="P3143" t="str">
        <f>HYPERLINK("https://www.wildberries.ru/catalog/14067782/detail.aspx")</f>
        <v>https://www.wildberries.ru/catalog/14067782/detail.aspx</v>
      </c>
      <c r="R3143" t="s">
        <v>184</v>
      </c>
      <c r="S3143" t="s">
        <v>125</v>
      </c>
      <c r="AM3143" t="s">
        <v>129</v>
      </c>
      <c r="AN3143" t="s">
        <v>130</v>
      </c>
      <c r="BI3143" t="s">
        <v>60</v>
      </c>
    </row>
    <row r="3144" spans="1:76" x14ac:dyDescent="0.2">
      <c r="A3144" t="s">
        <v>10729</v>
      </c>
      <c r="B3144" t="s">
        <v>4580</v>
      </c>
      <c r="C3144" t="s">
        <v>10749</v>
      </c>
      <c r="D3144" t="s">
        <v>5174</v>
      </c>
      <c r="E3144" t="s">
        <v>10750</v>
      </c>
      <c r="F3144" t="s">
        <v>180</v>
      </c>
      <c r="G3144" t="str">
        <f>HYPERLINK("https://www.wildberries.ru/catalog/18944219/detail.aspx?targetUrl=ES#Comments")</f>
        <v>https://www.wildberries.ru/catalog/18944219/detail.aspx?targetUrl=ES#Comments</v>
      </c>
      <c r="H3144" t="s">
        <v>181</v>
      </c>
      <c r="I3144" t="s">
        <v>7896</v>
      </c>
      <c r="J3144" t="str">
        <f>HYPERLINK("https://www.wildberries.ru/profile/w7TDssOkw7PCu8KwwrbCucK3wrHCtMK2wrk=")</f>
        <v>https://www.wildberries.ru/profile/w7TDssOkw7PCu8KwwrbCucK3wrHCtMK2wrk=</v>
      </c>
      <c r="L3144" t="s">
        <v>121</v>
      </c>
      <c r="N3144" t="s">
        <v>534</v>
      </c>
      <c r="O3144" t="s">
        <v>5174</v>
      </c>
      <c r="P3144" t="str">
        <f>HYPERLINK("https://www.wildberries.ru/catalog/14067782/detail.aspx")</f>
        <v>https://www.wildberries.ru/catalog/14067782/detail.aspx</v>
      </c>
      <c r="R3144" t="s">
        <v>184</v>
      </c>
      <c r="S3144" t="s">
        <v>125</v>
      </c>
      <c r="W3144">
        <v>0</v>
      </c>
      <c r="X3144">
        <v>0</v>
      </c>
      <c r="AH3144">
        <v>5</v>
      </c>
      <c r="AM3144" t="s">
        <v>129</v>
      </c>
      <c r="AN3144" t="s">
        <v>130</v>
      </c>
      <c r="AP3144" t="s">
        <v>41</v>
      </c>
      <c r="AT3144" t="s">
        <v>45</v>
      </c>
      <c r="AZ3144" t="s">
        <v>51</v>
      </c>
      <c r="BA3144" t="s">
        <v>52</v>
      </c>
      <c r="BK3144" t="s">
        <v>62</v>
      </c>
      <c r="BL3144" t="s">
        <v>63</v>
      </c>
    </row>
    <row r="3145" spans="1:76" x14ac:dyDescent="0.2">
      <c r="A3145" t="s">
        <v>10729</v>
      </c>
      <c r="B3145" t="s">
        <v>792</v>
      </c>
      <c r="C3145" t="s">
        <v>10751</v>
      </c>
      <c r="D3145" t="s">
        <v>10752</v>
      </c>
      <c r="E3145" t="s">
        <v>10753</v>
      </c>
      <c r="F3145" t="s">
        <v>180</v>
      </c>
      <c r="G3145" t="str">
        <f>HYPERLINK("https://www.wildberries.ru/catalog/12381956/detail.aspx?targetUrl=ES#Comments")</f>
        <v>https://www.wildberries.ru/catalog/12381956/detail.aspx?targetUrl=ES#Comments</v>
      </c>
      <c r="H3145" t="s">
        <v>181</v>
      </c>
      <c r="I3145" t="s">
        <v>10754</v>
      </c>
      <c r="J3145" t="str">
        <f>HYPERLINK("https://www.wildberries.ru/profile/w7TDssOkw7PCu8KzwrTCuMK1wrnCsMK2wrk=")</f>
        <v>https://www.wildberries.ru/profile/w7TDssOkw7PCu8KzwrTCuMK1wrnCsMK2wrk=</v>
      </c>
      <c r="L3145" t="s">
        <v>121</v>
      </c>
      <c r="N3145" t="s">
        <v>534</v>
      </c>
      <c r="O3145" t="s">
        <v>10752</v>
      </c>
      <c r="P3145" t="str">
        <f>HYPERLINK("https://www.wildberries.ru/catalog/9296820/detail.aspx")</f>
        <v>https://www.wildberries.ru/catalog/9296820/detail.aspx</v>
      </c>
      <c r="R3145" t="s">
        <v>184</v>
      </c>
      <c r="S3145" t="s">
        <v>125</v>
      </c>
      <c r="W3145">
        <v>0</v>
      </c>
      <c r="X3145">
        <v>0</v>
      </c>
      <c r="AH3145">
        <v>5</v>
      </c>
      <c r="AM3145" t="s">
        <v>129</v>
      </c>
      <c r="AN3145" t="s">
        <v>130</v>
      </c>
      <c r="AP3145" t="s">
        <v>41</v>
      </c>
      <c r="AT3145" t="s">
        <v>45</v>
      </c>
      <c r="AZ3145" t="s">
        <v>51</v>
      </c>
      <c r="BA3145" t="s">
        <v>52</v>
      </c>
      <c r="BL3145" t="s">
        <v>63</v>
      </c>
    </row>
    <row r="3146" spans="1:76" x14ac:dyDescent="0.2">
      <c r="A3146" t="s">
        <v>10729</v>
      </c>
      <c r="B3146" t="s">
        <v>792</v>
      </c>
      <c r="C3146" t="s">
        <v>10755</v>
      </c>
      <c r="D3146" t="s">
        <v>2052</v>
      </c>
      <c r="E3146" t="s">
        <v>10756</v>
      </c>
      <c r="F3146" t="s">
        <v>180</v>
      </c>
      <c r="G3146" t="str">
        <f>HYPERLINK("https://www.wildberries.ru/catalog/17288086/detail.aspx?targetUrl=ES#Comments")</f>
        <v>https://www.wildberries.ru/catalog/17288086/detail.aspx?targetUrl=ES#Comments</v>
      </c>
      <c r="H3146" t="s">
        <v>181</v>
      </c>
      <c r="I3146" t="s">
        <v>7896</v>
      </c>
      <c r="J3146" t="str">
        <f>HYPERLINK("https://www.wildberries.ru/profile/w7TDssOkw7PCu8KwwrbCucK3wrHCtMK2wrk=")</f>
        <v>https://www.wildberries.ru/profile/w7TDssOkw7PCu8KwwrbCucK3wrHCtMK2wrk=</v>
      </c>
      <c r="L3146" t="s">
        <v>121</v>
      </c>
      <c r="N3146" t="s">
        <v>534</v>
      </c>
      <c r="O3146" t="s">
        <v>2052</v>
      </c>
      <c r="P3146" t="str">
        <f>HYPERLINK("https://www.wildberries.ru/catalog/12874318/detail.aspx")</f>
        <v>https://www.wildberries.ru/catalog/12874318/detail.aspx</v>
      </c>
      <c r="R3146" t="s">
        <v>184</v>
      </c>
      <c r="S3146" t="s">
        <v>125</v>
      </c>
      <c r="W3146">
        <v>0</v>
      </c>
      <c r="X3146">
        <v>0</v>
      </c>
      <c r="AH3146">
        <v>5</v>
      </c>
      <c r="AM3146" t="s">
        <v>129</v>
      </c>
      <c r="AN3146" t="s">
        <v>130</v>
      </c>
      <c r="AP3146" t="s">
        <v>41</v>
      </c>
      <c r="AZ3146" t="s">
        <v>51</v>
      </c>
      <c r="BA3146" t="s">
        <v>52</v>
      </c>
      <c r="BK3146" t="s">
        <v>62</v>
      </c>
      <c r="BL3146" t="s">
        <v>63</v>
      </c>
    </row>
    <row r="3147" spans="1:76" x14ac:dyDescent="0.2">
      <c r="A3147" t="s">
        <v>10729</v>
      </c>
      <c r="B3147" t="s">
        <v>2908</v>
      </c>
      <c r="C3147" t="s">
        <v>10757</v>
      </c>
      <c r="D3147" t="s">
        <v>204</v>
      </c>
      <c r="E3147" t="s">
        <v>10758</v>
      </c>
      <c r="F3147" t="s">
        <v>180</v>
      </c>
      <c r="G3147" t="str">
        <f>HYPERLINK("https://play.google.com/store/apps/details?id=ru.iflex.android.a3colortv&amp;reviewId=gp:AOqpTOE8waB4PsNNHvQyKNstr14YPqS_mS25QbqKivvUyxekMnXEbt8QAaEi4267eodeweHBFPz9-9derA46JQ")</f>
        <v>https://play.google.com/store/apps/details?id=ru.iflex.android.a3colortv&amp;reviewId=gp:AOqpTOE8waB4PsNNHvQyKNstr14YPqS_mS25QbqKivvUyxekMnXEbt8QAaEi4267eodeweHBFPz9-9derA46JQ</v>
      </c>
      <c r="H3147" t="s">
        <v>228</v>
      </c>
      <c r="I3147" t="s">
        <v>10759</v>
      </c>
      <c r="J3147" t="str">
        <f>HYPERLINK("https://plus.google.com/116479948459967979826")</f>
        <v>https://plus.google.com/116479948459967979826</v>
      </c>
      <c r="L3147" t="s">
        <v>121</v>
      </c>
      <c r="N3147" t="s">
        <v>207</v>
      </c>
      <c r="O3147" t="s">
        <v>204</v>
      </c>
      <c r="P3147" t="str">
        <f>HYPERLINK("https://play.google.com/store/apps/details?id=ru.iflex.android.a3colortv&amp;hl=ru")</f>
        <v>https://play.google.com/store/apps/details?id=ru.iflex.android.a3colortv&amp;hl=ru</v>
      </c>
      <c r="R3147" t="s">
        <v>184</v>
      </c>
      <c r="S3147" t="s">
        <v>125</v>
      </c>
      <c r="W3147">
        <v>0</v>
      </c>
      <c r="X3147">
        <v>0</v>
      </c>
      <c r="AH3147">
        <v>1</v>
      </c>
      <c r="AM3147" t="s">
        <v>129</v>
      </c>
      <c r="AN3147" t="s">
        <v>130</v>
      </c>
      <c r="AP3147" t="s">
        <v>41</v>
      </c>
      <c r="AY3147" t="s">
        <v>50</v>
      </c>
      <c r="AZ3147" t="s">
        <v>51</v>
      </c>
      <c r="BB3147" t="s">
        <v>53</v>
      </c>
      <c r="BQ3147" t="s">
        <v>68</v>
      </c>
    </row>
    <row r="3148" spans="1:76" x14ac:dyDescent="0.2">
      <c r="A3148" t="s">
        <v>10729</v>
      </c>
      <c r="B3148" t="s">
        <v>1297</v>
      </c>
      <c r="C3148" t="s">
        <v>10760</v>
      </c>
      <c r="D3148" t="s">
        <v>10761</v>
      </c>
      <c r="E3148" t="s">
        <v>10762</v>
      </c>
      <c r="F3148" t="s">
        <v>118</v>
      </c>
      <c r="G3148" t="str">
        <f>HYPERLINK("https://www.facebook.com/story.php?story_fbid=819272612307811&amp;id=100026752384812&amp;comment_id=819360405632365")</f>
        <v>https://www.facebook.com/story.php?story_fbid=819272612307811&amp;id=100026752384812&amp;comment_id=819360405632365</v>
      </c>
      <c r="H3148" t="s">
        <v>228</v>
      </c>
      <c r="I3148" t="s">
        <v>10763</v>
      </c>
      <c r="J3148" t="str">
        <f>HYPERLINK("https://www.facebook.com/100005232220326")</f>
        <v>https://www.facebook.com/100005232220326</v>
      </c>
      <c r="K3148">
        <v>0</v>
      </c>
      <c r="L3148" t="s">
        <v>151</v>
      </c>
      <c r="N3148" t="s">
        <v>305</v>
      </c>
      <c r="O3148" t="s">
        <v>10764</v>
      </c>
      <c r="P3148" t="str">
        <f>HYPERLINK("https://www.facebook.com/100026752384812")</f>
        <v>https://www.facebook.com/100026752384812</v>
      </c>
      <c r="Q3148">
        <v>6512</v>
      </c>
      <c r="R3148" t="s">
        <v>124</v>
      </c>
      <c r="W3148">
        <v>0</v>
      </c>
      <c r="X3148">
        <v>0</v>
      </c>
      <c r="AE3148">
        <v>0</v>
      </c>
      <c r="AM3148" t="s">
        <v>129</v>
      </c>
      <c r="AN3148" t="s">
        <v>130</v>
      </c>
      <c r="AP3148" t="s">
        <v>41</v>
      </c>
      <c r="AU3148" t="s">
        <v>46</v>
      </c>
      <c r="AZ3148" t="s">
        <v>51</v>
      </c>
      <c r="BA3148" t="s">
        <v>52</v>
      </c>
    </row>
    <row r="3149" spans="1:76" x14ac:dyDescent="0.2">
      <c r="A3149" t="s">
        <v>10729</v>
      </c>
      <c r="B3149" t="s">
        <v>202</v>
      </c>
      <c r="C3149" t="s">
        <v>10765</v>
      </c>
      <c r="D3149" t="s">
        <v>10766</v>
      </c>
      <c r="E3149" t="s">
        <v>10767</v>
      </c>
      <c r="F3149" t="s">
        <v>118</v>
      </c>
      <c r="G3149" t="str">
        <f>HYPERLINK("https://vk.com/wall-18496184_2707347?reply=2707577&amp;thread=2707385")</f>
        <v>https://vk.com/wall-18496184_2707347?reply=2707577&amp;thread=2707385</v>
      </c>
      <c r="H3149" t="s">
        <v>119</v>
      </c>
      <c r="I3149" t="s">
        <v>10768</v>
      </c>
      <c r="J3149" t="str">
        <f>HYPERLINK("http://vk.com/id4361932")</f>
        <v>http://vk.com/id4361932</v>
      </c>
      <c r="K3149">
        <v>658</v>
      </c>
      <c r="L3149" t="s">
        <v>151</v>
      </c>
      <c r="M3149">
        <v>33</v>
      </c>
      <c r="N3149" t="s">
        <v>122</v>
      </c>
      <c r="O3149" t="s">
        <v>7552</v>
      </c>
      <c r="P3149" t="str">
        <f>HYPERLINK("http://vk.com/club18496184")</f>
        <v>http://vk.com/club18496184</v>
      </c>
      <c r="Q3149">
        <v>3429849</v>
      </c>
      <c r="R3149" t="s">
        <v>124</v>
      </c>
      <c r="S3149" t="s">
        <v>125</v>
      </c>
      <c r="T3149" t="s">
        <v>989</v>
      </c>
      <c r="U3149" t="s">
        <v>990</v>
      </c>
      <c r="AM3149" t="s">
        <v>129</v>
      </c>
      <c r="AN3149" t="s">
        <v>130</v>
      </c>
      <c r="AP3149" t="s">
        <v>41</v>
      </c>
      <c r="AU3149" t="s">
        <v>46</v>
      </c>
      <c r="AZ3149" t="s">
        <v>51</v>
      </c>
      <c r="BA3149" t="s">
        <v>52</v>
      </c>
    </row>
    <row r="3150" spans="1:76" x14ac:dyDescent="0.2">
      <c r="A3150" t="s">
        <v>10729</v>
      </c>
      <c r="B3150" t="s">
        <v>1930</v>
      </c>
      <c r="C3150" t="s">
        <v>10769</v>
      </c>
      <c r="D3150" t="s">
        <v>10770</v>
      </c>
      <c r="E3150" t="s">
        <v>10771</v>
      </c>
      <c r="F3150" t="s">
        <v>118</v>
      </c>
      <c r="G3150" t="str">
        <f>HYPERLINK("https://vk.com/wall-18496184_2707448?reply=2707569&amp;thread=2707494")</f>
        <v>https://vk.com/wall-18496184_2707448?reply=2707569&amp;thread=2707494</v>
      </c>
      <c r="H3150" t="s">
        <v>119</v>
      </c>
      <c r="I3150" t="s">
        <v>10772</v>
      </c>
      <c r="J3150" t="str">
        <f>HYPERLINK("http://vk.com/id97724627")</f>
        <v>http://vk.com/id97724627</v>
      </c>
      <c r="K3150">
        <v>255</v>
      </c>
      <c r="L3150" t="s">
        <v>151</v>
      </c>
      <c r="N3150" t="s">
        <v>122</v>
      </c>
      <c r="O3150" t="s">
        <v>7552</v>
      </c>
      <c r="P3150" t="str">
        <f>HYPERLINK("http://vk.com/club18496184")</f>
        <v>http://vk.com/club18496184</v>
      </c>
      <c r="Q3150">
        <v>3429849</v>
      </c>
      <c r="R3150" t="s">
        <v>124</v>
      </c>
      <c r="S3150" t="s">
        <v>125</v>
      </c>
      <c r="AM3150" t="s">
        <v>129</v>
      </c>
      <c r="AN3150" t="s">
        <v>130</v>
      </c>
      <c r="AP3150" t="s">
        <v>41</v>
      </c>
      <c r="AU3150" t="s">
        <v>46</v>
      </c>
      <c r="AZ3150" t="s">
        <v>51</v>
      </c>
      <c r="BA3150" t="s">
        <v>52</v>
      </c>
      <c r="BL3150" t="s">
        <v>63</v>
      </c>
    </row>
    <row r="3151" spans="1:76" x14ac:dyDescent="0.2">
      <c r="A3151" t="s">
        <v>10729</v>
      </c>
      <c r="B3151" t="s">
        <v>1930</v>
      </c>
      <c r="C3151" t="s">
        <v>10773</v>
      </c>
      <c r="D3151" t="s">
        <v>10774</v>
      </c>
      <c r="E3151" t="s">
        <v>10775</v>
      </c>
      <c r="F3151" t="s">
        <v>180</v>
      </c>
      <c r="G3151" t="str">
        <f>HYPERLINK("https://www.wildberries.ru/catalog/25688707/detail.aspx?targetUrl=ES#Comments")</f>
        <v>https://www.wildberries.ru/catalog/25688707/detail.aspx?targetUrl=ES#Comments</v>
      </c>
      <c r="H3151" t="s">
        <v>181</v>
      </c>
      <c r="I3151" t="s">
        <v>2894</v>
      </c>
      <c r="J3151" t="str">
        <f>HYPERLINK("https://www.wildberries.ru/profile/w7TDssOkw7PCu8K4wrPCt8K2wrPCssK1")</f>
        <v>https://www.wildberries.ru/profile/w7TDssOkw7PCu8K4wrPCt8K2wrPCssK1</v>
      </c>
      <c r="L3151" t="s">
        <v>151</v>
      </c>
      <c r="N3151" t="s">
        <v>534</v>
      </c>
      <c r="O3151" t="s">
        <v>821</v>
      </c>
      <c r="P3151" t="str">
        <f>HYPERLINK("https://www.wildberries.ru/catalog/18948116/detail.aspx")</f>
        <v>https://www.wildberries.ru/catalog/18948116/detail.aspx</v>
      </c>
      <c r="R3151" t="s">
        <v>184</v>
      </c>
      <c r="S3151" t="s">
        <v>125</v>
      </c>
      <c r="W3151">
        <v>0</v>
      </c>
      <c r="X3151">
        <v>0</v>
      </c>
      <c r="AH3151">
        <v>5</v>
      </c>
      <c r="AM3151" t="s">
        <v>129</v>
      </c>
      <c r="AN3151" t="s">
        <v>130</v>
      </c>
      <c r="AP3151" t="s">
        <v>41</v>
      </c>
      <c r="AZ3151" t="s">
        <v>51</v>
      </c>
      <c r="BA3151" t="s">
        <v>52</v>
      </c>
      <c r="BK3151" t="s">
        <v>62</v>
      </c>
      <c r="BL3151" t="s">
        <v>63</v>
      </c>
    </row>
    <row r="3152" spans="1:76" x14ac:dyDescent="0.2">
      <c r="A3152" t="s">
        <v>10729</v>
      </c>
      <c r="B3152" t="s">
        <v>6654</v>
      </c>
      <c r="C3152" t="s">
        <v>10776</v>
      </c>
      <c r="D3152" t="s">
        <v>3210</v>
      </c>
      <c r="E3152" t="s">
        <v>10777</v>
      </c>
      <c r="F3152" t="s">
        <v>180</v>
      </c>
      <c r="G3152" t="str">
        <f>HYPERLINK("https://telesputnik.ru/forum/viewtopic.php?f=36&amp;t=75646&amp;start=2060#p2479429")</f>
        <v>https://telesputnik.ru/forum/viewtopic.php?f=36&amp;t=75646&amp;start=2060#p2479429</v>
      </c>
      <c r="H3152" t="s">
        <v>119</v>
      </c>
      <c r="I3152" t="s">
        <v>10778</v>
      </c>
      <c r="J3152" t="str">
        <f>HYPERLINK("https://telesputnik.ru/forum/memberlist.php?mode=viewprofile&amp;u=87495")</f>
        <v>https://telesputnik.ru/forum/memberlist.php?mode=viewprofile&amp;u=87495</v>
      </c>
      <c r="N3152" t="s">
        <v>335</v>
      </c>
      <c r="O3152" t="s">
        <v>909</v>
      </c>
      <c r="P3152" t="str">
        <f>HYPERLINK("https://telesputnik.ru/forum/viewforum.php?f=36")</f>
        <v>https://telesputnik.ru/forum/viewforum.php?f=36</v>
      </c>
      <c r="R3152" t="s">
        <v>295</v>
      </c>
      <c r="S3152" t="s">
        <v>125</v>
      </c>
      <c r="AM3152" t="s">
        <v>129</v>
      </c>
      <c r="AN3152" t="s">
        <v>130</v>
      </c>
      <c r="AP3152" t="s">
        <v>41</v>
      </c>
      <c r="AU3152" t="s">
        <v>46</v>
      </c>
      <c r="AZ3152" t="s">
        <v>51</v>
      </c>
      <c r="BA3152" t="s">
        <v>52</v>
      </c>
    </row>
    <row r="3153" spans="1:69" x14ac:dyDescent="0.2">
      <c r="A3153" t="s">
        <v>10729</v>
      </c>
      <c r="B3153" t="s">
        <v>4632</v>
      </c>
      <c r="C3153" t="s">
        <v>10779</v>
      </c>
      <c r="D3153" t="s">
        <v>10766</v>
      </c>
      <c r="E3153" t="s">
        <v>10780</v>
      </c>
      <c r="F3153" t="s">
        <v>118</v>
      </c>
      <c r="G3153" t="str">
        <f>HYPERLINK("https://vk.com/wall-18496184_2707347?reply=2707560&amp;thread=2707372")</f>
        <v>https://vk.com/wall-18496184_2707347?reply=2707560&amp;thread=2707372</v>
      </c>
      <c r="H3153" t="s">
        <v>119</v>
      </c>
      <c r="I3153" t="s">
        <v>10781</v>
      </c>
      <c r="J3153" t="str">
        <f>HYPERLINK("http://vk.com/id367616217")</f>
        <v>http://vk.com/id367616217</v>
      </c>
      <c r="K3153">
        <v>253</v>
      </c>
      <c r="L3153" t="s">
        <v>121</v>
      </c>
      <c r="M3153">
        <v>18</v>
      </c>
      <c r="N3153" t="s">
        <v>122</v>
      </c>
      <c r="O3153" t="s">
        <v>7552</v>
      </c>
      <c r="P3153" t="str">
        <f>HYPERLINK("http://vk.com/club18496184")</f>
        <v>http://vk.com/club18496184</v>
      </c>
      <c r="Q3153">
        <v>3429849</v>
      </c>
      <c r="R3153" t="s">
        <v>124</v>
      </c>
      <c r="S3153" t="s">
        <v>125</v>
      </c>
      <c r="T3153" t="s">
        <v>3158</v>
      </c>
      <c r="U3153" t="s">
        <v>10782</v>
      </c>
      <c r="AM3153" t="s">
        <v>129</v>
      </c>
      <c r="AN3153" t="s">
        <v>130</v>
      </c>
      <c r="AP3153" t="s">
        <v>41</v>
      </c>
      <c r="AU3153" t="s">
        <v>46</v>
      </c>
      <c r="AZ3153" t="s">
        <v>51</v>
      </c>
      <c r="BA3153" t="s">
        <v>52</v>
      </c>
    </row>
    <row r="3154" spans="1:69" x14ac:dyDescent="0.2">
      <c r="A3154" t="s">
        <v>10729</v>
      </c>
      <c r="B3154" t="s">
        <v>2941</v>
      </c>
      <c r="C3154" t="s">
        <v>10783</v>
      </c>
      <c r="D3154" t="s">
        <v>10770</v>
      </c>
      <c r="E3154" t="s">
        <v>10784</v>
      </c>
      <c r="F3154" t="s">
        <v>118</v>
      </c>
      <c r="G3154" t="str">
        <f>HYPERLINK("https://vk.com/wall-18496184_2707448?reply=2707546&amp;thread=2707476")</f>
        <v>https://vk.com/wall-18496184_2707448?reply=2707546&amp;thread=2707476</v>
      </c>
      <c r="H3154" t="s">
        <v>119</v>
      </c>
      <c r="I3154" t="s">
        <v>10785</v>
      </c>
      <c r="J3154" t="str">
        <f>HYPERLINK("http://vk.com/id237491474")</f>
        <v>http://vk.com/id237491474</v>
      </c>
      <c r="K3154">
        <v>266</v>
      </c>
      <c r="L3154" t="s">
        <v>121</v>
      </c>
      <c r="N3154" t="s">
        <v>122</v>
      </c>
      <c r="O3154" t="s">
        <v>7552</v>
      </c>
      <c r="P3154" t="str">
        <f>HYPERLINK("http://vk.com/club18496184")</f>
        <v>http://vk.com/club18496184</v>
      </c>
      <c r="Q3154">
        <v>3429849</v>
      </c>
      <c r="R3154" t="s">
        <v>124</v>
      </c>
      <c r="S3154" t="s">
        <v>125</v>
      </c>
      <c r="T3154" t="s">
        <v>627</v>
      </c>
      <c r="U3154" t="s">
        <v>846</v>
      </c>
      <c r="AM3154" t="s">
        <v>129</v>
      </c>
      <c r="AN3154" t="s">
        <v>130</v>
      </c>
      <c r="AP3154" t="s">
        <v>41</v>
      </c>
      <c r="AU3154" t="s">
        <v>46</v>
      </c>
      <c r="AZ3154" t="s">
        <v>51</v>
      </c>
      <c r="BA3154" t="s">
        <v>52</v>
      </c>
    </row>
    <row r="3155" spans="1:69" x14ac:dyDescent="0.2">
      <c r="A3155" t="s">
        <v>10729</v>
      </c>
      <c r="B3155" t="s">
        <v>4157</v>
      </c>
      <c r="C3155" t="s">
        <v>10776</v>
      </c>
      <c r="D3155" t="s">
        <v>3210</v>
      </c>
      <c r="E3155" t="s">
        <v>10786</v>
      </c>
      <c r="F3155" t="s">
        <v>180</v>
      </c>
      <c r="G3155" t="str">
        <f>HYPERLINK("https://telesputnik.ru/forum/viewtopic.php?f=36&amp;t=75646&amp;start=2060#p2479426")</f>
        <v>https://telesputnik.ru/forum/viewtopic.php?f=36&amp;t=75646&amp;start=2060#p2479426</v>
      </c>
      <c r="H3155" t="s">
        <v>119</v>
      </c>
      <c r="I3155" t="s">
        <v>10778</v>
      </c>
      <c r="J3155" t="str">
        <f>HYPERLINK("https://telesputnik.ru/forum/memberlist.php?mode=viewprofile&amp;u=87495")</f>
        <v>https://telesputnik.ru/forum/memberlist.php?mode=viewprofile&amp;u=87495</v>
      </c>
      <c r="N3155" t="s">
        <v>335</v>
      </c>
      <c r="O3155" t="s">
        <v>909</v>
      </c>
      <c r="P3155" t="str">
        <f>HYPERLINK("https://telesputnik.ru/forum/viewforum.php?f=36")</f>
        <v>https://telesputnik.ru/forum/viewforum.php?f=36</v>
      </c>
      <c r="R3155" t="s">
        <v>295</v>
      </c>
      <c r="S3155" t="s">
        <v>125</v>
      </c>
      <c r="AM3155" t="s">
        <v>129</v>
      </c>
      <c r="AN3155" t="s">
        <v>130</v>
      </c>
      <c r="AP3155" t="s">
        <v>41</v>
      </c>
      <c r="AU3155" t="s">
        <v>46</v>
      </c>
      <c r="AZ3155" t="s">
        <v>51</v>
      </c>
      <c r="BA3155" t="s">
        <v>52</v>
      </c>
      <c r="BL3155" t="s">
        <v>63</v>
      </c>
      <c r="BQ3155" t="s">
        <v>68</v>
      </c>
    </row>
    <row r="3156" spans="1:69" x14ac:dyDescent="0.2">
      <c r="A3156" t="s">
        <v>10729</v>
      </c>
      <c r="B3156" t="s">
        <v>2947</v>
      </c>
      <c r="C3156" t="s">
        <v>10719</v>
      </c>
      <c r="D3156" t="s">
        <v>1186</v>
      </c>
      <c r="E3156" t="s">
        <v>10787</v>
      </c>
      <c r="F3156" t="s">
        <v>180</v>
      </c>
      <c r="G3156" t="str">
        <f>HYPERLINK("https://4pda.to/forum/index.php?showtopic=916407&amp;st=3080#entry107813799")</f>
        <v>https://4pda.to/forum/index.php?showtopic=916407&amp;st=3080#entry107813799</v>
      </c>
      <c r="H3156" t="s">
        <v>119</v>
      </c>
      <c r="I3156" t="s">
        <v>10788</v>
      </c>
      <c r="J3156" t="str">
        <f>HYPERLINK("https://4pda.to/forum/index.php?showuser=3857146")</f>
        <v>https://4pda.to/forum/index.php?showuser=3857146</v>
      </c>
      <c r="N3156" t="s">
        <v>293</v>
      </c>
      <c r="O3156" t="s">
        <v>1189</v>
      </c>
      <c r="P3156" t="str">
        <f>HYPERLINK("https://4pda.to/forum/index.php?showforum=319")</f>
        <v>https://4pda.to/forum/index.php?showforum=319</v>
      </c>
      <c r="R3156" t="s">
        <v>295</v>
      </c>
      <c r="S3156" t="s">
        <v>125</v>
      </c>
      <c r="AM3156" t="s">
        <v>129</v>
      </c>
      <c r="AN3156" t="s">
        <v>130</v>
      </c>
      <c r="AP3156" t="s">
        <v>41</v>
      </c>
      <c r="AU3156" t="s">
        <v>46</v>
      </c>
      <c r="AZ3156" t="s">
        <v>51</v>
      </c>
      <c r="BA3156" t="s">
        <v>52</v>
      </c>
    </row>
    <row r="3157" spans="1:69" x14ac:dyDescent="0.2">
      <c r="A3157" t="s">
        <v>10729</v>
      </c>
      <c r="B3157" t="s">
        <v>9568</v>
      </c>
      <c r="C3157" t="s">
        <v>10789</v>
      </c>
      <c r="D3157" t="s">
        <v>986</v>
      </c>
      <c r="E3157" t="s">
        <v>10790</v>
      </c>
      <c r="F3157" t="s">
        <v>118</v>
      </c>
      <c r="G3157" t="str">
        <f>HYPERLINK("https://vk.com/wall-27863223_291396?w=wall-27863223_291396_r291454")</f>
        <v>https://vk.com/wall-27863223_291396?w=wall-27863223_291396_r291454</v>
      </c>
      <c r="H3157" t="s">
        <v>181</v>
      </c>
      <c r="I3157" t="s">
        <v>988</v>
      </c>
      <c r="J3157" t="str">
        <f>HYPERLINK("http://vk.com/id227266248")</f>
        <v>http://vk.com/id227266248</v>
      </c>
      <c r="K3157">
        <v>7</v>
      </c>
      <c r="L3157" t="s">
        <v>121</v>
      </c>
      <c r="M3157">
        <v>39</v>
      </c>
      <c r="N3157" t="s">
        <v>122</v>
      </c>
      <c r="O3157" t="s">
        <v>175</v>
      </c>
      <c r="P3157" t="str">
        <f>HYPERLINK("http://vk.com/club27863223")</f>
        <v>http://vk.com/club27863223</v>
      </c>
      <c r="Q3157">
        <v>134698</v>
      </c>
      <c r="R3157" t="s">
        <v>124</v>
      </c>
      <c r="S3157" t="s">
        <v>125</v>
      </c>
      <c r="T3157" t="s">
        <v>989</v>
      </c>
      <c r="U3157" t="s">
        <v>990</v>
      </c>
      <c r="W3157">
        <v>0</v>
      </c>
      <c r="X3157">
        <v>0</v>
      </c>
      <c r="AM3157" t="s">
        <v>129</v>
      </c>
      <c r="AN3157" t="s">
        <v>130</v>
      </c>
      <c r="AP3157" t="s">
        <v>41</v>
      </c>
      <c r="AU3157" t="s">
        <v>46</v>
      </c>
      <c r="AZ3157" t="s">
        <v>51</v>
      </c>
      <c r="BA3157" t="s">
        <v>52</v>
      </c>
    </row>
    <row r="3158" spans="1:69" x14ac:dyDescent="0.2">
      <c r="A3158" t="s">
        <v>10729</v>
      </c>
      <c r="B3158" t="s">
        <v>3670</v>
      </c>
      <c r="C3158" t="s">
        <v>10791</v>
      </c>
      <c r="D3158" t="s">
        <v>129</v>
      </c>
      <c r="E3158" t="s">
        <v>10792</v>
      </c>
      <c r="F3158" t="s">
        <v>180</v>
      </c>
      <c r="G3158" t="str">
        <f>HYPERLINK("https://vk.com/wall187196939_3504")</f>
        <v>https://vk.com/wall187196939_3504</v>
      </c>
      <c r="H3158" t="s">
        <v>119</v>
      </c>
      <c r="I3158" t="s">
        <v>10793</v>
      </c>
      <c r="J3158" t="str">
        <f>HYPERLINK("http://vk.com/id187196939")</f>
        <v>http://vk.com/id187196939</v>
      </c>
      <c r="K3158">
        <v>585</v>
      </c>
      <c r="L3158" t="s">
        <v>151</v>
      </c>
      <c r="M3158">
        <v>20</v>
      </c>
      <c r="N3158" t="s">
        <v>122</v>
      </c>
      <c r="O3158" t="s">
        <v>10793</v>
      </c>
      <c r="P3158" t="str">
        <f>HYPERLINK("http://vk.com/id187196939")</f>
        <v>http://vk.com/id187196939</v>
      </c>
      <c r="Q3158">
        <v>585</v>
      </c>
      <c r="R3158" t="s">
        <v>124</v>
      </c>
      <c r="S3158" t="s">
        <v>125</v>
      </c>
      <c r="T3158" t="s">
        <v>169</v>
      </c>
      <c r="U3158" t="s">
        <v>169</v>
      </c>
      <c r="W3158">
        <v>26</v>
      </c>
      <c r="X3158">
        <v>26</v>
      </c>
      <c r="AE3158">
        <v>1</v>
      </c>
      <c r="AF3158">
        <v>0</v>
      </c>
      <c r="AG3158">
        <v>288</v>
      </c>
      <c r="AJ3158" t="s">
        <v>10794</v>
      </c>
      <c r="AK3158" t="s">
        <v>129</v>
      </c>
      <c r="AL3158" t="str">
        <f>HYPERLINK("https://vk.com/images/video/thumbs/video_x.png")</f>
        <v>https://vk.com/images/video/thumbs/video_x.png</v>
      </c>
      <c r="AM3158" t="s">
        <v>129</v>
      </c>
      <c r="AN3158" t="s">
        <v>130</v>
      </c>
      <c r="AP3158" t="s">
        <v>41</v>
      </c>
      <c r="AU3158" t="s">
        <v>46</v>
      </c>
      <c r="AZ3158" t="s">
        <v>51</v>
      </c>
      <c r="BA3158" t="s">
        <v>52</v>
      </c>
    </row>
    <row r="3159" spans="1:69" x14ac:dyDescent="0.2">
      <c r="A3159" t="s">
        <v>10729</v>
      </c>
      <c r="B3159" t="s">
        <v>1396</v>
      </c>
      <c r="C3159" t="s">
        <v>10789</v>
      </c>
      <c r="D3159" t="s">
        <v>986</v>
      </c>
      <c r="E3159" t="s">
        <v>1016</v>
      </c>
      <c r="F3159" t="s">
        <v>118</v>
      </c>
      <c r="G3159" t="str">
        <f>HYPERLINK("https://vk.com/wall-27863223_291396?w=wall-27863223_291396_r291452")</f>
        <v>https://vk.com/wall-27863223_291396?w=wall-27863223_291396_r291452</v>
      </c>
      <c r="H3159" t="s">
        <v>119</v>
      </c>
      <c r="I3159" t="s">
        <v>988</v>
      </c>
      <c r="J3159" t="str">
        <f>HYPERLINK("http://vk.com/id227266248")</f>
        <v>http://vk.com/id227266248</v>
      </c>
      <c r="K3159">
        <v>7</v>
      </c>
      <c r="L3159" t="s">
        <v>121</v>
      </c>
      <c r="M3159">
        <v>39</v>
      </c>
      <c r="N3159" t="s">
        <v>122</v>
      </c>
      <c r="O3159" t="s">
        <v>175</v>
      </c>
      <c r="P3159" t="str">
        <f>HYPERLINK("http://vk.com/club27863223")</f>
        <v>http://vk.com/club27863223</v>
      </c>
      <c r="Q3159">
        <v>134698</v>
      </c>
      <c r="R3159" t="s">
        <v>124</v>
      </c>
      <c r="S3159" t="s">
        <v>125</v>
      </c>
      <c r="T3159" t="s">
        <v>989</v>
      </c>
      <c r="U3159" t="s">
        <v>990</v>
      </c>
      <c r="W3159">
        <v>0</v>
      </c>
      <c r="X3159">
        <v>0</v>
      </c>
      <c r="AM3159" t="s">
        <v>129</v>
      </c>
      <c r="AN3159" t="s">
        <v>130</v>
      </c>
      <c r="AP3159" t="s">
        <v>41</v>
      </c>
      <c r="AU3159" t="s">
        <v>46</v>
      </c>
      <c r="AZ3159" t="s">
        <v>51</v>
      </c>
      <c r="BA3159" t="s">
        <v>52</v>
      </c>
    </row>
    <row r="3160" spans="1:69" x14ac:dyDescent="0.2">
      <c r="A3160" t="s">
        <v>10729</v>
      </c>
      <c r="B3160" t="s">
        <v>5576</v>
      </c>
      <c r="C3160" t="s">
        <v>10738</v>
      </c>
      <c r="D3160" t="s">
        <v>10739</v>
      </c>
      <c r="E3160" t="s">
        <v>10795</v>
      </c>
      <c r="F3160" t="s">
        <v>180</v>
      </c>
      <c r="G3160" t="str">
        <f>HYPERLINK("https://www.wildberries.ru/catalog/31155527/detail.aspx?targetUrl=ES#Comments")</f>
        <v>https://www.wildberries.ru/catalog/31155527/detail.aspx?targetUrl=ES#Comments</v>
      </c>
      <c r="H3160" t="s">
        <v>119</v>
      </c>
      <c r="I3160" t="s">
        <v>3082</v>
      </c>
      <c r="J3160" t="str">
        <f>HYPERLINK("https://www.wildberries.ru/profile/w7TDssOkw7PCu8KzwrTCucK4wrjCscK5wrY=")</f>
        <v>https://www.wildberries.ru/profile/w7TDssOkw7PCu8KzwrTCucK4wrjCscK5wrY=</v>
      </c>
      <c r="L3160" t="s">
        <v>151</v>
      </c>
      <c r="N3160" t="s">
        <v>534</v>
      </c>
      <c r="O3160" t="s">
        <v>10741</v>
      </c>
      <c r="P3160" t="str">
        <f>HYPERLINK("https://www.wildberries.ru/catalog/23185399/detail.aspx")</f>
        <v>https://www.wildberries.ru/catalog/23185399/detail.aspx</v>
      </c>
      <c r="R3160" t="s">
        <v>184</v>
      </c>
      <c r="S3160" t="s">
        <v>125</v>
      </c>
      <c r="W3160">
        <v>0</v>
      </c>
      <c r="X3160">
        <v>0</v>
      </c>
      <c r="AH3160">
        <v>1</v>
      </c>
      <c r="AM3160" t="s">
        <v>129</v>
      </c>
      <c r="AN3160" t="s">
        <v>130</v>
      </c>
      <c r="AP3160" t="s">
        <v>41</v>
      </c>
      <c r="AZ3160" t="s">
        <v>51</v>
      </c>
      <c r="BA3160" t="s">
        <v>52</v>
      </c>
      <c r="BK3160" t="s">
        <v>62</v>
      </c>
    </row>
    <row r="3161" spans="1:69" x14ac:dyDescent="0.2">
      <c r="A3161" t="s">
        <v>10729</v>
      </c>
      <c r="B3161" t="s">
        <v>10482</v>
      </c>
      <c r="C3161" t="s">
        <v>10796</v>
      </c>
      <c r="D3161" t="s">
        <v>6979</v>
      </c>
      <c r="E3161" t="s">
        <v>10797</v>
      </c>
      <c r="F3161" t="s">
        <v>180</v>
      </c>
      <c r="G3161" t="str">
        <f>HYPERLINK("https://forums.overclockers.ru/viewtopic.php?f=104&amp;t=175161&amp;start=15440#p17419547")</f>
        <v>https://forums.overclockers.ru/viewtopic.php?f=104&amp;t=175161&amp;start=15440#p17419547</v>
      </c>
      <c r="H3161" t="s">
        <v>119</v>
      </c>
      <c r="I3161" t="s">
        <v>10798</v>
      </c>
      <c r="J3161" t="str">
        <f>HYPERLINK("https://forums.overclockers.ru/memberlist.php?mode=viewprofile&amp;u=368767")</f>
        <v>https://forums.overclockers.ru/memberlist.php?mode=viewprofile&amp;u=368767</v>
      </c>
      <c r="N3161" t="s">
        <v>6982</v>
      </c>
      <c r="O3161" t="s">
        <v>6983</v>
      </c>
      <c r="P3161" t="str">
        <f>HYPERLINK("https://forums.overclockers.ru/viewforum.php?f=104")</f>
        <v>https://forums.overclockers.ru/viewforum.php?f=104</v>
      </c>
      <c r="R3161" t="s">
        <v>295</v>
      </c>
      <c r="S3161" t="s">
        <v>125</v>
      </c>
      <c r="AM3161" t="s">
        <v>129</v>
      </c>
      <c r="AN3161" t="s">
        <v>130</v>
      </c>
      <c r="AP3161" t="s">
        <v>41</v>
      </c>
      <c r="AT3161" t="s">
        <v>45</v>
      </c>
      <c r="AZ3161" t="s">
        <v>51</v>
      </c>
      <c r="BA3161" t="s">
        <v>52</v>
      </c>
      <c r="BL3161" t="s">
        <v>63</v>
      </c>
    </row>
    <row r="3162" spans="1:69" x14ac:dyDescent="0.2">
      <c r="A3162" t="s">
        <v>10729</v>
      </c>
      <c r="B3162" t="s">
        <v>4209</v>
      </c>
      <c r="C3162" t="s">
        <v>10799</v>
      </c>
      <c r="D3162" t="s">
        <v>1350</v>
      </c>
      <c r="E3162" t="s">
        <v>10800</v>
      </c>
      <c r="F3162" t="s">
        <v>180</v>
      </c>
      <c r="G3162" t="str">
        <f>HYPERLINK("https://www.ozon.ru/context/detail/id/254490142/#57453121")</f>
        <v>https://www.ozon.ru/context/detail/id/254490142/#57453121</v>
      </c>
      <c r="H3162" t="s">
        <v>181</v>
      </c>
      <c r="I3162" t="s">
        <v>10801</v>
      </c>
      <c r="J3162" t="str">
        <f>HYPERLINK("https://www.ozon.ru/context/client_opinion/ClientGuid/5d66b6ad-2680-468d-965d-04c281dbb5a8/")</f>
        <v>https://www.ozon.ru/context/client_opinion/ClientGuid/5d66b6ad-2680-468d-965d-04c281dbb5a8/</v>
      </c>
      <c r="L3162" t="s">
        <v>151</v>
      </c>
      <c r="N3162" t="s">
        <v>183</v>
      </c>
      <c r="O3162" t="s">
        <v>1350</v>
      </c>
      <c r="P3162" t="str">
        <f>HYPERLINK("https://www.ozon.ru/context/detail/id/254490142/")</f>
        <v>https://www.ozon.ru/context/detail/id/254490142/</v>
      </c>
      <c r="R3162" t="s">
        <v>184</v>
      </c>
      <c r="S3162" t="s">
        <v>125</v>
      </c>
      <c r="W3162">
        <v>0</v>
      </c>
      <c r="X3162">
        <v>0</v>
      </c>
      <c r="AH3162">
        <v>5</v>
      </c>
      <c r="AJ3162" t="s">
        <v>129</v>
      </c>
      <c r="AK3162" t="s">
        <v>129</v>
      </c>
      <c r="AL3162" t="str">
        <f>HYPERLINK("https://cdn1.ozone.ru/s3/rp-photo-3/54d48a01-8d8c-4b10-a648-6ee5bfdea088.jpeg")</f>
        <v>https://cdn1.ozone.ru/s3/rp-photo-3/54d48a01-8d8c-4b10-a648-6ee5bfdea088.jpeg</v>
      </c>
      <c r="AM3162" t="s">
        <v>129</v>
      </c>
      <c r="AN3162" t="s">
        <v>130</v>
      </c>
      <c r="AP3162" t="s">
        <v>41</v>
      </c>
      <c r="AZ3162" t="s">
        <v>51</v>
      </c>
      <c r="BA3162" t="s">
        <v>52</v>
      </c>
      <c r="BK3162" t="s">
        <v>62</v>
      </c>
      <c r="BL3162" t="s">
        <v>63</v>
      </c>
    </row>
    <row r="3163" spans="1:69" x14ac:dyDescent="0.2">
      <c r="A3163" t="s">
        <v>10729</v>
      </c>
      <c r="B3163" t="s">
        <v>2433</v>
      </c>
      <c r="C3163" t="s">
        <v>10802</v>
      </c>
      <c r="D3163" t="s">
        <v>10803</v>
      </c>
      <c r="E3163" t="s">
        <v>10804</v>
      </c>
      <c r="F3163" t="s">
        <v>118</v>
      </c>
      <c r="G3163" t="str">
        <f>HYPERLINK("https://vk.com/wall-110345357_7536?reply=7557")</f>
        <v>https://vk.com/wall-110345357_7536?reply=7557</v>
      </c>
      <c r="H3163" t="s">
        <v>119</v>
      </c>
      <c r="I3163" t="s">
        <v>3544</v>
      </c>
      <c r="J3163" t="str">
        <f>HYPERLINK("http://vk.com/id651980680")</f>
        <v>http://vk.com/id651980680</v>
      </c>
      <c r="K3163">
        <v>0</v>
      </c>
      <c r="L3163" t="s">
        <v>121</v>
      </c>
      <c r="M3163">
        <v>58</v>
      </c>
      <c r="N3163" t="s">
        <v>122</v>
      </c>
      <c r="O3163" t="s">
        <v>7434</v>
      </c>
      <c r="P3163" t="str">
        <f>HYPERLINK("http://vk.com/club110345357")</f>
        <v>http://vk.com/club110345357</v>
      </c>
      <c r="Q3163">
        <v>11425</v>
      </c>
      <c r="R3163" t="s">
        <v>124</v>
      </c>
      <c r="S3163" t="s">
        <v>125</v>
      </c>
      <c r="T3163" t="s">
        <v>487</v>
      </c>
      <c r="U3163" t="s">
        <v>488</v>
      </c>
      <c r="AM3163" t="s">
        <v>129</v>
      </c>
      <c r="AN3163" t="s">
        <v>130</v>
      </c>
      <c r="AP3163" t="s">
        <v>41</v>
      </c>
      <c r="AT3163" t="s">
        <v>45</v>
      </c>
      <c r="AY3163" t="s">
        <v>50</v>
      </c>
      <c r="AZ3163" t="s">
        <v>51</v>
      </c>
      <c r="BD3163" t="s">
        <v>55</v>
      </c>
    </row>
    <row r="3164" spans="1:69" x14ac:dyDescent="0.2">
      <c r="A3164" t="s">
        <v>10729</v>
      </c>
      <c r="B3164" t="s">
        <v>872</v>
      </c>
      <c r="C3164" t="s">
        <v>6116</v>
      </c>
      <c r="D3164" t="s">
        <v>6117</v>
      </c>
      <c r="E3164" t="s">
        <v>10805</v>
      </c>
      <c r="F3164" t="s">
        <v>180</v>
      </c>
      <c r="G3164" t="str">
        <f>HYPERLINK("https://www.ozon.ru/context/detail/id/216273320/#57449027")</f>
        <v>https://www.ozon.ru/context/detail/id/216273320/#57449027</v>
      </c>
      <c r="H3164" t="s">
        <v>119</v>
      </c>
      <c r="I3164" t="s">
        <v>6660</v>
      </c>
      <c r="J3164" t="str">
        <f>HYPERLINK("https://www.ozon.ru/context/client_opinion/ClientGuid/4b69c8c0-833b-478e-842a-8249663bb00d/")</f>
        <v>https://www.ozon.ru/context/client_opinion/ClientGuid/4b69c8c0-833b-478e-842a-8249663bb00d/</v>
      </c>
      <c r="L3164" t="s">
        <v>121</v>
      </c>
      <c r="N3164" t="s">
        <v>183</v>
      </c>
      <c r="O3164" t="s">
        <v>6117</v>
      </c>
      <c r="P3164" t="str">
        <f>HYPERLINK("https://www.ozon.ru/context/detail/id/216273320/")</f>
        <v>https://www.ozon.ru/context/detail/id/216273320/</v>
      </c>
      <c r="R3164" t="s">
        <v>184</v>
      </c>
      <c r="S3164" t="s">
        <v>125</v>
      </c>
      <c r="W3164">
        <v>0</v>
      </c>
      <c r="X3164">
        <v>0</v>
      </c>
      <c r="AH3164">
        <v>1</v>
      </c>
      <c r="AM3164" t="s">
        <v>129</v>
      </c>
      <c r="AN3164" t="s">
        <v>130</v>
      </c>
      <c r="AP3164" t="s">
        <v>41</v>
      </c>
      <c r="AT3164" t="s">
        <v>45</v>
      </c>
      <c r="AZ3164" t="s">
        <v>51</v>
      </c>
      <c r="BA3164" t="s">
        <v>52</v>
      </c>
    </row>
    <row r="3165" spans="1:69" x14ac:dyDescent="0.2">
      <c r="A3165" t="s">
        <v>10729</v>
      </c>
      <c r="B3165" t="s">
        <v>2955</v>
      </c>
      <c r="C3165" t="s">
        <v>10806</v>
      </c>
      <c r="D3165" t="s">
        <v>10807</v>
      </c>
      <c r="E3165" t="s">
        <v>10808</v>
      </c>
      <c r="F3165" t="s">
        <v>118</v>
      </c>
      <c r="G3165" t="str">
        <f>HYPERLINK("https://www.youtube.com/watch?v=FJlf9WLH-FU&amp;lc=UgwAMsyPHI2FDSf-6RR4AaABAg")</f>
        <v>https://www.youtube.com/watch?v=FJlf9WLH-FU&amp;lc=UgwAMsyPHI2FDSf-6RR4AaABAg</v>
      </c>
      <c r="H3165" t="s">
        <v>119</v>
      </c>
      <c r="I3165" t="s">
        <v>6812</v>
      </c>
      <c r="J3165" t="str">
        <f>HYPERLINK("https://www.youtube.com/channel/UChhizSPTNecDrCIMD4yX_uA")</f>
        <v>https://www.youtube.com/channel/UChhizSPTNecDrCIMD4yX_uA</v>
      </c>
      <c r="K3165">
        <v>4</v>
      </c>
      <c r="L3165" t="s">
        <v>151</v>
      </c>
      <c r="N3165" t="s">
        <v>248</v>
      </c>
      <c r="O3165" t="s">
        <v>10809</v>
      </c>
      <c r="P3165" t="str">
        <f>HYPERLINK("https://www.youtube.com/channel/UCHD26RHEqaKH7POXv36DQ_Q")</f>
        <v>https://www.youtube.com/channel/UCHD26RHEqaKH7POXv36DQ_Q</v>
      </c>
      <c r="Q3165">
        <v>23400</v>
      </c>
      <c r="R3165" t="s">
        <v>124</v>
      </c>
      <c r="S3165" t="s">
        <v>125</v>
      </c>
      <c r="W3165">
        <v>1</v>
      </c>
      <c r="X3165">
        <v>1</v>
      </c>
      <c r="AE3165">
        <v>0</v>
      </c>
      <c r="AM3165" t="s">
        <v>129</v>
      </c>
      <c r="AN3165" t="s">
        <v>130</v>
      </c>
      <c r="AP3165" t="s">
        <v>41</v>
      </c>
      <c r="AU3165" t="s">
        <v>46</v>
      </c>
      <c r="AZ3165" t="s">
        <v>51</v>
      </c>
      <c r="BA3165" t="s">
        <v>52</v>
      </c>
      <c r="BL3165" t="s">
        <v>63</v>
      </c>
    </row>
    <row r="3166" spans="1:69" x14ac:dyDescent="0.2">
      <c r="A3166" t="s">
        <v>10729</v>
      </c>
      <c r="B3166" t="s">
        <v>6682</v>
      </c>
      <c r="C3166" t="s">
        <v>10810</v>
      </c>
      <c r="D3166" t="s">
        <v>10811</v>
      </c>
      <c r="E3166" t="s">
        <v>10812</v>
      </c>
      <c r="F3166" t="s">
        <v>118</v>
      </c>
      <c r="G3166" t="str">
        <f>HYPERLINK("https://vk.com/wall-4804560_2617786?reply=2618798&amp;thread=2617899")</f>
        <v>https://vk.com/wall-4804560_2617786?reply=2618798&amp;thread=2617899</v>
      </c>
      <c r="H3166" t="s">
        <v>228</v>
      </c>
      <c r="I3166" t="s">
        <v>10813</v>
      </c>
      <c r="J3166" t="str">
        <f>HYPERLINK("http://vk.com/id473180638")</f>
        <v>http://vk.com/id473180638</v>
      </c>
      <c r="K3166">
        <v>15</v>
      </c>
      <c r="L3166" t="s">
        <v>151</v>
      </c>
      <c r="M3166">
        <v>41</v>
      </c>
      <c r="N3166" t="s">
        <v>122</v>
      </c>
      <c r="O3166" t="s">
        <v>10814</v>
      </c>
      <c r="P3166" t="str">
        <f>HYPERLINK("http://vk.com/club4804560")</f>
        <v>http://vk.com/club4804560</v>
      </c>
      <c r="Q3166">
        <v>65179</v>
      </c>
      <c r="R3166" t="s">
        <v>124</v>
      </c>
      <c r="S3166" t="s">
        <v>125</v>
      </c>
      <c r="T3166" t="s">
        <v>169</v>
      </c>
      <c r="U3166" t="s">
        <v>169</v>
      </c>
      <c r="AM3166" t="s">
        <v>129</v>
      </c>
      <c r="AN3166" t="s">
        <v>130</v>
      </c>
      <c r="AP3166" t="s">
        <v>41</v>
      </c>
      <c r="AT3166" t="s">
        <v>45</v>
      </c>
      <c r="AZ3166" t="s">
        <v>51</v>
      </c>
      <c r="BA3166" t="s">
        <v>52</v>
      </c>
    </row>
    <row r="3167" spans="1:69" x14ac:dyDescent="0.2">
      <c r="A3167" t="s">
        <v>10729</v>
      </c>
      <c r="B3167" t="s">
        <v>7696</v>
      </c>
      <c r="C3167" t="s">
        <v>10815</v>
      </c>
      <c r="D3167" t="s">
        <v>10811</v>
      </c>
      <c r="E3167" t="s">
        <v>10816</v>
      </c>
      <c r="F3167" t="s">
        <v>118</v>
      </c>
      <c r="G3167" t="str">
        <f>HYPERLINK("https://vk.com/wall-4804560_2617786?reply=2618790&amp;thread=2617899")</f>
        <v>https://vk.com/wall-4804560_2617786?reply=2618790&amp;thread=2617899</v>
      </c>
      <c r="H3167" t="s">
        <v>181</v>
      </c>
      <c r="I3167" t="s">
        <v>10817</v>
      </c>
      <c r="J3167" t="str">
        <f>HYPERLINK("http://vk.com/id3162892")</f>
        <v>http://vk.com/id3162892</v>
      </c>
      <c r="K3167">
        <v>289</v>
      </c>
      <c r="L3167" t="s">
        <v>121</v>
      </c>
      <c r="N3167" t="s">
        <v>122</v>
      </c>
      <c r="O3167" t="s">
        <v>10814</v>
      </c>
      <c r="P3167" t="str">
        <f>HYPERLINK("http://vk.com/club4804560")</f>
        <v>http://vk.com/club4804560</v>
      </c>
      <c r="Q3167">
        <v>65179</v>
      </c>
      <c r="R3167" t="s">
        <v>124</v>
      </c>
      <c r="S3167" t="s">
        <v>125</v>
      </c>
      <c r="T3167" t="s">
        <v>153</v>
      </c>
      <c r="U3167" t="s">
        <v>3361</v>
      </c>
      <c r="AM3167" t="s">
        <v>129</v>
      </c>
      <c r="AN3167" t="s">
        <v>130</v>
      </c>
      <c r="AP3167" t="s">
        <v>41</v>
      </c>
      <c r="AT3167" t="s">
        <v>45</v>
      </c>
      <c r="AZ3167" t="s">
        <v>51</v>
      </c>
      <c r="BA3167" t="s">
        <v>52</v>
      </c>
      <c r="BL3167" t="s">
        <v>63</v>
      </c>
      <c r="BO3167" t="s">
        <v>66</v>
      </c>
    </row>
    <row r="3168" spans="1:69" x14ac:dyDescent="0.2">
      <c r="A3168" t="s">
        <v>10729</v>
      </c>
      <c r="B3168" t="s">
        <v>3710</v>
      </c>
      <c r="C3168" t="s">
        <v>10818</v>
      </c>
      <c r="D3168" t="s">
        <v>129</v>
      </c>
      <c r="E3168" t="s">
        <v>10819</v>
      </c>
      <c r="F3168" t="s">
        <v>180</v>
      </c>
      <c r="G3168" t="str">
        <f>HYPERLINK("https://vk.com/wall-42402221_235409")</f>
        <v>https://vk.com/wall-42402221_235409</v>
      </c>
      <c r="H3168" t="s">
        <v>119</v>
      </c>
      <c r="I3168" t="s">
        <v>1264</v>
      </c>
      <c r="J3168" t="str">
        <f>HYPERLINK("http://vk.com/club42402221")</f>
        <v>http://vk.com/club42402221</v>
      </c>
      <c r="K3168">
        <v>546</v>
      </c>
      <c r="L3168" t="s">
        <v>340</v>
      </c>
      <c r="N3168" t="s">
        <v>122</v>
      </c>
      <c r="O3168" t="s">
        <v>1264</v>
      </c>
      <c r="P3168" t="str">
        <f>HYPERLINK("http://vk.com/club42402221")</f>
        <v>http://vk.com/club42402221</v>
      </c>
      <c r="Q3168">
        <v>546</v>
      </c>
      <c r="R3168" t="s">
        <v>124</v>
      </c>
      <c r="W3168">
        <v>0</v>
      </c>
      <c r="X3168">
        <v>0</v>
      </c>
      <c r="AE3168">
        <v>0</v>
      </c>
      <c r="AF3168">
        <v>0</v>
      </c>
      <c r="AG3168">
        <v>2</v>
      </c>
      <c r="AM3168" t="s">
        <v>129</v>
      </c>
      <c r="AN3168" t="s">
        <v>130</v>
      </c>
      <c r="AP3168" t="s">
        <v>41</v>
      </c>
      <c r="AZ3168" t="s">
        <v>51</v>
      </c>
      <c r="BA3168" t="s">
        <v>52</v>
      </c>
      <c r="BL3168" t="s">
        <v>63</v>
      </c>
    </row>
    <row r="3169" spans="1:69" x14ac:dyDescent="0.2">
      <c r="A3169" t="s">
        <v>10729</v>
      </c>
      <c r="B3169" t="s">
        <v>1969</v>
      </c>
      <c r="C3169" t="s">
        <v>10820</v>
      </c>
      <c r="D3169" t="s">
        <v>10821</v>
      </c>
      <c r="E3169" t="s">
        <v>10822</v>
      </c>
      <c r="F3169" t="s">
        <v>180</v>
      </c>
      <c r="G3169" t="str">
        <f>HYPERLINK("https://market.yandex.ru/product/751315966/reviews?id=134046694")</f>
        <v>https://market.yandex.ru/product/751315966/reviews?id=134046694</v>
      </c>
      <c r="H3169" t="s">
        <v>181</v>
      </c>
      <c r="I3169" t="s">
        <v>10823</v>
      </c>
      <c r="J3169" t="str">
        <f>HYPERLINK("https://market.yandex.ru/user/01j0rtj0yvz1jy19fu7a6r3b3c/reviews")</f>
        <v>https://market.yandex.ru/user/01j0rtj0yvz1jy19fu7a6r3b3c/reviews</v>
      </c>
      <c r="L3169" t="s">
        <v>121</v>
      </c>
      <c r="N3169" t="s">
        <v>611</v>
      </c>
      <c r="O3169" t="s">
        <v>10821</v>
      </c>
      <c r="P3169" t="str">
        <f>HYPERLINK("https://market.yandex.ru/product/751315966")</f>
        <v>https://market.yandex.ru/product/751315966</v>
      </c>
      <c r="R3169" t="s">
        <v>184</v>
      </c>
      <c r="S3169" t="s">
        <v>125</v>
      </c>
      <c r="T3169" t="s">
        <v>169</v>
      </c>
      <c r="U3169" t="s">
        <v>169</v>
      </c>
      <c r="W3169">
        <v>0</v>
      </c>
      <c r="X3169">
        <v>0</v>
      </c>
      <c r="AH3169">
        <v>5</v>
      </c>
      <c r="AM3169" t="s">
        <v>129</v>
      </c>
      <c r="AN3169" t="s">
        <v>130</v>
      </c>
      <c r="AP3169" t="s">
        <v>41</v>
      </c>
      <c r="AZ3169" t="s">
        <v>51</v>
      </c>
      <c r="BB3169" t="s">
        <v>53</v>
      </c>
      <c r="BL3169" t="s">
        <v>63</v>
      </c>
    </row>
    <row r="3170" spans="1:69" x14ac:dyDescent="0.2">
      <c r="A3170" t="s">
        <v>10729</v>
      </c>
      <c r="B3170" t="s">
        <v>10153</v>
      </c>
      <c r="C3170" t="s">
        <v>10824</v>
      </c>
      <c r="D3170" t="s">
        <v>204</v>
      </c>
      <c r="E3170" t="s">
        <v>10825</v>
      </c>
      <c r="F3170" t="s">
        <v>180</v>
      </c>
      <c r="G3170" t="str">
        <f>HYPERLINK("https://play.google.com/store/apps/details?id=ru.iflex.android.a3colortv&amp;reviewId=gp:AOqpTOHec73ZjhPyTZ-cv6tdQgUP6LC5ns58lvAh_JIglTZ77lNdq9AF09WYNnCBnGmL_MZAQcuqCZgFD87y0g")</f>
        <v>https://play.google.com/store/apps/details?id=ru.iflex.android.a3colortv&amp;reviewId=gp:AOqpTOHec73ZjhPyTZ-cv6tdQgUP6LC5ns58lvAh_JIglTZ77lNdq9AF09WYNnCBnGmL_MZAQcuqCZgFD87y0g</v>
      </c>
      <c r="H3170" t="s">
        <v>181</v>
      </c>
      <c r="I3170" t="s">
        <v>2137</v>
      </c>
      <c r="J3170" t="str">
        <f>HYPERLINK("https://plus.google.com/105856477619254036064")</f>
        <v>https://plus.google.com/105856477619254036064</v>
      </c>
      <c r="L3170" t="s">
        <v>121</v>
      </c>
      <c r="N3170" t="s">
        <v>207</v>
      </c>
      <c r="O3170" t="s">
        <v>204</v>
      </c>
      <c r="P3170" t="str">
        <f>HYPERLINK("https://play.google.com/store/apps/details?id=ru.iflex.android.a3colortv&amp;hl=ru")</f>
        <v>https://play.google.com/store/apps/details?id=ru.iflex.android.a3colortv&amp;hl=ru</v>
      </c>
      <c r="R3170" t="s">
        <v>184</v>
      </c>
      <c r="S3170" t="s">
        <v>125</v>
      </c>
      <c r="W3170">
        <v>0</v>
      </c>
      <c r="X3170">
        <v>0</v>
      </c>
      <c r="AH3170">
        <v>5</v>
      </c>
      <c r="AM3170" t="s">
        <v>129</v>
      </c>
      <c r="AN3170" t="s">
        <v>130</v>
      </c>
      <c r="AP3170" t="s">
        <v>41</v>
      </c>
      <c r="AZ3170" t="s">
        <v>51</v>
      </c>
      <c r="BA3170" t="s">
        <v>52</v>
      </c>
      <c r="BQ3170" t="s">
        <v>68</v>
      </c>
    </row>
    <row r="3171" spans="1:69" x14ac:dyDescent="0.2">
      <c r="A3171" t="s">
        <v>10729</v>
      </c>
      <c r="B3171" t="s">
        <v>2965</v>
      </c>
      <c r="C3171" t="s">
        <v>10826</v>
      </c>
      <c r="D3171" t="s">
        <v>10827</v>
      </c>
      <c r="E3171" t="s">
        <v>10828</v>
      </c>
      <c r="F3171" t="s">
        <v>118</v>
      </c>
      <c r="G3171" t="str">
        <f>HYPERLINK("https://vk.com/wall-167863263_79691?reply=79887&amp;thread=79816")</f>
        <v>https://vk.com/wall-167863263_79691?reply=79887&amp;thread=79816</v>
      </c>
      <c r="H3171" t="s">
        <v>119</v>
      </c>
      <c r="I3171" t="s">
        <v>10829</v>
      </c>
      <c r="J3171" t="str">
        <f>HYPERLINK("http://vk.com/id6180625")</f>
        <v>http://vk.com/id6180625</v>
      </c>
      <c r="K3171">
        <v>116</v>
      </c>
      <c r="L3171" t="s">
        <v>121</v>
      </c>
      <c r="M3171">
        <v>52</v>
      </c>
      <c r="N3171" t="s">
        <v>122</v>
      </c>
      <c r="O3171" t="s">
        <v>4060</v>
      </c>
      <c r="P3171" t="str">
        <f>HYPERLINK("http://vk.com/club167863263")</f>
        <v>http://vk.com/club167863263</v>
      </c>
      <c r="Q3171">
        <v>5569</v>
      </c>
      <c r="R3171" t="s">
        <v>124</v>
      </c>
      <c r="S3171" t="s">
        <v>125</v>
      </c>
      <c r="AM3171" t="s">
        <v>129</v>
      </c>
      <c r="AN3171" t="s">
        <v>130</v>
      </c>
      <c r="AP3171" t="s">
        <v>41</v>
      </c>
      <c r="AZ3171" t="s">
        <v>51</v>
      </c>
      <c r="BA3171" t="s">
        <v>52</v>
      </c>
      <c r="BM3171" t="s">
        <v>64</v>
      </c>
    </row>
    <row r="3172" spans="1:69" x14ac:dyDescent="0.2">
      <c r="A3172" t="s">
        <v>10729</v>
      </c>
      <c r="B3172" t="s">
        <v>2987</v>
      </c>
      <c r="C3172" t="s">
        <v>10830</v>
      </c>
      <c r="D3172" t="s">
        <v>5461</v>
      </c>
      <c r="E3172" t="s">
        <v>10831</v>
      </c>
      <c r="F3172" t="s">
        <v>118</v>
      </c>
      <c r="G3172" t="str">
        <f>HYPERLINK("https://vk.com/wall-61101621_254487?reply=254515")</f>
        <v>https://vk.com/wall-61101621_254487?reply=254515</v>
      </c>
      <c r="H3172" t="s">
        <v>119</v>
      </c>
      <c r="I3172" t="s">
        <v>3544</v>
      </c>
      <c r="J3172" t="str">
        <f>HYPERLINK("http://vk.com/id651980680")</f>
        <v>http://vk.com/id651980680</v>
      </c>
      <c r="K3172">
        <v>0</v>
      </c>
      <c r="L3172" t="s">
        <v>121</v>
      </c>
      <c r="M3172">
        <v>58</v>
      </c>
      <c r="N3172" t="s">
        <v>122</v>
      </c>
      <c r="O3172" t="s">
        <v>160</v>
      </c>
      <c r="P3172" t="str">
        <f>HYPERLINK("http://vk.com/club61101621")</f>
        <v>http://vk.com/club61101621</v>
      </c>
      <c r="Q3172">
        <v>21119</v>
      </c>
      <c r="R3172" t="s">
        <v>124</v>
      </c>
      <c r="S3172" t="s">
        <v>125</v>
      </c>
      <c r="T3172" t="s">
        <v>487</v>
      </c>
      <c r="U3172" t="s">
        <v>488</v>
      </c>
      <c r="AM3172" t="s">
        <v>129</v>
      </c>
      <c r="AN3172" t="s">
        <v>130</v>
      </c>
      <c r="AP3172" t="s">
        <v>41</v>
      </c>
      <c r="AT3172" t="s">
        <v>45</v>
      </c>
      <c r="AU3172" t="s">
        <v>46</v>
      </c>
      <c r="AZ3172" t="s">
        <v>51</v>
      </c>
      <c r="BA3172" t="s">
        <v>52</v>
      </c>
    </row>
    <row r="3173" spans="1:69" x14ac:dyDescent="0.2">
      <c r="A3173" t="s">
        <v>10729</v>
      </c>
      <c r="B3173" t="s">
        <v>1984</v>
      </c>
      <c r="C3173" t="s">
        <v>10832</v>
      </c>
      <c r="D3173" t="s">
        <v>10561</v>
      </c>
      <c r="E3173" t="s">
        <v>10833</v>
      </c>
      <c r="F3173" t="s">
        <v>118</v>
      </c>
      <c r="G3173" t="str">
        <f>HYPERLINK("https://vk.com/wall-27863223_291399?w=wall-27863223_291399_r291444")</f>
        <v>https://vk.com/wall-27863223_291399?w=wall-27863223_291399_r291444</v>
      </c>
      <c r="H3173" t="s">
        <v>119</v>
      </c>
      <c r="I3173" t="s">
        <v>2328</v>
      </c>
      <c r="J3173" t="str">
        <f>HYPERLINK("http://vk.com/id218965625")</f>
        <v>http://vk.com/id218965625</v>
      </c>
      <c r="K3173">
        <v>56</v>
      </c>
      <c r="L3173" t="s">
        <v>121</v>
      </c>
      <c r="N3173" t="s">
        <v>122</v>
      </c>
      <c r="O3173" t="s">
        <v>175</v>
      </c>
      <c r="P3173" t="str">
        <f>HYPERLINK("http://vk.com/club27863223")</f>
        <v>http://vk.com/club27863223</v>
      </c>
      <c r="Q3173">
        <v>134698</v>
      </c>
      <c r="R3173" t="s">
        <v>124</v>
      </c>
      <c r="S3173" t="s">
        <v>125</v>
      </c>
      <c r="T3173" t="s">
        <v>2166</v>
      </c>
      <c r="U3173" t="s">
        <v>2167</v>
      </c>
      <c r="W3173">
        <v>0</v>
      </c>
      <c r="X3173">
        <v>0</v>
      </c>
      <c r="AM3173" t="s">
        <v>129</v>
      </c>
      <c r="AN3173" t="s">
        <v>130</v>
      </c>
      <c r="AP3173" t="s">
        <v>41</v>
      </c>
      <c r="AU3173" t="s">
        <v>46</v>
      </c>
      <c r="AZ3173" t="s">
        <v>51</v>
      </c>
      <c r="BA3173" t="s">
        <v>52</v>
      </c>
    </row>
    <row r="3174" spans="1:69" x14ac:dyDescent="0.2">
      <c r="A3174" t="s">
        <v>10729</v>
      </c>
      <c r="B3174" t="s">
        <v>906</v>
      </c>
      <c r="C3174" t="s">
        <v>10834</v>
      </c>
      <c r="D3174" t="s">
        <v>175</v>
      </c>
      <c r="E3174" t="s">
        <v>10835</v>
      </c>
      <c r="F3174" t="s">
        <v>180</v>
      </c>
      <c r="G3174" t="str">
        <f>HYPERLINK("https://yandex.ru/maps/org/133738701922#a9l57LRVo7Au2N-09lMR6rdI6Rm_wJx9_")</f>
        <v>https://yandex.ru/maps/org/133738701922#a9l57LRVo7Au2N-09lMR6rdI6Rm_wJx9_</v>
      </c>
      <c r="H3174" t="s">
        <v>181</v>
      </c>
      <c r="I3174" t="s">
        <v>1330</v>
      </c>
      <c r="J3174" t="str">
        <f>HYPERLINK("https://yandex.ru/user/juqgevpry8a50j6xd5wbnfduzw")</f>
        <v>https://yandex.ru/user/juqgevpry8a50j6xd5wbnfduzw</v>
      </c>
      <c r="L3174" t="s">
        <v>121</v>
      </c>
      <c r="N3174" t="s">
        <v>236</v>
      </c>
      <c r="O3174" t="s">
        <v>175</v>
      </c>
      <c r="P3174" t="str">
        <f>HYPERLINK("https://yandex.ru/maps/org/133738701922")</f>
        <v>https://yandex.ru/maps/org/133738701922</v>
      </c>
      <c r="R3174" t="s">
        <v>184</v>
      </c>
      <c r="S3174" t="s">
        <v>125</v>
      </c>
      <c r="T3174" t="s">
        <v>372</v>
      </c>
      <c r="U3174" t="s">
        <v>373</v>
      </c>
      <c r="W3174">
        <v>0</v>
      </c>
      <c r="X3174">
        <v>0</v>
      </c>
      <c r="AH3174">
        <v>5</v>
      </c>
      <c r="AM3174" t="s">
        <v>129</v>
      </c>
      <c r="AN3174" t="s">
        <v>130</v>
      </c>
      <c r="AP3174" t="s">
        <v>41</v>
      </c>
      <c r="AX3174" t="s">
        <v>49</v>
      </c>
      <c r="AZ3174" t="s">
        <v>51</v>
      </c>
      <c r="BA3174" t="s">
        <v>52</v>
      </c>
      <c r="BL3174" t="s">
        <v>63</v>
      </c>
    </row>
    <row r="3175" spans="1:69" x14ac:dyDescent="0.2">
      <c r="A3175" t="s">
        <v>10729</v>
      </c>
      <c r="B3175" t="s">
        <v>4702</v>
      </c>
      <c r="C3175" t="s">
        <v>10836</v>
      </c>
      <c r="D3175" t="s">
        <v>10561</v>
      </c>
      <c r="E3175" t="s">
        <v>10837</v>
      </c>
      <c r="F3175" t="s">
        <v>118</v>
      </c>
      <c r="G3175" t="str">
        <f>HYPERLINK("https://vk.com/wall-27863223_291399?reply=291442")</f>
        <v>https://vk.com/wall-27863223_291399?reply=291442</v>
      </c>
      <c r="H3175" t="s">
        <v>119</v>
      </c>
      <c r="I3175" t="s">
        <v>10838</v>
      </c>
      <c r="J3175" t="str">
        <f>HYPERLINK("http://vk.com/id584950616")</f>
        <v>http://vk.com/id584950616</v>
      </c>
      <c r="K3175">
        <v>46</v>
      </c>
      <c r="L3175" t="s">
        <v>151</v>
      </c>
      <c r="M3175">
        <v>46</v>
      </c>
      <c r="N3175" t="s">
        <v>122</v>
      </c>
      <c r="O3175" t="s">
        <v>175</v>
      </c>
      <c r="P3175" t="str">
        <f>HYPERLINK("http://vk.com/club27863223")</f>
        <v>http://vk.com/club27863223</v>
      </c>
      <c r="Q3175">
        <v>134698</v>
      </c>
      <c r="R3175" t="s">
        <v>124</v>
      </c>
      <c r="S3175" t="s">
        <v>125</v>
      </c>
      <c r="T3175" t="s">
        <v>10839</v>
      </c>
      <c r="U3175" t="s">
        <v>10840</v>
      </c>
      <c r="AM3175" t="s">
        <v>129</v>
      </c>
      <c r="AN3175" t="s">
        <v>130</v>
      </c>
      <c r="AP3175" t="s">
        <v>41</v>
      </c>
      <c r="AU3175" t="s">
        <v>46</v>
      </c>
      <c r="AY3175" t="s">
        <v>50</v>
      </c>
      <c r="BA3175" t="s">
        <v>52</v>
      </c>
      <c r="BE3175" t="s">
        <v>56</v>
      </c>
    </row>
    <row r="3176" spans="1:69" x14ac:dyDescent="0.2">
      <c r="A3176" t="s">
        <v>10729</v>
      </c>
      <c r="B3176" t="s">
        <v>913</v>
      </c>
      <c r="C3176" t="s">
        <v>10841</v>
      </c>
      <c r="D3176" t="s">
        <v>10842</v>
      </c>
      <c r="E3176" t="s">
        <v>10843</v>
      </c>
      <c r="F3176" t="s">
        <v>118</v>
      </c>
      <c r="G3176" t="str">
        <f>HYPERLINK("https://vk.com/wall-103158879_4008540?reply=4008622&amp;thread=4008570")</f>
        <v>https://vk.com/wall-103158879_4008540?reply=4008622&amp;thread=4008570</v>
      </c>
      <c r="H3176" t="s">
        <v>181</v>
      </c>
      <c r="I3176" t="s">
        <v>10844</v>
      </c>
      <c r="J3176" t="str">
        <f>HYPERLINK("http://vk.com/id504226479")</f>
        <v>http://vk.com/id504226479</v>
      </c>
      <c r="K3176">
        <v>152</v>
      </c>
      <c r="L3176" t="s">
        <v>121</v>
      </c>
      <c r="N3176" t="s">
        <v>122</v>
      </c>
      <c r="O3176" t="s">
        <v>10845</v>
      </c>
      <c r="P3176" t="str">
        <f>HYPERLINK("http://vk.com/club103158879")</f>
        <v>http://vk.com/club103158879</v>
      </c>
      <c r="Q3176">
        <v>157102</v>
      </c>
      <c r="R3176" t="s">
        <v>124</v>
      </c>
      <c r="S3176" t="s">
        <v>125</v>
      </c>
      <c r="T3176" t="s">
        <v>189</v>
      </c>
      <c r="U3176" t="s">
        <v>190</v>
      </c>
      <c r="AM3176" t="s">
        <v>129</v>
      </c>
      <c r="AN3176" t="s">
        <v>130</v>
      </c>
      <c r="AP3176" t="s">
        <v>41</v>
      </c>
      <c r="AU3176" t="s">
        <v>46</v>
      </c>
      <c r="AZ3176" t="s">
        <v>51</v>
      </c>
      <c r="BA3176" t="s">
        <v>52</v>
      </c>
      <c r="BM3176" t="s">
        <v>64</v>
      </c>
    </row>
    <row r="3177" spans="1:69" x14ac:dyDescent="0.2">
      <c r="A3177" t="s">
        <v>10729</v>
      </c>
      <c r="B3177" t="s">
        <v>10846</v>
      </c>
      <c r="C3177" t="s">
        <v>10847</v>
      </c>
      <c r="D3177" t="s">
        <v>1186</v>
      </c>
      <c r="E3177" t="s">
        <v>10848</v>
      </c>
      <c r="F3177" t="s">
        <v>180</v>
      </c>
      <c r="G3177" t="str">
        <f>HYPERLINK("https://4pda.to/forum/index.php?showtopic=916407&amp;st=3080#entry107810913")</f>
        <v>https://4pda.to/forum/index.php?showtopic=916407&amp;st=3080#entry107810913</v>
      </c>
      <c r="H3177" t="s">
        <v>119</v>
      </c>
      <c r="I3177" t="s">
        <v>10721</v>
      </c>
      <c r="J3177" t="str">
        <f>HYPERLINK("https://4pda.to/forum/index.php?showuser=5062214")</f>
        <v>https://4pda.to/forum/index.php?showuser=5062214</v>
      </c>
      <c r="N3177" t="s">
        <v>293</v>
      </c>
      <c r="O3177" t="s">
        <v>1189</v>
      </c>
      <c r="P3177" t="str">
        <f>HYPERLINK("https://4pda.to/forum/index.php?showforum=319")</f>
        <v>https://4pda.to/forum/index.php?showforum=319</v>
      </c>
      <c r="R3177" t="s">
        <v>295</v>
      </c>
      <c r="S3177" t="s">
        <v>125</v>
      </c>
      <c r="AM3177" t="s">
        <v>129</v>
      </c>
      <c r="AN3177" t="s">
        <v>130</v>
      </c>
      <c r="AP3177" t="s">
        <v>41</v>
      </c>
      <c r="AU3177" t="s">
        <v>46</v>
      </c>
      <c r="AZ3177" t="s">
        <v>51</v>
      </c>
      <c r="BA3177" t="s">
        <v>52</v>
      </c>
    </row>
    <row r="3178" spans="1:69" x14ac:dyDescent="0.2">
      <c r="A3178" t="s">
        <v>10729</v>
      </c>
      <c r="B3178" t="s">
        <v>354</v>
      </c>
      <c r="C3178" t="s">
        <v>10849</v>
      </c>
      <c r="D3178" t="s">
        <v>10850</v>
      </c>
      <c r="E3178" t="s">
        <v>10851</v>
      </c>
      <c r="F3178" t="s">
        <v>118</v>
      </c>
      <c r="G3178" t="str">
        <f>HYPERLINK("https://www.facebook.com/story.php?story_fbid=350469693108965&amp;id=100044378108177&amp;comment_id=350580146431253")</f>
        <v>https://www.facebook.com/story.php?story_fbid=350469693108965&amp;id=100044378108177&amp;comment_id=350580146431253</v>
      </c>
      <c r="H3178" t="s">
        <v>119</v>
      </c>
      <c r="I3178" t="s">
        <v>10852</v>
      </c>
      <c r="J3178" t="str">
        <f>HYPERLINK("https://www.facebook.com/100053302575136")</f>
        <v>https://www.facebook.com/100053302575136</v>
      </c>
      <c r="K3178">
        <v>45</v>
      </c>
      <c r="L3178" t="s">
        <v>121</v>
      </c>
      <c r="N3178" t="s">
        <v>305</v>
      </c>
      <c r="O3178" t="s">
        <v>10853</v>
      </c>
      <c r="P3178" t="str">
        <f>HYPERLINK("https://www.facebook.com/100044378108177")</f>
        <v>https://www.facebook.com/100044378108177</v>
      </c>
      <c r="R3178" t="s">
        <v>124</v>
      </c>
      <c r="W3178">
        <v>1</v>
      </c>
      <c r="X3178">
        <v>1</v>
      </c>
      <c r="AE3178">
        <v>0</v>
      </c>
      <c r="AJ3178" t="s">
        <v>10854</v>
      </c>
      <c r="AK3178" t="s">
        <v>129</v>
      </c>
      <c r="AL3178" t="s">
        <v>10855</v>
      </c>
      <c r="AM3178" t="s">
        <v>129</v>
      </c>
      <c r="AN3178" t="s">
        <v>130</v>
      </c>
      <c r="AP3178" t="s">
        <v>41</v>
      </c>
      <c r="AZ3178" t="s">
        <v>51</v>
      </c>
      <c r="BA3178" t="s">
        <v>52</v>
      </c>
      <c r="BL3178" t="s">
        <v>63</v>
      </c>
      <c r="BM3178" t="s">
        <v>64</v>
      </c>
    </row>
    <row r="3179" spans="1:69" x14ac:dyDescent="0.2">
      <c r="A3179" t="s">
        <v>10729</v>
      </c>
      <c r="B3179" t="s">
        <v>5633</v>
      </c>
      <c r="C3179" t="s">
        <v>9312</v>
      </c>
      <c r="D3179" t="s">
        <v>9313</v>
      </c>
      <c r="E3179" t="s">
        <v>10856</v>
      </c>
      <c r="F3179" t="s">
        <v>180</v>
      </c>
      <c r="G3179" t="str">
        <f>HYPERLINK("https://www.wildberries.ru/catalog/14967643/detail.aspx?targetUrl=ES#Comments")</f>
        <v>https://www.wildberries.ru/catalog/14967643/detail.aspx?targetUrl=ES#Comments</v>
      </c>
      <c r="H3179" t="s">
        <v>181</v>
      </c>
      <c r="I3179" t="s">
        <v>6276</v>
      </c>
      <c r="J3179" t="str">
        <f>HYPERLINK("https://www.wildberries.ru/profile/w7TDssOkw7PCu8K1wrfCtcKywrnCucK0wrI=")</f>
        <v>https://www.wildberries.ru/profile/w7TDssOkw7PCu8K1wrfCtcKywrnCucK0wrI=</v>
      </c>
      <c r="L3179" t="s">
        <v>121</v>
      </c>
      <c r="N3179" t="s">
        <v>534</v>
      </c>
      <c r="O3179" t="s">
        <v>9313</v>
      </c>
      <c r="P3179" t="str">
        <f>HYPERLINK("https://www.wildberries.ru/catalog/11194495/detail.aspx")</f>
        <v>https://www.wildberries.ru/catalog/11194495/detail.aspx</v>
      </c>
      <c r="R3179" t="s">
        <v>184</v>
      </c>
      <c r="S3179" t="s">
        <v>125</v>
      </c>
      <c r="W3179">
        <v>0</v>
      </c>
      <c r="X3179">
        <v>0</v>
      </c>
      <c r="AH3179">
        <v>5</v>
      </c>
      <c r="AM3179" t="s">
        <v>129</v>
      </c>
      <c r="AN3179" t="s">
        <v>130</v>
      </c>
      <c r="AP3179" t="s">
        <v>41</v>
      </c>
      <c r="AZ3179" t="s">
        <v>51</v>
      </c>
      <c r="BA3179" t="s">
        <v>52</v>
      </c>
      <c r="BK3179" t="s">
        <v>62</v>
      </c>
      <c r="BL3179" t="s">
        <v>63</v>
      </c>
    </row>
    <row r="3180" spans="1:69" x14ac:dyDescent="0.2">
      <c r="A3180" t="s">
        <v>10729</v>
      </c>
      <c r="B3180" t="s">
        <v>2506</v>
      </c>
      <c r="C3180" t="s">
        <v>6454</v>
      </c>
      <c r="D3180" t="s">
        <v>1350</v>
      </c>
      <c r="E3180" t="s">
        <v>10857</v>
      </c>
      <c r="F3180" t="s">
        <v>180</v>
      </c>
      <c r="G3180" t="str">
        <f>HYPERLINK("https://www.ozon.ru/context/detail/id/231618666/#57424664")</f>
        <v>https://www.ozon.ru/context/detail/id/231618666/#57424664</v>
      </c>
      <c r="H3180" t="s">
        <v>181</v>
      </c>
      <c r="I3180" t="s">
        <v>10858</v>
      </c>
      <c r="J3180" t="str">
        <f>HYPERLINK("https://www.ozon.ru/context/client_opinion/ClientGuid/ea1d7a52-87a1-4c5d-b33c-a581b40bfe42/")</f>
        <v>https://www.ozon.ru/context/client_opinion/ClientGuid/ea1d7a52-87a1-4c5d-b33c-a581b40bfe42/</v>
      </c>
      <c r="L3180" t="s">
        <v>151</v>
      </c>
      <c r="N3180" t="s">
        <v>183</v>
      </c>
      <c r="O3180" t="s">
        <v>1350</v>
      </c>
      <c r="P3180" t="str">
        <f>HYPERLINK("https://www.ozon.ru/context/detail/id/231618666/")</f>
        <v>https://www.ozon.ru/context/detail/id/231618666/</v>
      </c>
      <c r="R3180" t="s">
        <v>184</v>
      </c>
      <c r="S3180" t="s">
        <v>125</v>
      </c>
      <c r="W3180">
        <v>0</v>
      </c>
      <c r="X3180">
        <v>0</v>
      </c>
      <c r="AH3180">
        <v>5</v>
      </c>
      <c r="AM3180" t="s">
        <v>129</v>
      </c>
      <c r="AN3180" t="s">
        <v>130</v>
      </c>
      <c r="AP3180" t="s">
        <v>41</v>
      </c>
      <c r="AZ3180" t="s">
        <v>51</v>
      </c>
      <c r="BA3180" t="s">
        <v>52</v>
      </c>
      <c r="BK3180" t="s">
        <v>62</v>
      </c>
      <c r="BL3180" t="s">
        <v>63</v>
      </c>
    </row>
    <row r="3181" spans="1:69" x14ac:dyDescent="0.2">
      <c r="A3181" t="s">
        <v>10729</v>
      </c>
      <c r="B3181" t="s">
        <v>8143</v>
      </c>
      <c r="C3181" t="s">
        <v>10859</v>
      </c>
      <c r="D3181" t="s">
        <v>175</v>
      </c>
      <c r="E3181" t="s">
        <v>10860</v>
      </c>
      <c r="F3181" t="s">
        <v>180</v>
      </c>
      <c r="G3181" t="str">
        <f>HYPERLINK("https://yandex.ru/maps/org/1397947321#8dX0JXJc7YT9othqmgtrET-BXAD3D0URU")</f>
        <v>https://yandex.ru/maps/org/1397947321#8dX0JXJc7YT9othqmgtrET-BXAD3D0URU</v>
      </c>
      <c r="H3181" t="s">
        <v>119</v>
      </c>
      <c r="I3181" t="s">
        <v>10861</v>
      </c>
      <c r="J3181" t="str">
        <f>HYPERLINK("https://yandex.ru/user/ytug0xp1jwv8vq39eye53dd410")</f>
        <v>https://yandex.ru/user/ytug0xp1jwv8vq39eye53dd410</v>
      </c>
      <c r="L3181" t="s">
        <v>121</v>
      </c>
      <c r="N3181" t="s">
        <v>236</v>
      </c>
      <c r="O3181" t="s">
        <v>175</v>
      </c>
      <c r="P3181" t="str">
        <f>HYPERLINK("https://yandex.ru/maps/org/1397947321")</f>
        <v>https://yandex.ru/maps/org/1397947321</v>
      </c>
      <c r="R3181" t="s">
        <v>184</v>
      </c>
      <c r="S3181" t="s">
        <v>125</v>
      </c>
      <c r="T3181" t="s">
        <v>627</v>
      </c>
      <c r="U3181" t="s">
        <v>846</v>
      </c>
      <c r="W3181">
        <v>0</v>
      </c>
      <c r="X3181">
        <v>0</v>
      </c>
      <c r="AH3181">
        <v>3</v>
      </c>
      <c r="AM3181" t="s">
        <v>129</v>
      </c>
      <c r="AN3181" t="s">
        <v>130</v>
      </c>
      <c r="AP3181" t="s">
        <v>41</v>
      </c>
      <c r="AX3181" t="s">
        <v>49</v>
      </c>
      <c r="AZ3181" t="s">
        <v>51</v>
      </c>
      <c r="BD3181" t="s">
        <v>55</v>
      </c>
    </row>
    <row r="3182" spans="1:69" x14ac:dyDescent="0.2">
      <c r="A3182" t="s">
        <v>10729</v>
      </c>
      <c r="B3182" t="s">
        <v>8907</v>
      </c>
      <c r="C3182" t="s">
        <v>10862</v>
      </c>
      <c r="D3182" t="s">
        <v>10863</v>
      </c>
      <c r="E3182" t="s">
        <v>10864</v>
      </c>
      <c r="F3182" t="s">
        <v>180</v>
      </c>
      <c r="G3182" t="str">
        <f>HYPERLINK("https://market.yandex.ru/product/424956075/reviews?id=134038469")</f>
        <v>https://market.yandex.ru/product/424956075/reviews?id=134038469</v>
      </c>
      <c r="H3182" t="s">
        <v>181</v>
      </c>
      <c r="I3182" t="s">
        <v>6276</v>
      </c>
      <c r="J3182" t="str">
        <f>HYPERLINK("https://market.yandex.ru/user/9et9nq647xr78a1r2ad5jxa8fm/reviews")</f>
        <v>https://market.yandex.ru/user/9et9nq647xr78a1r2ad5jxa8fm/reviews</v>
      </c>
      <c r="L3182" t="s">
        <v>121</v>
      </c>
      <c r="N3182" t="s">
        <v>611</v>
      </c>
      <c r="O3182" t="s">
        <v>10863</v>
      </c>
      <c r="P3182" t="str">
        <f>HYPERLINK("https://market.yandex.ru/product/424956075")</f>
        <v>https://market.yandex.ru/product/424956075</v>
      </c>
      <c r="R3182" t="s">
        <v>184</v>
      </c>
      <c r="S3182" t="s">
        <v>125</v>
      </c>
      <c r="W3182">
        <v>0</v>
      </c>
      <c r="X3182">
        <v>0</v>
      </c>
      <c r="AH3182">
        <v>5</v>
      </c>
      <c r="AM3182" t="s">
        <v>129</v>
      </c>
      <c r="AN3182" t="s">
        <v>130</v>
      </c>
      <c r="AP3182" t="s">
        <v>41</v>
      </c>
      <c r="AT3182" t="s">
        <v>45</v>
      </c>
      <c r="AZ3182" t="s">
        <v>51</v>
      </c>
      <c r="BA3182" t="s">
        <v>52</v>
      </c>
      <c r="BL3182" t="s">
        <v>63</v>
      </c>
    </row>
    <row r="3183" spans="1:69" x14ac:dyDescent="0.2">
      <c r="A3183" t="s">
        <v>10729</v>
      </c>
      <c r="B3183" t="s">
        <v>943</v>
      </c>
      <c r="C3183" t="s">
        <v>10865</v>
      </c>
      <c r="D3183" t="s">
        <v>1697</v>
      </c>
      <c r="E3183" t="s">
        <v>10866</v>
      </c>
      <c r="F3183" t="s">
        <v>180</v>
      </c>
      <c r="G3183" t="str">
        <f>HYPERLINK("https://apps.apple.com/ru/app/мой-триколор/id1204321194#7541840115")</f>
        <v>https://apps.apple.com/ru/app/мой-триколор/id1204321194#7541840115</v>
      </c>
      <c r="H3183" t="s">
        <v>181</v>
      </c>
      <c r="I3183" t="s">
        <v>10867</v>
      </c>
      <c r="J3183" t="str">
        <f>HYPERLINK("https://itunes.apple.com/reviews?userProfileId=1282689484")</f>
        <v>https://itunes.apple.com/reviews?userProfileId=1282689484</v>
      </c>
      <c r="N3183" t="s">
        <v>1411</v>
      </c>
      <c r="O3183" t="s">
        <v>1697</v>
      </c>
      <c r="P3183" t="str">
        <f>HYPERLINK("https://apps.apple.com/ru/app/мой-триколор/id1204321194")</f>
        <v>https://apps.apple.com/ru/app/мой-триколор/id1204321194</v>
      </c>
      <c r="R3183" t="s">
        <v>184</v>
      </c>
      <c r="S3183" t="s">
        <v>125</v>
      </c>
      <c r="AH3183">
        <v>5</v>
      </c>
      <c r="AM3183" t="s">
        <v>129</v>
      </c>
      <c r="AN3183" t="s">
        <v>130</v>
      </c>
      <c r="AP3183" t="s">
        <v>41</v>
      </c>
      <c r="AZ3183" t="s">
        <v>51</v>
      </c>
      <c r="BA3183" t="s">
        <v>52</v>
      </c>
      <c r="BQ3183" t="s">
        <v>68</v>
      </c>
    </row>
    <row r="3184" spans="1:69" x14ac:dyDescent="0.2">
      <c r="A3184" t="s">
        <v>10729</v>
      </c>
      <c r="B3184" t="s">
        <v>2005</v>
      </c>
      <c r="C3184" t="s">
        <v>10868</v>
      </c>
      <c r="D3184" t="s">
        <v>10869</v>
      </c>
      <c r="E3184" t="s">
        <v>10870</v>
      </c>
      <c r="F3184" t="s">
        <v>118</v>
      </c>
      <c r="G3184" t="str">
        <f>HYPERLINK("https://telegram.me/telecom82/240727")</f>
        <v>https://telegram.me/telecom82/240727</v>
      </c>
      <c r="H3184" t="s">
        <v>119</v>
      </c>
      <c r="I3184" t="s">
        <v>10871</v>
      </c>
      <c r="J3184" t="str">
        <f>HYPERLINK("https://telegram.me/telecomrk")</f>
        <v>https://telegram.me/telecomrk</v>
      </c>
      <c r="N3184" t="s">
        <v>143</v>
      </c>
      <c r="O3184" t="s">
        <v>10872</v>
      </c>
      <c r="P3184" t="str">
        <f>HYPERLINK("https://telegram.me/telecom82")</f>
        <v>https://telegram.me/telecom82</v>
      </c>
      <c r="Q3184">
        <v>454</v>
      </c>
      <c r="R3184" t="s">
        <v>145</v>
      </c>
      <c r="AM3184" t="s">
        <v>129</v>
      </c>
      <c r="AN3184" t="s">
        <v>130</v>
      </c>
      <c r="AP3184" t="s">
        <v>41</v>
      </c>
      <c r="AT3184" t="s">
        <v>45</v>
      </c>
      <c r="AY3184" t="s">
        <v>50</v>
      </c>
      <c r="AZ3184" t="s">
        <v>51</v>
      </c>
      <c r="BA3184" t="s">
        <v>52</v>
      </c>
    </row>
    <row r="3185" spans="1:90" x14ac:dyDescent="0.2">
      <c r="A3185" t="s">
        <v>10729</v>
      </c>
      <c r="B3185" t="s">
        <v>965</v>
      </c>
      <c r="C3185" t="s">
        <v>10873</v>
      </c>
      <c r="D3185" t="s">
        <v>175</v>
      </c>
      <c r="E3185" t="s">
        <v>10874</v>
      </c>
      <c r="F3185" t="s">
        <v>180</v>
      </c>
      <c r="G3185" t="str">
        <f>HYPERLINK("https://yandex.ru/maps/org/228991335517#U2VVB7o4ZA5LtU-_AhwBzBd95mOrgY5bx")</f>
        <v>https://yandex.ru/maps/org/228991335517#U2VVB7o4ZA5LtU-_AhwBzBd95mOrgY5bx</v>
      </c>
      <c r="H3185" t="s">
        <v>228</v>
      </c>
      <c r="I3185" t="s">
        <v>10875</v>
      </c>
      <c r="J3185" t="str">
        <f>HYPERLINK("https://yandex.ru/user/x1xg5pug5vt0910k64bvantxw0")</f>
        <v>https://yandex.ru/user/x1xg5pug5vt0910k64bvantxw0</v>
      </c>
      <c r="L3185" t="s">
        <v>121</v>
      </c>
      <c r="N3185" t="s">
        <v>236</v>
      </c>
      <c r="O3185" t="s">
        <v>175</v>
      </c>
      <c r="P3185" t="str">
        <f>HYPERLINK("https://yandex.ru/maps/org/228991335517")</f>
        <v>https://yandex.ru/maps/org/228991335517</v>
      </c>
      <c r="R3185" t="s">
        <v>184</v>
      </c>
      <c r="S3185" t="s">
        <v>125</v>
      </c>
      <c r="T3185" t="s">
        <v>989</v>
      </c>
      <c r="U3185" t="s">
        <v>990</v>
      </c>
      <c r="W3185">
        <v>0</v>
      </c>
      <c r="X3185">
        <v>0</v>
      </c>
      <c r="AH3185">
        <v>1</v>
      </c>
      <c r="AM3185" t="s">
        <v>129</v>
      </c>
      <c r="AN3185" t="s">
        <v>130</v>
      </c>
      <c r="AP3185" t="s">
        <v>41</v>
      </c>
      <c r="AX3185" t="s">
        <v>49</v>
      </c>
      <c r="BD3185" t="s">
        <v>55</v>
      </c>
      <c r="BF3185" t="s">
        <v>57</v>
      </c>
      <c r="CK3185" t="s">
        <v>88</v>
      </c>
      <c r="CL3185" t="s">
        <v>89</v>
      </c>
    </row>
    <row r="3186" spans="1:90" x14ac:dyDescent="0.2">
      <c r="A3186" t="s">
        <v>10729</v>
      </c>
      <c r="B3186" t="s">
        <v>7754</v>
      </c>
      <c r="C3186" t="s">
        <v>10876</v>
      </c>
      <c r="D3186" t="s">
        <v>10877</v>
      </c>
      <c r="E3186" t="s">
        <v>10878</v>
      </c>
      <c r="F3186" t="s">
        <v>180</v>
      </c>
      <c r="G3186" t="str">
        <f>HYPERLINK("https://market.yandex.ru/product/265356758/reviews?id=134036144")</f>
        <v>https://market.yandex.ru/product/265356758/reviews?id=134036144</v>
      </c>
      <c r="H3186" t="s">
        <v>228</v>
      </c>
      <c r="I3186" t="s">
        <v>10879</v>
      </c>
      <c r="J3186" t="str">
        <f>HYPERLINK("https://market.yandex.ru/user/3n0whd4g0fqmuycxtk26pfpf9r/reviews")</f>
        <v>https://market.yandex.ru/user/3n0whd4g0fqmuycxtk26pfpf9r/reviews</v>
      </c>
      <c r="N3186" t="s">
        <v>611</v>
      </c>
      <c r="O3186" t="s">
        <v>10877</v>
      </c>
      <c r="P3186" t="str">
        <f>HYPERLINK("https://market.yandex.ru/product/265356758")</f>
        <v>https://market.yandex.ru/product/265356758</v>
      </c>
      <c r="R3186" t="s">
        <v>184</v>
      </c>
      <c r="S3186" t="s">
        <v>125</v>
      </c>
      <c r="T3186" t="s">
        <v>169</v>
      </c>
      <c r="U3186" t="s">
        <v>169</v>
      </c>
      <c r="W3186">
        <v>0</v>
      </c>
      <c r="X3186">
        <v>0</v>
      </c>
      <c r="AH3186">
        <v>5</v>
      </c>
      <c r="AM3186" t="s">
        <v>129</v>
      </c>
      <c r="AN3186" t="s">
        <v>130</v>
      </c>
      <c r="AP3186" t="s">
        <v>41</v>
      </c>
      <c r="AZ3186" t="s">
        <v>51</v>
      </c>
      <c r="BA3186" t="s">
        <v>52</v>
      </c>
      <c r="BL3186" t="s">
        <v>63</v>
      </c>
    </row>
    <row r="3187" spans="1:90" x14ac:dyDescent="0.2">
      <c r="A3187" t="s">
        <v>10729</v>
      </c>
      <c r="B3187" t="s">
        <v>4293</v>
      </c>
      <c r="C3187" t="s">
        <v>10880</v>
      </c>
      <c r="D3187" t="s">
        <v>10616</v>
      </c>
      <c r="E3187" t="s">
        <v>10881</v>
      </c>
      <c r="F3187" t="s">
        <v>118</v>
      </c>
      <c r="G3187" t="str">
        <f>HYPERLINK("https://vk.com/wall-175618628_69940?reply=70173&amp;thread=69947")</f>
        <v>https://vk.com/wall-175618628_69940?reply=70173&amp;thread=69947</v>
      </c>
      <c r="H3187" t="s">
        <v>119</v>
      </c>
      <c r="I3187" t="s">
        <v>10882</v>
      </c>
      <c r="J3187" t="str">
        <f>HYPERLINK("http://vk.com/id361918143")</f>
        <v>http://vk.com/id361918143</v>
      </c>
      <c r="K3187">
        <v>80</v>
      </c>
      <c r="L3187" t="s">
        <v>121</v>
      </c>
      <c r="N3187" t="s">
        <v>122</v>
      </c>
      <c r="O3187" t="s">
        <v>10619</v>
      </c>
      <c r="P3187" t="str">
        <f>HYPERLINK("http://vk.com/club175618628")</f>
        <v>http://vk.com/club175618628</v>
      </c>
      <c r="Q3187">
        <v>11087</v>
      </c>
      <c r="R3187" t="s">
        <v>124</v>
      </c>
      <c r="S3187" t="s">
        <v>125</v>
      </c>
      <c r="T3187" t="s">
        <v>264</v>
      </c>
      <c r="U3187" t="s">
        <v>10883</v>
      </c>
      <c r="AM3187" t="s">
        <v>129</v>
      </c>
      <c r="AN3187" t="s">
        <v>130</v>
      </c>
      <c r="AP3187" t="s">
        <v>41</v>
      </c>
      <c r="AZ3187" t="s">
        <v>51</v>
      </c>
      <c r="BA3187" t="s">
        <v>52</v>
      </c>
      <c r="BL3187" t="s">
        <v>63</v>
      </c>
    </row>
    <row r="3188" spans="1:90" x14ac:dyDescent="0.2">
      <c r="A3188" t="s">
        <v>10729</v>
      </c>
      <c r="B3188" t="s">
        <v>2023</v>
      </c>
      <c r="C3188" t="s">
        <v>10868</v>
      </c>
      <c r="D3188" t="s">
        <v>129</v>
      </c>
      <c r="E3188" t="s">
        <v>10884</v>
      </c>
      <c r="F3188" t="s">
        <v>180</v>
      </c>
      <c r="G3188" t="str">
        <f>HYPERLINK("https://telegram.me/telecom82/240719")</f>
        <v>https://telegram.me/telecom82/240719</v>
      </c>
      <c r="H3188" t="s">
        <v>228</v>
      </c>
      <c r="I3188" t="s">
        <v>10871</v>
      </c>
      <c r="J3188" t="str">
        <f>HYPERLINK("https://telegram.me/telecomrk")</f>
        <v>https://telegram.me/telecomrk</v>
      </c>
      <c r="N3188" t="s">
        <v>143</v>
      </c>
      <c r="O3188" t="s">
        <v>10872</v>
      </c>
      <c r="P3188" t="str">
        <f>HYPERLINK("https://telegram.me/telecom82")</f>
        <v>https://telegram.me/telecom82</v>
      </c>
      <c r="Q3188">
        <v>454</v>
      </c>
      <c r="R3188" t="s">
        <v>145</v>
      </c>
      <c r="AM3188" t="s">
        <v>129</v>
      </c>
      <c r="AN3188" t="s">
        <v>130</v>
      </c>
      <c r="AP3188" t="s">
        <v>41</v>
      </c>
      <c r="AW3188" t="s">
        <v>48</v>
      </c>
      <c r="AZ3188" t="s">
        <v>51</v>
      </c>
      <c r="BA3188" t="s">
        <v>52</v>
      </c>
    </row>
    <row r="3189" spans="1:90" x14ac:dyDescent="0.2">
      <c r="A3189" t="s">
        <v>10729</v>
      </c>
      <c r="B3189" t="s">
        <v>2026</v>
      </c>
      <c r="C3189" t="s">
        <v>10885</v>
      </c>
      <c r="D3189" t="s">
        <v>10886</v>
      </c>
      <c r="E3189" t="s">
        <v>10887</v>
      </c>
      <c r="F3189" t="s">
        <v>118</v>
      </c>
      <c r="G3189" t="str">
        <f>HYPERLINK("https://vk.com/wall-71902985_1070469?reply=1070728")</f>
        <v>https://vk.com/wall-71902985_1070469?reply=1070728</v>
      </c>
      <c r="H3189" t="s">
        <v>228</v>
      </c>
      <c r="I3189" t="s">
        <v>10888</v>
      </c>
      <c r="J3189" t="str">
        <f>HYPERLINK("http://vk.com/id168383527")</f>
        <v>http://vk.com/id168383527</v>
      </c>
      <c r="K3189">
        <v>224</v>
      </c>
      <c r="L3189" t="s">
        <v>151</v>
      </c>
      <c r="N3189" t="s">
        <v>122</v>
      </c>
      <c r="O3189" t="s">
        <v>8243</v>
      </c>
      <c r="P3189" t="str">
        <f>HYPERLINK("http://vk.com/club71902985")</f>
        <v>http://vk.com/club71902985</v>
      </c>
      <c r="Q3189">
        <v>62819</v>
      </c>
      <c r="R3189" t="s">
        <v>124</v>
      </c>
      <c r="S3189" t="s">
        <v>125</v>
      </c>
      <c r="AM3189" t="s">
        <v>129</v>
      </c>
      <c r="AN3189" t="s">
        <v>130</v>
      </c>
      <c r="AP3189" t="s">
        <v>41</v>
      </c>
      <c r="AY3189" t="s">
        <v>50</v>
      </c>
      <c r="AZ3189" t="s">
        <v>51</v>
      </c>
      <c r="BA3189" t="s">
        <v>52</v>
      </c>
    </row>
    <row r="3190" spans="1:90" x14ac:dyDescent="0.2">
      <c r="A3190" t="s">
        <v>10729</v>
      </c>
      <c r="B3190" t="s">
        <v>1562</v>
      </c>
      <c r="C3190" t="s">
        <v>10889</v>
      </c>
      <c r="D3190" t="s">
        <v>10827</v>
      </c>
      <c r="E3190" t="s">
        <v>10890</v>
      </c>
      <c r="F3190" t="s">
        <v>118</v>
      </c>
      <c r="G3190" t="str">
        <f>HYPERLINK("https://vk.com/wall-167863263_79691?reply=79816")</f>
        <v>https://vk.com/wall-167863263_79691?reply=79816</v>
      </c>
      <c r="H3190" t="s">
        <v>119</v>
      </c>
      <c r="I3190" t="s">
        <v>10891</v>
      </c>
      <c r="J3190" t="str">
        <f>HYPERLINK("http://vk.com/id377099")</f>
        <v>http://vk.com/id377099</v>
      </c>
      <c r="K3190">
        <v>875</v>
      </c>
      <c r="L3190" t="s">
        <v>121</v>
      </c>
      <c r="M3190">
        <v>32</v>
      </c>
      <c r="N3190" t="s">
        <v>122</v>
      </c>
      <c r="O3190" t="s">
        <v>4060</v>
      </c>
      <c r="P3190" t="str">
        <f>HYPERLINK("http://vk.com/club167863263")</f>
        <v>http://vk.com/club167863263</v>
      </c>
      <c r="Q3190">
        <v>5569</v>
      </c>
      <c r="R3190" t="s">
        <v>124</v>
      </c>
      <c r="S3190" t="s">
        <v>125</v>
      </c>
      <c r="AM3190" t="s">
        <v>129</v>
      </c>
      <c r="AN3190" t="s">
        <v>130</v>
      </c>
      <c r="AP3190" t="s">
        <v>41</v>
      </c>
      <c r="AZ3190" t="s">
        <v>51</v>
      </c>
      <c r="BA3190" t="s">
        <v>52</v>
      </c>
      <c r="BM3190" t="s">
        <v>64</v>
      </c>
    </row>
    <row r="3191" spans="1:90" x14ac:dyDescent="0.2">
      <c r="A3191" t="s">
        <v>10729</v>
      </c>
      <c r="B3191" t="s">
        <v>1562</v>
      </c>
      <c r="C3191" t="s">
        <v>10892</v>
      </c>
      <c r="D3191" t="s">
        <v>3210</v>
      </c>
      <c r="E3191" t="s">
        <v>10893</v>
      </c>
      <c r="F3191" t="s">
        <v>180</v>
      </c>
      <c r="G3191" t="str">
        <f>HYPERLINK("https://telesputnik.ru/forum/viewtopic.php?f=36&amp;t=75646&amp;start=2080#p2479560")</f>
        <v>https://telesputnik.ru/forum/viewtopic.php?f=36&amp;t=75646&amp;start=2080#p2479560</v>
      </c>
      <c r="H3191" t="s">
        <v>119</v>
      </c>
      <c r="I3191" t="s">
        <v>10778</v>
      </c>
      <c r="J3191" t="str">
        <f>HYPERLINK("https://telesputnik.ru/forum/memberlist.php?mode=viewprofile&amp;u=87495")</f>
        <v>https://telesputnik.ru/forum/memberlist.php?mode=viewprofile&amp;u=87495</v>
      </c>
      <c r="N3191" t="s">
        <v>335</v>
      </c>
      <c r="O3191" t="s">
        <v>909</v>
      </c>
      <c r="P3191" t="str">
        <f>HYPERLINK("https://telesputnik.ru/forum/viewforum.php?f=36")</f>
        <v>https://telesputnik.ru/forum/viewforum.php?f=36</v>
      </c>
      <c r="R3191" t="s">
        <v>295</v>
      </c>
      <c r="S3191" t="s">
        <v>125</v>
      </c>
      <c r="AM3191" t="s">
        <v>129</v>
      </c>
      <c r="AN3191" t="s">
        <v>130</v>
      </c>
      <c r="AP3191" t="s">
        <v>41</v>
      </c>
      <c r="AU3191" t="s">
        <v>46</v>
      </c>
      <c r="AZ3191" t="s">
        <v>51</v>
      </c>
      <c r="BA3191" t="s">
        <v>52</v>
      </c>
    </row>
    <row r="3192" spans="1:90" x14ac:dyDescent="0.2">
      <c r="A3192" t="s">
        <v>10729</v>
      </c>
      <c r="B3192" t="s">
        <v>6115</v>
      </c>
      <c r="C3192" t="s">
        <v>10892</v>
      </c>
      <c r="D3192" t="s">
        <v>3210</v>
      </c>
      <c r="E3192" t="s">
        <v>10894</v>
      </c>
      <c r="F3192" t="s">
        <v>180</v>
      </c>
      <c r="G3192" t="str">
        <f>HYPERLINK("https://telesputnik.ru/forum/viewtopic.php?f=36&amp;t=75646&amp;start=2080#p2479548")</f>
        <v>https://telesputnik.ru/forum/viewtopic.php?f=36&amp;t=75646&amp;start=2080#p2479548</v>
      </c>
      <c r="H3192" t="s">
        <v>119</v>
      </c>
      <c r="I3192" t="s">
        <v>10778</v>
      </c>
      <c r="J3192" t="str">
        <f>HYPERLINK("https://telesputnik.ru/forum/memberlist.php?mode=viewprofile&amp;u=87495")</f>
        <v>https://telesputnik.ru/forum/memberlist.php?mode=viewprofile&amp;u=87495</v>
      </c>
      <c r="N3192" t="s">
        <v>335</v>
      </c>
      <c r="O3192" t="s">
        <v>909</v>
      </c>
      <c r="P3192" t="str">
        <f>HYPERLINK("https://telesputnik.ru/forum/viewforum.php?f=36")</f>
        <v>https://telesputnik.ru/forum/viewforum.php?f=36</v>
      </c>
      <c r="R3192" t="s">
        <v>295</v>
      </c>
      <c r="S3192" t="s">
        <v>125</v>
      </c>
      <c r="AM3192" t="s">
        <v>129</v>
      </c>
      <c r="AN3192" t="s">
        <v>130</v>
      </c>
      <c r="AP3192" t="s">
        <v>41</v>
      </c>
      <c r="AU3192" t="s">
        <v>46</v>
      </c>
      <c r="AZ3192" t="s">
        <v>51</v>
      </c>
      <c r="BA3192" t="s">
        <v>52</v>
      </c>
      <c r="BQ3192" t="s">
        <v>68</v>
      </c>
    </row>
    <row r="3193" spans="1:90" x14ac:dyDescent="0.2">
      <c r="A3193" t="s">
        <v>10729</v>
      </c>
      <c r="B3193" t="s">
        <v>3131</v>
      </c>
      <c r="C3193" t="s">
        <v>10895</v>
      </c>
      <c r="D3193" t="s">
        <v>1408</v>
      </c>
      <c r="E3193" t="s">
        <v>10896</v>
      </c>
      <c r="F3193" t="s">
        <v>180</v>
      </c>
      <c r="G3193" t="str">
        <f>HYPERLINK("https://apps.apple.com/ru/app/триколор-кино-и-тв-онлайн/id1412797916#7541482856")</f>
        <v>https://apps.apple.com/ru/app/триколор-кино-и-тв-онлайн/id1412797916#7541482856</v>
      </c>
      <c r="H3193" t="s">
        <v>228</v>
      </c>
      <c r="I3193" t="s">
        <v>10897</v>
      </c>
      <c r="J3193" t="str">
        <f>HYPERLINK("https://itunes.apple.com/reviews?userProfileId=331948463")</f>
        <v>https://itunes.apple.com/reviews?userProfileId=331948463</v>
      </c>
      <c r="L3193" t="s">
        <v>151</v>
      </c>
      <c r="N3193" t="s">
        <v>1411</v>
      </c>
      <c r="O3193" t="s">
        <v>1408</v>
      </c>
      <c r="P3193" t="str">
        <f>HYPERLINK("https://apps.apple.com/ru/app/триколор-кино-и-тв-онлайн/id1412797916")</f>
        <v>https://apps.apple.com/ru/app/триколор-кино-и-тв-онлайн/id1412797916</v>
      </c>
      <c r="R3193" t="s">
        <v>184</v>
      </c>
      <c r="S3193" t="s">
        <v>125</v>
      </c>
      <c r="AH3193">
        <v>1</v>
      </c>
      <c r="AM3193" t="s">
        <v>129</v>
      </c>
      <c r="AN3193" t="s">
        <v>130</v>
      </c>
      <c r="AP3193" t="s">
        <v>41</v>
      </c>
      <c r="AZ3193" t="s">
        <v>51</v>
      </c>
      <c r="BA3193" t="s">
        <v>52</v>
      </c>
      <c r="BQ3193" t="s">
        <v>68</v>
      </c>
    </row>
    <row r="3194" spans="1:90" x14ac:dyDescent="0.2">
      <c r="A3194" t="s">
        <v>10729</v>
      </c>
      <c r="B3194" t="s">
        <v>466</v>
      </c>
      <c r="C3194" t="s">
        <v>10898</v>
      </c>
      <c r="D3194" t="s">
        <v>204</v>
      </c>
      <c r="E3194" t="s">
        <v>10899</v>
      </c>
      <c r="F3194" t="s">
        <v>180</v>
      </c>
      <c r="G3194" t="str">
        <f>HYPERLINK("https://play.google.com/store/apps/details?id=ru.iflex.android.a3colortv&amp;reviewId=gp:AOqpTOHptHXeTcTg1DSCPAex_RHVYNLvzPlm8eDd-XhtKdOso8Grno87QYq9FmJ9xP21mWyZnmjhYconcD3oOA")</f>
        <v>https://play.google.com/store/apps/details?id=ru.iflex.android.a3colortv&amp;reviewId=gp:AOqpTOHptHXeTcTg1DSCPAex_RHVYNLvzPlm8eDd-XhtKdOso8Grno87QYq9FmJ9xP21mWyZnmjhYconcD3oOA</v>
      </c>
      <c r="H3194" t="s">
        <v>228</v>
      </c>
      <c r="I3194" t="s">
        <v>10900</v>
      </c>
      <c r="J3194" t="str">
        <f>HYPERLINK("https://plus.google.com/108240522688755486068")</f>
        <v>https://plus.google.com/108240522688755486068</v>
      </c>
      <c r="N3194" t="s">
        <v>207</v>
      </c>
      <c r="O3194" t="s">
        <v>204</v>
      </c>
      <c r="P3194" t="str">
        <f>HYPERLINK("https://play.google.com/store/apps/details?id=ru.iflex.android.a3colortv&amp;hl=ru")</f>
        <v>https://play.google.com/store/apps/details?id=ru.iflex.android.a3colortv&amp;hl=ru</v>
      </c>
      <c r="R3194" t="s">
        <v>184</v>
      </c>
      <c r="S3194" t="s">
        <v>125</v>
      </c>
      <c r="W3194">
        <v>0</v>
      </c>
      <c r="X3194">
        <v>0</v>
      </c>
      <c r="AH3194">
        <v>1</v>
      </c>
      <c r="AM3194" t="s">
        <v>129</v>
      </c>
      <c r="AN3194" t="s">
        <v>130</v>
      </c>
      <c r="AP3194" t="s">
        <v>41</v>
      </c>
      <c r="AZ3194" t="s">
        <v>51</v>
      </c>
      <c r="BA3194" t="s">
        <v>52</v>
      </c>
      <c r="BQ3194" t="s">
        <v>68</v>
      </c>
    </row>
    <row r="3195" spans="1:90" x14ac:dyDescent="0.2">
      <c r="A3195" t="s">
        <v>10729</v>
      </c>
      <c r="B3195" t="s">
        <v>10901</v>
      </c>
      <c r="C3195" t="s">
        <v>10776</v>
      </c>
      <c r="D3195" t="s">
        <v>3210</v>
      </c>
      <c r="E3195" t="s">
        <v>10902</v>
      </c>
      <c r="F3195" t="s">
        <v>180</v>
      </c>
      <c r="G3195" t="str">
        <f>HYPERLINK("https://telesputnik.ru/forum/viewtopic.php?f=36&amp;t=75646&amp;start=2060#p2479547")</f>
        <v>https://telesputnik.ru/forum/viewtopic.php?f=36&amp;t=75646&amp;start=2060#p2479547</v>
      </c>
      <c r="H3195" t="s">
        <v>119</v>
      </c>
      <c r="I3195" t="s">
        <v>1160</v>
      </c>
      <c r="J3195" t="str">
        <f>HYPERLINK("https://telesputnik.ru/forum/memberlist.php?mode=viewprofile&amp;u=304630")</f>
        <v>https://telesputnik.ru/forum/memberlist.php?mode=viewprofile&amp;u=304630</v>
      </c>
      <c r="L3195" t="s">
        <v>121</v>
      </c>
      <c r="N3195" t="s">
        <v>335</v>
      </c>
      <c r="O3195" t="s">
        <v>909</v>
      </c>
      <c r="P3195" t="str">
        <f>HYPERLINK("https://telesputnik.ru/forum/viewforum.php?f=36")</f>
        <v>https://telesputnik.ru/forum/viewforum.php?f=36</v>
      </c>
      <c r="R3195" t="s">
        <v>295</v>
      </c>
      <c r="S3195" t="s">
        <v>125</v>
      </c>
      <c r="AM3195" t="s">
        <v>129</v>
      </c>
      <c r="AN3195" t="s">
        <v>130</v>
      </c>
      <c r="AP3195" t="s">
        <v>41</v>
      </c>
      <c r="AU3195" t="s">
        <v>46</v>
      </c>
      <c r="AW3195" t="s">
        <v>48</v>
      </c>
      <c r="AZ3195" t="s">
        <v>51</v>
      </c>
      <c r="BA3195" t="s">
        <v>52</v>
      </c>
    </row>
    <row r="3196" spans="1:90" x14ac:dyDescent="0.2">
      <c r="A3196" t="s">
        <v>10729</v>
      </c>
      <c r="B3196" t="s">
        <v>3141</v>
      </c>
      <c r="C3196" t="s">
        <v>10903</v>
      </c>
      <c r="D3196" t="s">
        <v>10616</v>
      </c>
      <c r="E3196" t="s">
        <v>10904</v>
      </c>
      <c r="F3196" t="s">
        <v>118</v>
      </c>
      <c r="G3196" t="str">
        <f>HYPERLINK("https://vk.com/wall-175618628_69940?reply=70155&amp;thread=69947")</f>
        <v>https://vk.com/wall-175618628_69940?reply=70155&amp;thread=69947</v>
      </c>
      <c r="H3196" t="s">
        <v>119</v>
      </c>
      <c r="I3196" t="s">
        <v>10618</v>
      </c>
      <c r="J3196" t="str">
        <f>HYPERLINK("http://vk.com/id57039163")</f>
        <v>http://vk.com/id57039163</v>
      </c>
      <c r="K3196">
        <v>1353</v>
      </c>
      <c r="L3196" t="s">
        <v>151</v>
      </c>
      <c r="N3196" t="s">
        <v>122</v>
      </c>
      <c r="O3196" t="s">
        <v>10619</v>
      </c>
      <c r="P3196" t="str">
        <f>HYPERLINK("http://vk.com/club175618628")</f>
        <v>http://vk.com/club175618628</v>
      </c>
      <c r="Q3196">
        <v>11087</v>
      </c>
      <c r="R3196" t="s">
        <v>124</v>
      </c>
      <c r="S3196" t="s">
        <v>125</v>
      </c>
      <c r="T3196" t="s">
        <v>264</v>
      </c>
      <c r="U3196" t="s">
        <v>265</v>
      </c>
      <c r="AM3196" t="s">
        <v>129</v>
      </c>
      <c r="AN3196" t="s">
        <v>130</v>
      </c>
      <c r="AP3196" t="s">
        <v>41</v>
      </c>
      <c r="AZ3196" t="s">
        <v>51</v>
      </c>
      <c r="BA3196" t="s">
        <v>52</v>
      </c>
      <c r="BM3196" t="s">
        <v>64</v>
      </c>
    </row>
    <row r="3197" spans="1:90" x14ac:dyDescent="0.2">
      <c r="A3197" t="s">
        <v>10729</v>
      </c>
      <c r="B3197" t="s">
        <v>10905</v>
      </c>
      <c r="C3197" t="s">
        <v>10906</v>
      </c>
      <c r="D3197" t="s">
        <v>10907</v>
      </c>
      <c r="E3197" t="s">
        <v>10908</v>
      </c>
      <c r="F3197" t="s">
        <v>180</v>
      </c>
      <c r="G3197" t="str">
        <f>HYPERLINK("https://4pda.to/forum/index.php?showtopic=965318&amp;st=800#entry107806584")</f>
        <v>https://4pda.to/forum/index.php?showtopic=965318&amp;st=800#entry107806584</v>
      </c>
      <c r="H3197" t="s">
        <v>119</v>
      </c>
      <c r="I3197" t="s">
        <v>1654</v>
      </c>
      <c r="J3197" t="str">
        <f>HYPERLINK("https://4pda.to/forum/index.php?showuser=5465828")</f>
        <v>https://4pda.to/forum/index.php?showuser=5465828</v>
      </c>
      <c r="N3197" t="s">
        <v>293</v>
      </c>
      <c r="O3197" t="s">
        <v>1695</v>
      </c>
      <c r="P3197" t="str">
        <f>HYPERLINK("https://4pda.to/forum/index.php?showforum=640")</f>
        <v>https://4pda.to/forum/index.php?showforum=640</v>
      </c>
      <c r="R3197" t="s">
        <v>295</v>
      </c>
      <c r="S3197" t="s">
        <v>125</v>
      </c>
      <c r="AM3197" t="s">
        <v>129</v>
      </c>
      <c r="AN3197" t="s">
        <v>130</v>
      </c>
      <c r="AP3197" t="s">
        <v>41</v>
      </c>
      <c r="AZ3197" t="s">
        <v>51</v>
      </c>
      <c r="BA3197" t="s">
        <v>52</v>
      </c>
      <c r="BL3197" t="s">
        <v>63</v>
      </c>
      <c r="BQ3197" t="s">
        <v>68</v>
      </c>
    </row>
    <row r="3198" spans="1:90" x14ac:dyDescent="0.2">
      <c r="A3198" t="s">
        <v>10729</v>
      </c>
      <c r="B3198" t="s">
        <v>5748</v>
      </c>
      <c r="C3198" t="s">
        <v>10909</v>
      </c>
      <c r="D3198" t="s">
        <v>10910</v>
      </c>
      <c r="E3198" t="s">
        <v>10911</v>
      </c>
      <c r="F3198" t="s">
        <v>118</v>
      </c>
      <c r="G3198" t="str">
        <f>HYPERLINK("https://vk.com/wall-74441888_895523?reply=898485&amp;thread=897724")</f>
        <v>https://vk.com/wall-74441888_895523?reply=898485&amp;thread=897724</v>
      </c>
      <c r="H3198" t="s">
        <v>181</v>
      </c>
      <c r="I3198" t="s">
        <v>10912</v>
      </c>
      <c r="J3198" t="str">
        <f>HYPERLINK("http://vk.com/id639272630")</f>
        <v>http://vk.com/id639272630</v>
      </c>
      <c r="K3198">
        <v>6</v>
      </c>
      <c r="L3198" t="s">
        <v>121</v>
      </c>
      <c r="M3198">
        <v>35</v>
      </c>
      <c r="N3198" t="s">
        <v>122</v>
      </c>
      <c r="O3198" t="s">
        <v>10913</v>
      </c>
      <c r="P3198" t="str">
        <f>HYPERLINK("http://vk.com/club74441888")</f>
        <v>http://vk.com/club74441888</v>
      </c>
      <c r="Q3198">
        <v>71838</v>
      </c>
      <c r="R3198" t="s">
        <v>124</v>
      </c>
      <c r="S3198" t="s">
        <v>125</v>
      </c>
      <c r="T3198" t="s">
        <v>161</v>
      </c>
      <c r="U3198" t="s">
        <v>10914</v>
      </c>
      <c r="AM3198" t="s">
        <v>129</v>
      </c>
      <c r="AN3198" t="s">
        <v>130</v>
      </c>
      <c r="AP3198" t="s">
        <v>41</v>
      </c>
      <c r="AU3198" t="s">
        <v>46</v>
      </c>
      <c r="AY3198" t="s">
        <v>50</v>
      </c>
      <c r="AZ3198" t="s">
        <v>51</v>
      </c>
      <c r="BB3198" t="s">
        <v>53</v>
      </c>
      <c r="BM3198" t="s">
        <v>64</v>
      </c>
    </row>
    <row r="3199" spans="1:90" x14ac:dyDescent="0.2">
      <c r="A3199" t="s">
        <v>10729</v>
      </c>
      <c r="B3199" t="s">
        <v>5748</v>
      </c>
      <c r="C3199" t="s">
        <v>10915</v>
      </c>
      <c r="D3199" t="s">
        <v>10916</v>
      </c>
      <c r="E3199" t="s">
        <v>10917</v>
      </c>
      <c r="F3199" t="s">
        <v>118</v>
      </c>
      <c r="G3199" t="str">
        <f>HYPERLINK("https://www.youtube.com/watch?v=rrJC1NfXCG0&amp;lc=UgyZ6Lsq_StsJEJJYyx4AaABAg")</f>
        <v>https://www.youtube.com/watch?v=rrJC1NfXCG0&amp;lc=UgyZ6Lsq_StsJEJJYyx4AaABAg</v>
      </c>
      <c r="H3199" t="s">
        <v>119</v>
      </c>
      <c r="I3199" t="s">
        <v>10918</v>
      </c>
      <c r="J3199" t="str">
        <f>HYPERLINK("https://www.youtube.com/channel/UCdEps0vFKfVEWHl7cmovvXg")</f>
        <v>https://www.youtube.com/channel/UCdEps0vFKfVEWHl7cmovvXg</v>
      </c>
      <c r="K3199">
        <v>3</v>
      </c>
      <c r="L3199" t="s">
        <v>121</v>
      </c>
      <c r="N3199" t="s">
        <v>248</v>
      </c>
      <c r="O3199" t="s">
        <v>10919</v>
      </c>
      <c r="P3199" t="str">
        <f>HYPERLINK("https://www.youtube.com/channel/UCab_Ssb8ce_-XF7hMA2Yyyg")</f>
        <v>https://www.youtube.com/channel/UCab_Ssb8ce_-XF7hMA2Yyyg</v>
      </c>
      <c r="Q3199">
        <v>218000</v>
      </c>
      <c r="R3199" t="s">
        <v>124</v>
      </c>
      <c r="S3199" t="s">
        <v>125</v>
      </c>
      <c r="W3199">
        <v>1</v>
      </c>
      <c r="X3199">
        <v>1</v>
      </c>
      <c r="AE3199">
        <v>0</v>
      </c>
      <c r="AM3199" t="s">
        <v>129</v>
      </c>
      <c r="AN3199" t="s">
        <v>130</v>
      </c>
      <c r="AP3199" t="s">
        <v>41</v>
      </c>
      <c r="AZ3199" t="s">
        <v>51</v>
      </c>
      <c r="BA3199" t="s">
        <v>52</v>
      </c>
      <c r="BM3199" t="s">
        <v>64</v>
      </c>
    </row>
    <row r="3200" spans="1:90" x14ac:dyDescent="0.2">
      <c r="A3200" t="s">
        <v>10729</v>
      </c>
      <c r="B3200" t="s">
        <v>8570</v>
      </c>
      <c r="C3200" t="s">
        <v>10776</v>
      </c>
      <c r="D3200" t="s">
        <v>3210</v>
      </c>
      <c r="E3200" t="s">
        <v>10920</v>
      </c>
      <c r="F3200" t="s">
        <v>180</v>
      </c>
      <c r="G3200" t="str">
        <f>HYPERLINK("https://telesputnik.ru/forum/viewtopic.php?f=36&amp;t=75646&amp;start=2060#p2479544")</f>
        <v>https://telesputnik.ru/forum/viewtopic.php?f=36&amp;t=75646&amp;start=2060#p2479544</v>
      </c>
      <c r="H3200" t="s">
        <v>119</v>
      </c>
      <c r="I3200" t="s">
        <v>10778</v>
      </c>
      <c r="J3200" t="str">
        <f>HYPERLINK("https://telesputnik.ru/forum/memberlist.php?mode=viewprofile&amp;u=87495")</f>
        <v>https://telesputnik.ru/forum/memberlist.php?mode=viewprofile&amp;u=87495</v>
      </c>
      <c r="N3200" t="s">
        <v>335</v>
      </c>
      <c r="O3200" t="s">
        <v>909</v>
      </c>
      <c r="P3200" t="str">
        <f>HYPERLINK("https://telesputnik.ru/forum/viewforum.php?f=36")</f>
        <v>https://telesputnik.ru/forum/viewforum.php?f=36</v>
      </c>
      <c r="R3200" t="s">
        <v>295</v>
      </c>
      <c r="S3200" t="s">
        <v>125</v>
      </c>
      <c r="AM3200" t="s">
        <v>129</v>
      </c>
      <c r="AN3200" t="s">
        <v>130</v>
      </c>
      <c r="AP3200" t="s">
        <v>41</v>
      </c>
      <c r="AU3200" t="s">
        <v>46</v>
      </c>
      <c r="AZ3200" t="s">
        <v>51</v>
      </c>
      <c r="BA3200" t="s">
        <v>52</v>
      </c>
    </row>
    <row r="3201" spans="1:65" x14ac:dyDescent="0.2">
      <c r="A3201" t="s">
        <v>10729</v>
      </c>
      <c r="B3201" t="s">
        <v>1029</v>
      </c>
      <c r="C3201" t="s">
        <v>10921</v>
      </c>
      <c r="D3201" t="s">
        <v>10922</v>
      </c>
      <c r="E3201" t="s">
        <v>10923</v>
      </c>
      <c r="F3201" t="s">
        <v>118</v>
      </c>
      <c r="G3201" t="str">
        <f>HYPERLINK("https://vk.com/wall-128313794_61585?reply=61688&amp;thread=61608")</f>
        <v>https://vk.com/wall-128313794_61585?reply=61688&amp;thread=61608</v>
      </c>
      <c r="H3201" t="s">
        <v>119</v>
      </c>
      <c r="I3201" t="s">
        <v>6064</v>
      </c>
      <c r="J3201" t="str">
        <f>HYPERLINK("http://vk.com/id594710692")</f>
        <v>http://vk.com/id594710692</v>
      </c>
      <c r="K3201">
        <v>6</v>
      </c>
      <c r="L3201" t="s">
        <v>121</v>
      </c>
      <c r="M3201">
        <v>41</v>
      </c>
      <c r="N3201" t="s">
        <v>122</v>
      </c>
      <c r="O3201" t="s">
        <v>10924</v>
      </c>
      <c r="P3201" t="str">
        <f>HYPERLINK("http://vk.com/club128313794")</f>
        <v>http://vk.com/club128313794</v>
      </c>
      <c r="Q3201">
        <v>6084</v>
      </c>
      <c r="R3201" t="s">
        <v>124</v>
      </c>
      <c r="AM3201" t="s">
        <v>129</v>
      </c>
      <c r="AN3201" t="s">
        <v>130</v>
      </c>
      <c r="AP3201" t="s">
        <v>41</v>
      </c>
      <c r="AT3201" t="s">
        <v>45</v>
      </c>
      <c r="AZ3201" t="s">
        <v>51</v>
      </c>
      <c r="BA3201" t="s">
        <v>52</v>
      </c>
      <c r="BL3201" t="s">
        <v>63</v>
      </c>
    </row>
    <row r="3202" spans="1:65" x14ac:dyDescent="0.2">
      <c r="A3202" t="s">
        <v>10729</v>
      </c>
      <c r="B3202" t="s">
        <v>1029</v>
      </c>
      <c r="C3202" t="s">
        <v>10925</v>
      </c>
      <c r="D3202" t="s">
        <v>10926</v>
      </c>
      <c r="E3202" t="s">
        <v>10927</v>
      </c>
      <c r="F3202" t="s">
        <v>180</v>
      </c>
      <c r="G3202" t="str">
        <f>HYPERLINK("https://www.forumhouse.ru/threads/135576/page-12#post-28580163")</f>
        <v>https://www.forumhouse.ru/threads/135576/page-12#post-28580163</v>
      </c>
      <c r="H3202" t="s">
        <v>119</v>
      </c>
      <c r="I3202" t="s">
        <v>10928</v>
      </c>
      <c r="J3202" t="str">
        <f>HYPERLINK("https://www.forumhouse.ru/threads/135576/page-12#post-28580163")</f>
        <v>https://www.forumhouse.ru/threads/135576/page-12#post-28580163</v>
      </c>
      <c r="N3202" t="s">
        <v>10929</v>
      </c>
      <c r="O3202" t="s">
        <v>10930</v>
      </c>
      <c r="P3202" t="str">
        <f>HYPERLINK("https://www.forumhouse.ru/forums/648/")</f>
        <v>https://www.forumhouse.ru/forums/648/</v>
      </c>
      <c r="R3202" t="s">
        <v>295</v>
      </c>
      <c r="S3202" t="s">
        <v>125</v>
      </c>
      <c r="AM3202" t="s">
        <v>129</v>
      </c>
      <c r="AN3202" t="s">
        <v>130</v>
      </c>
      <c r="AP3202" t="s">
        <v>41</v>
      </c>
      <c r="AT3202" t="s">
        <v>45</v>
      </c>
      <c r="AU3202" t="s">
        <v>46</v>
      </c>
      <c r="AW3202" t="s">
        <v>48</v>
      </c>
      <c r="AZ3202" t="s">
        <v>51</v>
      </c>
      <c r="BA3202" t="s">
        <v>52</v>
      </c>
      <c r="BL3202" t="s">
        <v>63</v>
      </c>
    </row>
    <row r="3203" spans="1:65" x14ac:dyDescent="0.2">
      <c r="A3203" t="s">
        <v>10729</v>
      </c>
      <c r="B3203" t="s">
        <v>1610</v>
      </c>
      <c r="C3203" t="s">
        <v>10931</v>
      </c>
      <c r="D3203" t="s">
        <v>10616</v>
      </c>
      <c r="E3203" t="s">
        <v>10932</v>
      </c>
      <c r="F3203" t="s">
        <v>118</v>
      </c>
      <c r="G3203" t="str">
        <f>HYPERLINK("https://vk.com/wall-175618628_69940?reply=70148&amp;thread=69947")</f>
        <v>https://vk.com/wall-175618628_69940?reply=70148&amp;thread=69947</v>
      </c>
      <c r="H3203" t="s">
        <v>119</v>
      </c>
      <c r="I3203" t="s">
        <v>6064</v>
      </c>
      <c r="J3203" t="str">
        <f>HYPERLINK("http://vk.com/id594710692")</f>
        <v>http://vk.com/id594710692</v>
      </c>
      <c r="K3203">
        <v>6</v>
      </c>
      <c r="L3203" t="s">
        <v>121</v>
      </c>
      <c r="M3203">
        <v>41</v>
      </c>
      <c r="N3203" t="s">
        <v>122</v>
      </c>
      <c r="O3203" t="s">
        <v>10619</v>
      </c>
      <c r="P3203" t="str">
        <f>HYPERLINK("http://vk.com/club175618628")</f>
        <v>http://vk.com/club175618628</v>
      </c>
      <c r="Q3203">
        <v>11087</v>
      </c>
      <c r="R3203" t="s">
        <v>124</v>
      </c>
      <c r="S3203" t="s">
        <v>125</v>
      </c>
      <c r="T3203" t="s">
        <v>264</v>
      </c>
      <c r="U3203" t="s">
        <v>10883</v>
      </c>
      <c r="AM3203" t="s">
        <v>129</v>
      </c>
      <c r="AN3203" t="s">
        <v>130</v>
      </c>
      <c r="AP3203" t="s">
        <v>41</v>
      </c>
      <c r="AW3203" t="s">
        <v>48</v>
      </c>
      <c r="AZ3203" t="s">
        <v>51</v>
      </c>
      <c r="BA3203" t="s">
        <v>52</v>
      </c>
      <c r="BM3203" t="s">
        <v>64</v>
      </c>
    </row>
    <row r="3204" spans="1:65" x14ac:dyDescent="0.2">
      <c r="A3204" t="s">
        <v>10729</v>
      </c>
      <c r="B3204" t="s">
        <v>474</v>
      </c>
      <c r="C3204" t="s">
        <v>10933</v>
      </c>
      <c r="D3204" t="s">
        <v>10683</v>
      </c>
      <c r="E3204" t="s">
        <v>10934</v>
      </c>
      <c r="F3204" t="s">
        <v>118</v>
      </c>
      <c r="G3204" t="str">
        <f>HYPERLINK("https://vk.com/wall-67275462_166699?reply=166711&amp;thread=166705")</f>
        <v>https://vk.com/wall-67275462_166699?reply=166711&amp;thread=166705</v>
      </c>
      <c r="H3204" t="s">
        <v>119</v>
      </c>
      <c r="I3204" t="s">
        <v>10935</v>
      </c>
      <c r="J3204" t="str">
        <f>HYPERLINK("http://vk.com/id26901372")</f>
        <v>http://vk.com/id26901372</v>
      </c>
      <c r="K3204">
        <v>782</v>
      </c>
      <c r="L3204" t="s">
        <v>121</v>
      </c>
      <c r="N3204" t="s">
        <v>122</v>
      </c>
      <c r="O3204" t="s">
        <v>10686</v>
      </c>
      <c r="P3204" t="str">
        <f>HYPERLINK("http://vk.com/club67275462")</f>
        <v>http://vk.com/club67275462</v>
      </c>
      <c r="Q3204">
        <v>21272</v>
      </c>
      <c r="R3204" t="s">
        <v>124</v>
      </c>
      <c r="S3204" t="s">
        <v>125</v>
      </c>
      <c r="AM3204" t="s">
        <v>129</v>
      </c>
      <c r="AN3204" t="s">
        <v>130</v>
      </c>
      <c r="AP3204" t="s">
        <v>41</v>
      </c>
      <c r="AZ3204" t="s">
        <v>51</v>
      </c>
      <c r="BA3204" t="s">
        <v>52</v>
      </c>
      <c r="BL3204" t="s">
        <v>63</v>
      </c>
    </row>
    <row r="3205" spans="1:65" x14ac:dyDescent="0.2">
      <c r="A3205" t="s">
        <v>10729</v>
      </c>
      <c r="B3205" t="s">
        <v>474</v>
      </c>
      <c r="C3205" t="s">
        <v>10933</v>
      </c>
      <c r="D3205" t="s">
        <v>10936</v>
      </c>
      <c r="E3205" t="s">
        <v>10937</v>
      </c>
      <c r="F3205" t="s">
        <v>118</v>
      </c>
      <c r="G3205" t="str">
        <f>HYPERLINK("https://vk.com/wall-59931219_674214?reply=674433&amp;thread=674266")</f>
        <v>https://vk.com/wall-59931219_674214?reply=674433&amp;thread=674266</v>
      </c>
      <c r="H3205" t="s">
        <v>181</v>
      </c>
      <c r="I3205" t="s">
        <v>6064</v>
      </c>
      <c r="J3205" t="str">
        <f>HYPERLINK("http://vk.com/id594710692")</f>
        <v>http://vk.com/id594710692</v>
      </c>
      <c r="K3205">
        <v>6</v>
      </c>
      <c r="L3205" t="s">
        <v>121</v>
      </c>
      <c r="M3205">
        <v>41</v>
      </c>
      <c r="N3205" t="s">
        <v>122</v>
      </c>
      <c r="O3205" t="s">
        <v>10938</v>
      </c>
      <c r="P3205" t="str">
        <f>HYPERLINK("http://vk.com/club59931219")</f>
        <v>http://vk.com/club59931219</v>
      </c>
      <c r="Q3205">
        <v>24433</v>
      </c>
      <c r="R3205" t="s">
        <v>124</v>
      </c>
      <c r="S3205" t="s">
        <v>125</v>
      </c>
      <c r="T3205" t="s">
        <v>1275</v>
      </c>
      <c r="U3205" t="s">
        <v>10939</v>
      </c>
      <c r="AM3205" t="s">
        <v>129</v>
      </c>
      <c r="AN3205" t="s">
        <v>130</v>
      </c>
      <c r="AP3205" t="s">
        <v>41</v>
      </c>
      <c r="AZ3205" t="s">
        <v>51</v>
      </c>
      <c r="BA3205" t="s">
        <v>52</v>
      </c>
      <c r="BM3205" t="s">
        <v>64</v>
      </c>
    </row>
    <row r="3206" spans="1:65" x14ac:dyDescent="0.2">
      <c r="A3206" t="s">
        <v>10729</v>
      </c>
      <c r="B3206" t="s">
        <v>1614</v>
      </c>
      <c r="C3206" t="s">
        <v>10940</v>
      </c>
      <c r="D3206" t="s">
        <v>10910</v>
      </c>
      <c r="E3206" t="s">
        <v>10941</v>
      </c>
      <c r="F3206" t="s">
        <v>118</v>
      </c>
      <c r="G3206" t="str">
        <f>HYPERLINK("https://vk.com/wall-74441888_895523?reply=898478&amp;thread=897724")</f>
        <v>https://vk.com/wall-74441888_895523?reply=898478&amp;thread=897724</v>
      </c>
      <c r="H3206" t="s">
        <v>181</v>
      </c>
      <c r="I3206" t="s">
        <v>10942</v>
      </c>
      <c r="J3206" t="str">
        <f>HYPERLINK("http://vk.com/id594697770")</f>
        <v>http://vk.com/id594697770</v>
      </c>
      <c r="K3206">
        <v>36</v>
      </c>
      <c r="L3206" t="s">
        <v>121</v>
      </c>
      <c r="N3206" t="s">
        <v>122</v>
      </c>
      <c r="O3206" t="s">
        <v>10913</v>
      </c>
      <c r="P3206" t="str">
        <f>HYPERLINK("http://vk.com/club74441888")</f>
        <v>http://vk.com/club74441888</v>
      </c>
      <c r="Q3206">
        <v>71838</v>
      </c>
      <c r="R3206" t="s">
        <v>124</v>
      </c>
      <c r="S3206" t="s">
        <v>125</v>
      </c>
      <c r="AM3206" t="s">
        <v>129</v>
      </c>
      <c r="AN3206" t="s">
        <v>130</v>
      </c>
      <c r="AP3206" t="s">
        <v>41</v>
      </c>
      <c r="AW3206" t="s">
        <v>48</v>
      </c>
      <c r="AZ3206" t="s">
        <v>51</v>
      </c>
      <c r="BA3206" t="s">
        <v>52</v>
      </c>
    </row>
    <row r="3207" spans="1:65" x14ac:dyDescent="0.2">
      <c r="A3207" t="s">
        <v>10729</v>
      </c>
      <c r="B3207" t="s">
        <v>1620</v>
      </c>
      <c r="C3207" t="s">
        <v>10943</v>
      </c>
      <c r="D3207" t="s">
        <v>10944</v>
      </c>
      <c r="E3207" t="s">
        <v>10945</v>
      </c>
      <c r="F3207" t="s">
        <v>118</v>
      </c>
      <c r="G3207" t="str">
        <f>HYPERLINK("https://vk.com/wall-22935147_368103?reply=368157")</f>
        <v>https://vk.com/wall-22935147_368103?reply=368157</v>
      </c>
      <c r="H3207" t="s">
        <v>181</v>
      </c>
      <c r="I3207" t="s">
        <v>10942</v>
      </c>
      <c r="J3207" t="str">
        <f>HYPERLINK("http://vk.com/id594697770")</f>
        <v>http://vk.com/id594697770</v>
      </c>
      <c r="K3207">
        <v>36</v>
      </c>
      <c r="L3207" t="s">
        <v>121</v>
      </c>
      <c r="N3207" t="s">
        <v>122</v>
      </c>
      <c r="O3207" t="s">
        <v>1093</v>
      </c>
      <c r="P3207" t="str">
        <f>HYPERLINK("http://vk.com/club22935147")</f>
        <v>http://vk.com/club22935147</v>
      </c>
      <c r="Q3207">
        <v>8943</v>
      </c>
      <c r="R3207" t="s">
        <v>124</v>
      </c>
      <c r="S3207" t="s">
        <v>125</v>
      </c>
      <c r="W3207">
        <v>0</v>
      </c>
      <c r="X3207">
        <v>0</v>
      </c>
      <c r="AM3207" t="s">
        <v>129</v>
      </c>
      <c r="AN3207" t="s">
        <v>130</v>
      </c>
      <c r="AP3207" t="s">
        <v>41</v>
      </c>
      <c r="AX3207" t="s">
        <v>49</v>
      </c>
      <c r="AY3207" t="s">
        <v>50</v>
      </c>
      <c r="AZ3207" t="s">
        <v>51</v>
      </c>
      <c r="BA3207" t="s">
        <v>52</v>
      </c>
    </row>
    <row r="3208" spans="1:65" x14ac:dyDescent="0.2">
      <c r="A3208" t="s">
        <v>10729</v>
      </c>
      <c r="B3208" t="s">
        <v>2074</v>
      </c>
      <c r="C3208" t="s">
        <v>10943</v>
      </c>
      <c r="D3208" t="s">
        <v>10946</v>
      </c>
      <c r="E3208" t="s">
        <v>10947</v>
      </c>
      <c r="F3208" t="s">
        <v>118</v>
      </c>
      <c r="G3208" t="str">
        <f>HYPERLINK("https://vk.com/wall-22935147_368114?w=wall-22935147_368114_r368156")</f>
        <v>https://vk.com/wall-22935147_368114?w=wall-22935147_368114_r368156</v>
      </c>
      <c r="H3208" t="s">
        <v>119</v>
      </c>
      <c r="I3208" t="s">
        <v>10942</v>
      </c>
      <c r="J3208" t="str">
        <f>HYPERLINK("http://vk.com/id594697770")</f>
        <v>http://vk.com/id594697770</v>
      </c>
      <c r="K3208">
        <v>36</v>
      </c>
      <c r="L3208" t="s">
        <v>121</v>
      </c>
      <c r="N3208" t="s">
        <v>122</v>
      </c>
      <c r="O3208" t="s">
        <v>1093</v>
      </c>
      <c r="P3208" t="str">
        <f>HYPERLINK("http://vk.com/club22935147")</f>
        <v>http://vk.com/club22935147</v>
      </c>
      <c r="Q3208">
        <v>8943</v>
      </c>
      <c r="R3208" t="s">
        <v>124</v>
      </c>
      <c r="S3208" t="s">
        <v>125</v>
      </c>
      <c r="W3208">
        <v>0</v>
      </c>
      <c r="X3208">
        <v>0</v>
      </c>
      <c r="AM3208" t="s">
        <v>129</v>
      </c>
      <c r="AN3208" t="s">
        <v>130</v>
      </c>
      <c r="AP3208" t="s">
        <v>41</v>
      </c>
      <c r="AU3208" t="s">
        <v>46</v>
      </c>
      <c r="AY3208" t="s">
        <v>50</v>
      </c>
      <c r="AZ3208" t="s">
        <v>51</v>
      </c>
      <c r="BA3208" t="s">
        <v>52</v>
      </c>
    </row>
    <row r="3209" spans="1:65" x14ac:dyDescent="0.2">
      <c r="A3209" t="s">
        <v>10729</v>
      </c>
      <c r="B3209" t="s">
        <v>1622</v>
      </c>
      <c r="C3209" t="s">
        <v>10948</v>
      </c>
      <c r="D3209" t="s">
        <v>10949</v>
      </c>
      <c r="E3209" t="s">
        <v>10950</v>
      </c>
      <c r="F3209" t="s">
        <v>118</v>
      </c>
      <c r="G3209" t="str">
        <f>HYPERLINK("https://vk.com/wall-67332874_657273?reply=657512&amp;thread=657334")</f>
        <v>https://vk.com/wall-67332874_657273?reply=657512&amp;thread=657334</v>
      </c>
      <c r="H3209" t="s">
        <v>119</v>
      </c>
      <c r="I3209" t="s">
        <v>10942</v>
      </c>
      <c r="J3209" t="str">
        <f>HYPERLINK("http://vk.com/id594697770")</f>
        <v>http://vk.com/id594697770</v>
      </c>
      <c r="K3209">
        <v>36</v>
      </c>
      <c r="L3209" t="s">
        <v>121</v>
      </c>
      <c r="N3209" t="s">
        <v>122</v>
      </c>
      <c r="O3209" t="s">
        <v>10951</v>
      </c>
      <c r="P3209" t="str">
        <f>HYPERLINK("http://vk.com/club67332874")</f>
        <v>http://vk.com/club67332874</v>
      </c>
      <c r="Q3209">
        <v>25133</v>
      </c>
      <c r="R3209" t="s">
        <v>124</v>
      </c>
      <c r="S3209" t="s">
        <v>125</v>
      </c>
      <c r="AM3209" t="s">
        <v>129</v>
      </c>
      <c r="AN3209" t="s">
        <v>130</v>
      </c>
      <c r="AP3209" t="s">
        <v>41</v>
      </c>
      <c r="AW3209" t="s">
        <v>48</v>
      </c>
      <c r="AZ3209" t="s">
        <v>51</v>
      </c>
      <c r="BA3209" t="s">
        <v>52</v>
      </c>
      <c r="BL3209" t="s">
        <v>63</v>
      </c>
    </row>
    <row r="3210" spans="1:65" x14ac:dyDescent="0.2">
      <c r="A3210" t="s">
        <v>10729</v>
      </c>
      <c r="B3210" t="s">
        <v>2611</v>
      </c>
      <c r="C3210" t="s">
        <v>10952</v>
      </c>
      <c r="D3210" t="s">
        <v>10953</v>
      </c>
      <c r="E3210" t="s">
        <v>10954</v>
      </c>
      <c r="F3210" t="s">
        <v>118</v>
      </c>
      <c r="G3210" t="str">
        <f>HYPERLINK("https://telegram.me/Bulgariame2021/72641")</f>
        <v>https://telegram.me/Bulgariame2021/72641</v>
      </c>
      <c r="H3210" t="s">
        <v>119</v>
      </c>
      <c r="I3210" t="s">
        <v>10955</v>
      </c>
      <c r="J3210" t="str">
        <f>HYPERLINK("https://telegram.me/1595574936")</f>
        <v>https://telegram.me/1595574936</v>
      </c>
      <c r="L3210" t="s">
        <v>121</v>
      </c>
      <c r="N3210" t="s">
        <v>143</v>
      </c>
      <c r="O3210" t="s">
        <v>10956</v>
      </c>
      <c r="P3210" t="str">
        <f>HYPERLINK("https://telegram.me/bulgariame2021")</f>
        <v>https://telegram.me/bulgariame2021</v>
      </c>
      <c r="Q3210">
        <v>2609</v>
      </c>
      <c r="R3210" t="s">
        <v>145</v>
      </c>
      <c r="AM3210" t="s">
        <v>129</v>
      </c>
      <c r="AN3210" t="s">
        <v>130</v>
      </c>
      <c r="AP3210" t="s">
        <v>41</v>
      </c>
      <c r="AZ3210" t="s">
        <v>51</v>
      </c>
      <c r="BA3210" t="s">
        <v>52</v>
      </c>
      <c r="BM3210" t="s">
        <v>64</v>
      </c>
    </row>
    <row r="3211" spans="1:65" x14ac:dyDescent="0.2">
      <c r="A3211" t="s">
        <v>10729</v>
      </c>
      <c r="B3211" t="s">
        <v>2613</v>
      </c>
      <c r="C3211" t="s">
        <v>10957</v>
      </c>
      <c r="D3211" t="s">
        <v>10958</v>
      </c>
      <c r="E3211" t="s">
        <v>10959</v>
      </c>
      <c r="F3211" t="s">
        <v>118</v>
      </c>
      <c r="G3211" t="str">
        <f>HYPERLINK("https://otzovik.com/review_12132084.html#89797309")</f>
        <v>https://otzovik.com/review_12132084.html#89797309</v>
      </c>
      <c r="H3211" t="s">
        <v>119</v>
      </c>
      <c r="I3211" t="s">
        <v>1565</v>
      </c>
      <c r="J3211" t="str">
        <f>HYPERLINK("http://otzovik.com/profile/Tricolor+support")</f>
        <v>http://otzovik.com/profile/Tricolor+support</v>
      </c>
      <c r="N3211" t="s">
        <v>390</v>
      </c>
      <c r="O3211" t="s">
        <v>10960</v>
      </c>
      <c r="P3211" t="str">
        <f>HYPERLINK("https://otzovik.com/reviews/kompaniya_grishanov_vitaliy_borisovich_russia_saratov/")</f>
        <v>https://otzovik.com/reviews/kompaniya_grishanov_vitaliy_borisovich_russia_saratov/</v>
      </c>
      <c r="R3211" t="s">
        <v>184</v>
      </c>
      <c r="S3211" t="s">
        <v>125</v>
      </c>
      <c r="AM3211" t="s">
        <v>129</v>
      </c>
      <c r="AN3211" t="s">
        <v>130</v>
      </c>
      <c r="BI3211" t="s">
        <v>60</v>
      </c>
    </row>
    <row r="3212" spans="1:65" x14ac:dyDescent="0.2">
      <c r="A3212" t="s">
        <v>10729</v>
      </c>
      <c r="B3212" t="s">
        <v>2633</v>
      </c>
      <c r="C3212" t="s">
        <v>10961</v>
      </c>
      <c r="D3212" t="s">
        <v>5174</v>
      </c>
      <c r="E3212" t="s">
        <v>10962</v>
      </c>
      <c r="F3212" t="s">
        <v>180</v>
      </c>
      <c r="G3212" t="str">
        <f>HYPERLINK("https://www.wildberries.ru/catalog/18944219/detail.aspx?targetUrl=ES#Comments")</f>
        <v>https://www.wildberries.ru/catalog/18944219/detail.aspx?targetUrl=ES#Comments</v>
      </c>
      <c r="H3212" t="s">
        <v>181</v>
      </c>
      <c r="I3212" t="s">
        <v>5187</v>
      </c>
      <c r="J3212" t="str">
        <f>HYPERLINK("https://www.wildberries.ru/profile/w7TDssOkw7PCu8KwwrjCsMKywrnCsMKwwrQ=")</f>
        <v>https://www.wildberries.ru/profile/w7TDssOkw7PCu8KwwrjCsMKywrnCsMKwwrQ=</v>
      </c>
      <c r="L3212" t="s">
        <v>151</v>
      </c>
      <c r="N3212" t="s">
        <v>534</v>
      </c>
      <c r="O3212" t="s">
        <v>5174</v>
      </c>
      <c r="P3212" t="str">
        <f>HYPERLINK("https://www.wildberries.ru/catalog/14067782/detail.aspx")</f>
        <v>https://www.wildberries.ru/catalog/14067782/detail.aspx</v>
      </c>
      <c r="R3212" t="s">
        <v>184</v>
      </c>
      <c r="S3212" t="s">
        <v>125</v>
      </c>
      <c r="W3212">
        <v>0</v>
      </c>
      <c r="X3212">
        <v>0</v>
      </c>
      <c r="AH3212">
        <v>5</v>
      </c>
      <c r="AJ3212" t="s">
        <v>129</v>
      </c>
      <c r="AK3212" t="s">
        <v>129</v>
      </c>
      <c r="AL3212" t="str">
        <f>HYPERLINK("http://feedbackphotos.wbstatic.net/feedbacks/1406/14067782/5bde7190-fb7b-4aa8-ad5d-b8ba0278a301_fs.jpg")</f>
        <v>http://feedbackphotos.wbstatic.net/feedbacks/1406/14067782/5bde7190-fb7b-4aa8-ad5d-b8ba0278a301_fs.jpg</v>
      </c>
      <c r="AM3212" t="s">
        <v>129</v>
      </c>
      <c r="AN3212" t="s">
        <v>130</v>
      </c>
      <c r="AP3212" t="s">
        <v>41</v>
      </c>
      <c r="AT3212" t="s">
        <v>45</v>
      </c>
      <c r="AZ3212" t="s">
        <v>51</v>
      </c>
      <c r="BA3212" t="s">
        <v>52</v>
      </c>
      <c r="BK3212" t="s">
        <v>62</v>
      </c>
      <c r="BL3212" t="s">
        <v>63</v>
      </c>
    </row>
    <row r="3213" spans="1:65" x14ac:dyDescent="0.2">
      <c r="A3213" t="s">
        <v>10729</v>
      </c>
      <c r="B3213" t="s">
        <v>2633</v>
      </c>
      <c r="C3213" t="s">
        <v>10749</v>
      </c>
      <c r="D3213" t="s">
        <v>5174</v>
      </c>
      <c r="E3213" t="s">
        <v>5429</v>
      </c>
      <c r="F3213" t="s">
        <v>118</v>
      </c>
      <c r="G3213" t="str">
        <f>HYPERLINK("https://www.wildberries.ru/catalog/18944219/detail.aspx?targetUrl=ES#Comments")</f>
        <v>https://www.wildberries.ru/catalog/18944219/detail.aspx?targetUrl=ES#Comments</v>
      </c>
      <c r="H3213" t="s">
        <v>119</v>
      </c>
      <c r="I3213" t="s">
        <v>3023</v>
      </c>
      <c r="J3213" t="str">
        <f>HYPERLINK("https://www.wildberries.ru/brands/trikolor")</f>
        <v>https://www.wildberries.ru/brands/trikolor</v>
      </c>
      <c r="L3213" t="s">
        <v>340</v>
      </c>
      <c r="N3213" t="s">
        <v>534</v>
      </c>
      <c r="O3213" t="s">
        <v>5174</v>
      </c>
      <c r="P3213" t="str">
        <f>HYPERLINK("https://www.wildberries.ru/catalog/14067782/detail.aspx")</f>
        <v>https://www.wildberries.ru/catalog/14067782/detail.aspx</v>
      </c>
      <c r="R3213" t="s">
        <v>184</v>
      </c>
      <c r="S3213" t="s">
        <v>125</v>
      </c>
      <c r="AM3213" t="s">
        <v>129</v>
      </c>
      <c r="AN3213" t="s">
        <v>130</v>
      </c>
      <c r="BI3213" t="s">
        <v>60</v>
      </c>
    </row>
    <row r="3214" spans="1:65" x14ac:dyDescent="0.2">
      <c r="A3214" t="s">
        <v>10729</v>
      </c>
      <c r="B3214" t="s">
        <v>6457</v>
      </c>
      <c r="C3214" t="s">
        <v>10963</v>
      </c>
      <c r="D3214" t="s">
        <v>10964</v>
      </c>
      <c r="E3214" t="s">
        <v>10965</v>
      </c>
      <c r="F3214" t="s">
        <v>118</v>
      </c>
      <c r="G3214" t="str">
        <f>HYPERLINK("https://vk.com/wall-22935147_368148?reply=368155")</f>
        <v>https://vk.com/wall-22935147_368148?reply=368155</v>
      </c>
      <c r="H3214" t="s">
        <v>119</v>
      </c>
      <c r="I3214" t="s">
        <v>10966</v>
      </c>
      <c r="J3214" t="str">
        <f>HYPERLINK("http://vk.com/id282022969")</f>
        <v>http://vk.com/id282022969</v>
      </c>
      <c r="K3214">
        <v>106</v>
      </c>
      <c r="L3214" t="s">
        <v>121</v>
      </c>
      <c r="N3214" t="s">
        <v>122</v>
      </c>
      <c r="O3214" t="s">
        <v>1093</v>
      </c>
      <c r="P3214" t="str">
        <f>HYPERLINK("http://vk.com/club22935147")</f>
        <v>http://vk.com/club22935147</v>
      </c>
      <c r="Q3214">
        <v>8943</v>
      </c>
      <c r="R3214" t="s">
        <v>124</v>
      </c>
      <c r="S3214" t="s">
        <v>125</v>
      </c>
      <c r="T3214" t="s">
        <v>3890</v>
      </c>
      <c r="U3214" t="s">
        <v>10967</v>
      </c>
      <c r="W3214">
        <v>0</v>
      </c>
      <c r="X3214">
        <v>0</v>
      </c>
      <c r="AM3214" t="s">
        <v>129</v>
      </c>
      <c r="AN3214" t="s">
        <v>130</v>
      </c>
      <c r="AP3214" t="s">
        <v>41</v>
      </c>
      <c r="AX3214" t="s">
        <v>49</v>
      </c>
      <c r="AZ3214" t="s">
        <v>51</v>
      </c>
      <c r="BA3214" t="s">
        <v>52</v>
      </c>
    </row>
    <row r="3215" spans="1:65" x14ac:dyDescent="0.2">
      <c r="A3215" t="s">
        <v>10729</v>
      </c>
      <c r="B3215" t="s">
        <v>2099</v>
      </c>
      <c r="C3215" t="s">
        <v>10968</v>
      </c>
      <c r="D3215" t="s">
        <v>10969</v>
      </c>
      <c r="E3215" t="s">
        <v>10970</v>
      </c>
      <c r="F3215" t="s">
        <v>180</v>
      </c>
      <c r="G3215" t="str">
        <f>HYPERLINK("https://market.yandex.ru/product/483347035/reviews?id=134021177")</f>
        <v>https://market.yandex.ru/product/483347035/reviews?id=134021177</v>
      </c>
      <c r="H3215" t="s">
        <v>181</v>
      </c>
      <c r="I3215" t="s">
        <v>10971</v>
      </c>
      <c r="J3215" t="str">
        <f>HYPERLINK("https://market.yandex.ru/user/bcu2ddch0vby8hwacvyyh9m0tc/reviews")</f>
        <v>https://market.yandex.ru/user/bcu2ddch0vby8hwacvyyh9m0tc/reviews</v>
      </c>
      <c r="L3215" t="s">
        <v>121</v>
      </c>
      <c r="N3215" t="s">
        <v>611</v>
      </c>
      <c r="O3215" t="s">
        <v>10969</v>
      </c>
      <c r="P3215" t="str">
        <f>HYPERLINK("https://market.yandex.ru/product/483347035")</f>
        <v>https://market.yandex.ru/product/483347035</v>
      </c>
      <c r="R3215" t="s">
        <v>184</v>
      </c>
      <c r="S3215" t="s">
        <v>125</v>
      </c>
      <c r="W3215">
        <v>0</v>
      </c>
      <c r="X3215">
        <v>0</v>
      </c>
      <c r="AH3215">
        <v>5</v>
      </c>
      <c r="AM3215" t="s">
        <v>129</v>
      </c>
      <c r="AN3215" t="s">
        <v>130</v>
      </c>
      <c r="AP3215" t="s">
        <v>41</v>
      </c>
      <c r="AZ3215" t="s">
        <v>51</v>
      </c>
      <c r="BA3215" t="s">
        <v>52</v>
      </c>
      <c r="BK3215" t="s">
        <v>62</v>
      </c>
      <c r="BL3215" t="s">
        <v>63</v>
      </c>
    </row>
    <row r="3216" spans="1:65" x14ac:dyDescent="0.2">
      <c r="A3216" t="s">
        <v>10729</v>
      </c>
      <c r="B3216" t="s">
        <v>4821</v>
      </c>
      <c r="C3216" t="s">
        <v>10776</v>
      </c>
      <c r="D3216" t="s">
        <v>3210</v>
      </c>
      <c r="E3216" t="s">
        <v>10972</v>
      </c>
      <c r="F3216" t="s">
        <v>180</v>
      </c>
      <c r="G3216" t="str">
        <f>HYPERLINK("https://telesputnik.ru/forum/viewtopic.php?f=36&amp;t=75646&amp;start=2060#p2479527")</f>
        <v>https://telesputnik.ru/forum/viewtopic.php?f=36&amp;t=75646&amp;start=2060#p2479527</v>
      </c>
      <c r="H3216" t="s">
        <v>119</v>
      </c>
      <c r="I3216" t="s">
        <v>10778</v>
      </c>
      <c r="J3216" t="str">
        <f>HYPERLINK("https://telesputnik.ru/forum/memberlist.php?mode=viewprofile&amp;u=87495")</f>
        <v>https://telesputnik.ru/forum/memberlist.php?mode=viewprofile&amp;u=87495</v>
      </c>
      <c r="N3216" t="s">
        <v>335</v>
      </c>
      <c r="O3216" t="s">
        <v>909</v>
      </c>
      <c r="P3216" t="str">
        <f>HYPERLINK("https://telesputnik.ru/forum/viewforum.php?f=36")</f>
        <v>https://telesputnik.ru/forum/viewforum.php?f=36</v>
      </c>
      <c r="R3216" t="s">
        <v>295</v>
      </c>
      <c r="S3216" t="s">
        <v>125</v>
      </c>
      <c r="AM3216" t="s">
        <v>129</v>
      </c>
      <c r="AN3216" t="s">
        <v>130</v>
      </c>
      <c r="AP3216" t="s">
        <v>41</v>
      </c>
      <c r="AU3216" t="s">
        <v>46</v>
      </c>
      <c r="AZ3216" t="s">
        <v>51</v>
      </c>
      <c r="BA3216" t="s">
        <v>52</v>
      </c>
    </row>
    <row r="3217" spans="1:90" x14ac:dyDescent="0.2">
      <c r="A3217" t="s">
        <v>10729</v>
      </c>
      <c r="B3217" t="s">
        <v>2134</v>
      </c>
      <c r="C3217" t="s">
        <v>10973</v>
      </c>
      <c r="D3217" t="s">
        <v>204</v>
      </c>
      <c r="E3217" t="s">
        <v>9183</v>
      </c>
      <c r="F3217" t="s">
        <v>180</v>
      </c>
      <c r="G3217" t="str">
        <f>HYPERLINK("https://play.google.com/store/apps/details?id=ru.iflex.android.a3colortv&amp;reviewId=gp:AOqpTOEi8dttQZf9iPMInjEcezYZi388U-p6ZlrrPkNOpz5k1IJrnHSG57IMHpiYJQg7qEnuW049OOao0kFR5A")</f>
        <v>https://play.google.com/store/apps/details?id=ru.iflex.android.a3colortv&amp;reviewId=gp:AOqpTOEi8dttQZf9iPMInjEcezYZi388U-p6ZlrrPkNOpz5k1IJrnHSG57IMHpiYJQg7qEnuW049OOao0kFR5A</v>
      </c>
      <c r="H3217" t="s">
        <v>181</v>
      </c>
      <c r="I3217" t="s">
        <v>10974</v>
      </c>
      <c r="J3217" t="str">
        <f>HYPERLINK("https://plus.google.com/102972299808660201823")</f>
        <v>https://plus.google.com/102972299808660201823</v>
      </c>
      <c r="L3217" t="s">
        <v>121</v>
      </c>
      <c r="N3217" t="s">
        <v>207</v>
      </c>
      <c r="O3217" t="s">
        <v>204</v>
      </c>
      <c r="P3217" t="str">
        <f>HYPERLINK("https://play.google.com/store/apps/details?id=ru.iflex.android.a3colortv&amp;hl=ru")</f>
        <v>https://play.google.com/store/apps/details?id=ru.iflex.android.a3colortv&amp;hl=ru</v>
      </c>
      <c r="R3217" t="s">
        <v>184</v>
      </c>
      <c r="S3217" t="s">
        <v>125</v>
      </c>
      <c r="W3217">
        <v>0</v>
      </c>
      <c r="X3217">
        <v>0</v>
      </c>
      <c r="AH3217">
        <v>5</v>
      </c>
      <c r="AM3217" t="s">
        <v>129</v>
      </c>
      <c r="AN3217" t="s">
        <v>130</v>
      </c>
      <c r="AP3217" t="s">
        <v>41</v>
      </c>
      <c r="AZ3217" t="s">
        <v>51</v>
      </c>
      <c r="BA3217" t="s">
        <v>52</v>
      </c>
      <c r="BQ3217" t="s">
        <v>68</v>
      </c>
    </row>
    <row r="3218" spans="1:90" x14ac:dyDescent="0.2">
      <c r="A3218" t="s">
        <v>10729</v>
      </c>
      <c r="B3218" t="s">
        <v>1700</v>
      </c>
      <c r="C3218" t="s">
        <v>10975</v>
      </c>
      <c r="D3218" t="s">
        <v>10561</v>
      </c>
      <c r="E3218" t="s">
        <v>10976</v>
      </c>
      <c r="F3218" t="s">
        <v>118</v>
      </c>
      <c r="G3218" t="str">
        <f>HYPERLINK("https://vk.com/wall-27863223_291399?w=wall-27863223_291399_r291438")</f>
        <v>https://vk.com/wall-27863223_291399?w=wall-27863223_291399_r291438</v>
      </c>
      <c r="H3218" t="s">
        <v>181</v>
      </c>
      <c r="I3218" t="s">
        <v>254</v>
      </c>
      <c r="J3218" t="str">
        <f>HYPERLINK("http://vk.com/id286061518")</f>
        <v>http://vk.com/id286061518</v>
      </c>
      <c r="K3218">
        <v>5170</v>
      </c>
      <c r="L3218" t="s">
        <v>121</v>
      </c>
      <c r="M3218">
        <v>34</v>
      </c>
      <c r="N3218" t="s">
        <v>122</v>
      </c>
      <c r="O3218" t="s">
        <v>175</v>
      </c>
      <c r="P3218" t="str">
        <f>HYPERLINK("http://vk.com/club27863223")</f>
        <v>http://vk.com/club27863223</v>
      </c>
      <c r="Q3218">
        <v>134698</v>
      </c>
      <c r="R3218" t="s">
        <v>124</v>
      </c>
      <c r="S3218" t="s">
        <v>125</v>
      </c>
      <c r="T3218" t="s">
        <v>256</v>
      </c>
      <c r="U3218" t="s">
        <v>257</v>
      </c>
      <c r="W3218">
        <v>0</v>
      </c>
      <c r="X3218">
        <v>0</v>
      </c>
      <c r="AM3218" t="s">
        <v>129</v>
      </c>
      <c r="AN3218" t="s">
        <v>130</v>
      </c>
      <c r="AP3218" t="s">
        <v>41</v>
      </c>
      <c r="AU3218" t="s">
        <v>46</v>
      </c>
      <c r="AZ3218" t="s">
        <v>51</v>
      </c>
      <c r="BA3218" t="s">
        <v>52</v>
      </c>
    </row>
    <row r="3219" spans="1:90" x14ac:dyDescent="0.2">
      <c r="A3219" t="s">
        <v>10729</v>
      </c>
      <c r="B3219" t="s">
        <v>3913</v>
      </c>
      <c r="C3219" t="s">
        <v>10977</v>
      </c>
      <c r="D3219" t="s">
        <v>5461</v>
      </c>
      <c r="E3219" t="s">
        <v>10978</v>
      </c>
      <c r="F3219" t="s">
        <v>118</v>
      </c>
      <c r="G3219" t="str">
        <f>HYPERLINK("https://vk.com/wall-22935147_368066?w=wall-22935147_368066_r368151")</f>
        <v>https://vk.com/wall-22935147_368066?w=wall-22935147_368066_r368151</v>
      </c>
      <c r="H3219" t="s">
        <v>119</v>
      </c>
      <c r="I3219" t="s">
        <v>10979</v>
      </c>
      <c r="J3219" t="str">
        <f>HYPERLINK("http://vk.com/id609492041")</f>
        <v>http://vk.com/id609492041</v>
      </c>
      <c r="K3219">
        <v>128</v>
      </c>
      <c r="L3219" t="s">
        <v>121</v>
      </c>
      <c r="M3219">
        <v>20</v>
      </c>
      <c r="N3219" t="s">
        <v>122</v>
      </c>
      <c r="O3219" t="s">
        <v>1093</v>
      </c>
      <c r="P3219" t="str">
        <f>HYPERLINK("http://vk.com/club22935147")</f>
        <v>http://vk.com/club22935147</v>
      </c>
      <c r="Q3219">
        <v>8943</v>
      </c>
      <c r="R3219" t="s">
        <v>124</v>
      </c>
      <c r="S3219" t="s">
        <v>125</v>
      </c>
      <c r="W3219">
        <v>0</v>
      </c>
      <c r="X3219">
        <v>0</v>
      </c>
      <c r="AM3219" t="s">
        <v>129</v>
      </c>
      <c r="AN3219" t="s">
        <v>130</v>
      </c>
      <c r="AP3219" t="s">
        <v>41</v>
      </c>
      <c r="AU3219" t="s">
        <v>46</v>
      </c>
      <c r="AZ3219" t="s">
        <v>51</v>
      </c>
      <c r="BA3219" t="s">
        <v>52</v>
      </c>
    </row>
    <row r="3220" spans="1:90" x14ac:dyDescent="0.2">
      <c r="A3220" t="s">
        <v>10729</v>
      </c>
      <c r="B3220" t="s">
        <v>2717</v>
      </c>
      <c r="C3220" t="s">
        <v>10977</v>
      </c>
      <c r="D3220" t="s">
        <v>10561</v>
      </c>
      <c r="E3220" t="s">
        <v>10980</v>
      </c>
      <c r="F3220" t="s">
        <v>118</v>
      </c>
      <c r="G3220" t="str">
        <f>HYPERLINK("https://vk.com/wall-27863223_291399?reply=291435")</f>
        <v>https://vk.com/wall-27863223_291399?reply=291435</v>
      </c>
      <c r="H3220" t="s">
        <v>119</v>
      </c>
      <c r="I3220" t="s">
        <v>254</v>
      </c>
      <c r="J3220" t="str">
        <f>HYPERLINK("http://vk.com/id286061518")</f>
        <v>http://vk.com/id286061518</v>
      </c>
      <c r="K3220">
        <v>5170</v>
      </c>
      <c r="L3220" t="s">
        <v>121</v>
      </c>
      <c r="M3220">
        <v>34</v>
      </c>
      <c r="N3220" t="s">
        <v>122</v>
      </c>
      <c r="O3220" t="s">
        <v>175</v>
      </c>
      <c r="P3220" t="str">
        <f>HYPERLINK("http://vk.com/club27863223")</f>
        <v>http://vk.com/club27863223</v>
      </c>
      <c r="Q3220">
        <v>134698</v>
      </c>
      <c r="R3220" t="s">
        <v>124</v>
      </c>
      <c r="S3220" t="s">
        <v>125</v>
      </c>
      <c r="T3220" t="s">
        <v>256</v>
      </c>
      <c r="U3220" t="s">
        <v>257</v>
      </c>
      <c r="W3220">
        <v>0</v>
      </c>
      <c r="X3220">
        <v>0</v>
      </c>
      <c r="AM3220" t="s">
        <v>129</v>
      </c>
      <c r="AN3220" t="s">
        <v>130</v>
      </c>
      <c r="AP3220" t="s">
        <v>41</v>
      </c>
      <c r="AU3220" t="s">
        <v>46</v>
      </c>
      <c r="AZ3220" t="s">
        <v>51</v>
      </c>
      <c r="BA3220" t="s">
        <v>52</v>
      </c>
    </row>
    <row r="3221" spans="1:90" x14ac:dyDescent="0.2">
      <c r="A3221" t="s">
        <v>10729</v>
      </c>
      <c r="B3221" t="s">
        <v>2720</v>
      </c>
      <c r="C3221" t="s">
        <v>10977</v>
      </c>
      <c r="D3221" t="s">
        <v>10561</v>
      </c>
      <c r="E3221" t="s">
        <v>10981</v>
      </c>
      <c r="F3221" t="s">
        <v>118</v>
      </c>
      <c r="G3221" t="str">
        <f>HYPERLINK("https://vk.com/wall-27863223_291399?reply=291434")</f>
        <v>https://vk.com/wall-27863223_291399?reply=291434</v>
      </c>
      <c r="H3221" t="s">
        <v>119</v>
      </c>
      <c r="I3221" t="s">
        <v>254</v>
      </c>
      <c r="J3221" t="str">
        <f>HYPERLINK("http://vk.com/id286061518")</f>
        <v>http://vk.com/id286061518</v>
      </c>
      <c r="K3221">
        <v>5170</v>
      </c>
      <c r="L3221" t="s">
        <v>121</v>
      </c>
      <c r="M3221">
        <v>34</v>
      </c>
      <c r="N3221" t="s">
        <v>122</v>
      </c>
      <c r="O3221" t="s">
        <v>175</v>
      </c>
      <c r="P3221" t="str">
        <f>HYPERLINK("http://vk.com/club27863223")</f>
        <v>http://vk.com/club27863223</v>
      </c>
      <c r="Q3221">
        <v>134698</v>
      </c>
      <c r="R3221" t="s">
        <v>124</v>
      </c>
      <c r="S3221" t="s">
        <v>125</v>
      </c>
      <c r="T3221" t="s">
        <v>256</v>
      </c>
      <c r="U3221" t="s">
        <v>257</v>
      </c>
      <c r="W3221">
        <v>0</v>
      </c>
      <c r="X3221">
        <v>0</v>
      </c>
      <c r="AM3221" t="s">
        <v>129</v>
      </c>
      <c r="AN3221" t="s">
        <v>130</v>
      </c>
      <c r="AP3221" t="s">
        <v>41</v>
      </c>
      <c r="AU3221" t="s">
        <v>46</v>
      </c>
      <c r="AZ3221" t="s">
        <v>51</v>
      </c>
      <c r="BA3221" t="s">
        <v>52</v>
      </c>
    </row>
    <row r="3222" spans="1:90" x14ac:dyDescent="0.2">
      <c r="A3222" t="s">
        <v>10729</v>
      </c>
      <c r="B3222" t="s">
        <v>2151</v>
      </c>
      <c r="C3222" t="s">
        <v>10977</v>
      </c>
      <c r="D3222" t="s">
        <v>129</v>
      </c>
      <c r="E3222" t="s">
        <v>10964</v>
      </c>
      <c r="F3222" t="s">
        <v>180</v>
      </c>
      <c r="G3222" t="str">
        <f>HYPERLINK("https://vk.com/wall-22935147_368148")</f>
        <v>https://vk.com/wall-22935147_368148</v>
      </c>
      <c r="H3222" t="s">
        <v>228</v>
      </c>
      <c r="I3222" t="s">
        <v>10982</v>
      </c>
      <c r="J3222" t="str">
        <f>HYPERLINK("http://vk.com/id312563123")</f>
        <v>http://vk.com/id312563123</v>
      </c>
      <c r="K3222">
        <v>2889</v>
      </c>
      <c r="L3222" t="s">
        <v>121</v>
      </c>
      <c r="N3222" t="s">
        <v>122</v>
      </c>
      <c r="O3222" t="s">
        <v>1093</v>
      </c>
      <c r="P3222" t="str">
        <f>HYPERLINK("http://vk.com/club22935147")</f>
        <v>http://vk.com/club22935147</v>
      </c>
      <c r="Q3222">
        <v>8943</v>
      </c>
      <c r="R3222" t="s">
        <v>124</v>
      </c>
      <c r="S3222" t="s">
        <v>125</v>
      </c>
      <c r="T3222" t="s">
        <v>1275</v>
      </c>
      <c r="U3222" t="s">
        <v>1276</v>
      </c>
      <c r="W3222">
        <v>9</v>
      </c>
      <c r="X3222">
        <v>9</v>
      </c>
      <c r="AE3222">
        <v>5</v>
      </c>
      <c r="AF3222">
        <v>0</v>
      </c>
      <c r="AG3222">
        <v>1570</v>
      </c>
      <c r="AM3222" t="s">
        <v>129</v>
      </c>
      <c r="AN3222" t="s">
        <v>130</v>
      </c>
      <c r="AP3222" t="s">
        <v>41</v>
      </c>
      <c r="BA3222" t="s">
        <v>52</v>
      </c>
      <c r="BF3222" t="s">
        <v>57</v>
      </c>
      <c r="CL3222" t="s">
        <v>89</v>
      </c>
    </row>
    <row r="3223" spans="1:90" x14ac:dyDescent="0.2">
      <c r="A3223" t="s">
        <v>10729</v>
      </c>
      <c r="B3223" t="s">
        <v>7199</v>
      </c>
      <c r="C3223" t="s">
        <v>10983</v>
      </c>
      <c r="D3223" t="s">
        <v>10984</v>
      </c>
      <c r="E3223" t="s">
        <v>10985</v>
      </c>
      <c r="F3223" t="s">
        <v>118</v>
      </c>
      <c r="G3223" t="str">
        <f>HYPERLINK("https://vk.com/wall-61395243_468026?reply=468372")</f>
        <v>https://vk.com/wall-61395243_468026?reply=468372</v>
      </c>
      <c r="H3223" t="s">
        <v>181</v>
      </c>
      <c r="I3223" t="s">
        <v>10986</v>
      </c>
      <c r="J3223" t="str">
        <f>HYPERLINK("http://vk.com/id313166088")</f>
        <v>http://vk.com/id313166088</v>
      </c>
      <c r="K3223">
        <v>18</v>
      </c>
      <c r="L3223" t="s">
        <v>151</v>
      </c>
      <c r="N3223" t="s">
        <v>122</v>
      </c>
      <c r="O3223" t="s">
        <v>10987</v>
      </c>
      <c r="P3223" t="str">
        <f>HYPERLINK("http://vk.com/club61395243")</f>
        <v>http://vk.com/club61395243</v>
      </c>
      <c r="Q3223">
        <v>26990</v>
      </c>
      <c r="R3223" t="s">
        <v>124</v>
      </c>
      <c r="S3223" t="s">
        <v>125</v>
      </c>
      <c r="AM3223" t="s">
        <v>129</v>
      </c>
      <c r="AN3223" t="s">
        <v>130</v>
      </c>
      <c r="AP3223" t="s">
        <v>41</v>
      </c>
      <c r="AW3223" t="s">
        <v>48</v>
      </c>
      <c r="AY3223" t="s">
        <v>50</v>
      </c>
      <c r="AZ3223" t="s">
        <v>51</v>
      </c>
      <c r="BA3223" t="s">
        <v>52</v>
      </c>
    </row>
    <row r="3224" spans="1:90" x14ac:dyDescent="0.2">
      <c r="A3224" t="s">
        <v>10729</v>
      </c>
      <c r="B3224" t="s">
        <v>614</v>
      </c>
      <c r="C3224" t="s">
        <v>10776</v>
      </c>
      <c r="D3224" t="s">
        <v>3210</v>
      </c>
      <c r="E3224" t="s">
        <v>10988</v>
      </c>
      <c r="F3224" t="s">
        <v>180</v>
      </c>
      <c r="G3224" t="str">
        <f>HYPERLINK("https://telesputnik.ru/forum/viewtopic.php?f=36&amp;t=75646&amp;start=2060#p2479493")</f>
        <v>https://telesputnik.ru/forum/viewtopic.php?f=36&amp;t=75646&amp;start=2060#p2479493</v>
      </c>
      <c r="H3224" t="s">
        <v>119</v>
      </c>
      <c r="I3224" t="s">
        <v>1966</v>
      </c>
      <c r="J3224" t="str">
        <f>HYPERLINK("https://telesputnik.ru/forum/memberlist.php?mode=viewprofile&amp;u=23379")</f>
        <v>https://telesputnik.ru/forum/memberlist.php?mode=viewprofile&amp;u=23379</v>
      </c>
      <c r="N3224" t="s">
        <v>335</v>
      </c>
      <c r="O3224" t="s">
        <v>909</v>
      </c>
      <c r="P3224" t="str">
        <f>HYPERLINK("https://telesputnik.ru/forum/viewforum.php?f=36")</f>
        <v>https://telesputnik.ru/forum/viewforum.php?f=36</v>
      </c>
      <c r="R3224" t="s">
        <v>295</v>
      </c>
      <c r="S3224" t="s">
        <v>125</v>
      </c>
      <c r="AM3224" t="s">
        <v>129</v>
      </c>
      <c r="AN3224" t="s">
        <v>130</v>
      </c>
      <c r="AP3224" t="s">
        <v>41</v>
      </c>
      <c r="AU3224" t="s">
        <v>46</v>
      </c>
      <c r="AZ3224" t="s">
        <v>51</v>
      </c>
      <c r="BA3224" t="s">
        <v>52</v>
      </c>
    </row>
    <row r="3225" spans="1:90" x14ac:dyDescent="0.2">
      <c r="A3225" t="s">
        <v>10729</v>
      </c>
      <c r="B3225" t="s">
        <v>1133</v>
      </c>
      <c r="C3225" t="s">
        <v>10989</v>
      </c>
      <c r="D3225" t="s">
        <v>10990</v>
      </c>
      <c r="E3225" t="s">
        <v>10991</v>
      </c>
      <c r="F3225" t="s">
        <v>180</v>
      </c>
      <c r="G3225" t="str">
        <f>HYPERLINK("https://otzovik.com/review_12133659.html")</f>
        <v>https://otzovik.com/review_12133659.html</v>
      </c>
      <c r="H3225" t="s">
        <v>119</v>
      </c>
      <c r="I3225" t="s">
        <v>10992</v>
      </c>
      <c r="J3225" t="str">
        <f>HYPERLINK("http://otzovik.com/profile/Gatito20")</f>
        <v>http://otzovik.com/profile/Gatito20</v>
      </c>
      <c r="N3225" t="s">
        <v>390</v>
      </c>
      <c r="O3225" t="s">
        <v>10993</v>
      </c>
      <c r="P3225" t="str">
        <f>HYPERLINK("https://otzovik.com/reviews/sluzhba_dostavki_boxberry_russia/")</f>
        <v>https://otzovik.com/reviews/sluzhba_dostavki_boxberry_russia/</v>
      </c>
      <c r="R3225" t="s">
        <v>184</v>
      </c>
      <c r="S3225" t="s">
        <v>125</v>
      </c>
      <c r="T3225" t="s">
        <v>2225</v>
      </c>
      <c r="U3225" t="s">
        <v>2861</v>
      </c>
      <c r="W3225">
        <v>0</v>
      </c>
      <c r="X3225">
        <v>0</v>
      </c>
      <c r="AE3225">
        <v>0</v>
      </c>
      <c r="AH3225">
        <v>1</v>
      </c>
      <c r="AM3225" t="s">
        <v>129</v>
      </c>
      <c r="AN3225" t="s">
        <v>130</v>
      </c>
      <c r="AP3225" t="s">
        <v>41</v>
      </c>
      <c r="AW3225" t="s">
        <v>48</v>
      </c>
      <c r="AZ3225" t="s">
        <v>51</v>
      </c>
      <c r="BA3225" t="s">
        <v>52</v>
      </c>
    </row>
    <row r="3226" spans="1:90" x14ac:dyDescent="0.2">
      <c r="A3226" t="s">
        <v>10729</v>
      </c>
      <c r="B3226" t="s">
        <v>5333</v>
      </c>
      <c r="C3226" t="s">
        <v>10994</v>
      </c>
      <c r="D3226" t="s">
        <v>10995</v>
      </c>
      <c r="E3226" t="s">
        <v>10996</v>
      </c>
      <c r="F3226" t="s">
        <v>118</v>
      </c>
      <c r="G3226" t="str">
        <f>HYPERLINK("https://vk.com/wall-197469803_5197?reply=5245")</f>
        <v>https://vk.com/wall-197469803_5197?reply=5245</v>
      </c>
      <c r="H3226" t="s">
        <v>119</v>
      </c>
      <c r="I3226" t="s">
        <v>10997</v>
      </c>
      <c r="J3226" t="str">
        <f>HYPERLINK("http://vk.com/id12945453")</f>
        <v>http://vk.com/id12945453</v>
      </c>
      <c r="K3226">
        <v>11</v>
      </c>
      <c r="L3226" t="s">
        <v>121</v>
      </c>
      <c r="N3226" t="s">
        <v>122</v>
      </c>
      <c r="O3226" t="s">
        <v>9360</v>
      </c>
      <c r="P3226" t="str">
        <f>HYPERLINK("http://vk.com/club197469803")</f>
        <v>http://vk.com/club197469803</v>
      </c>
      <c r="Q3226">
        <v>4232</v>
      </c>
      <c r="R3226" t="s">
        <v>124</v>
      </c>
      <c r="S3226" t="s">
        <v>125</v>
      </c>
      <c r="T3226" t="s">
        <v>169</v>
      </c>
      <c r="U3226" t="s">
        <v>169</v>
      </c>
      <c r="AM3226" t="s">
        <v>129</v>
      </c>
      <c r="AN3226" t="s">
        <v>130</v>
      </c>
      <c r="AP3226" t="s">
        <v>41</v>
      </c>
      <c r="AU3226" t="s">
        <v>46</v>
      </c>
      <c r="AZ3226" t="s">
        <v>51</v>
      </c>
      <c r="BA3226" t="s">
        <v>52</v>
      </c>
    </row>
    <row r="3227" spans="1:90" x14ac:dyDescent="0.2">
      <c r="A3227" t="s">
        <v>10729</v>
      </c>
      <c r="B3227" t="s">
        <v>1749</v>
      </c>
      <c r="C3227" t="s">
        <v>10998</v>
      </c>
      <c r="D3227" t="s">
        <v>10999</v>
      </c>
      <c r="E3227" t="s">
        <v>11000</v>
      </c>
      <c r="F3227" t="s">
        <v>118</v>
      </c>
      <c r="G3227" t="str">
        <f>HYPERLINK("https://vk.com/wall-161640165_4439?reply=4463&amp;thread=4444")</f>
        <v>https://vk.com/wall-161640165_4439?reply=4463&amp;thread=4444</v>
      </c>
      <c r="H3227" t="s">
        <v>119</v>
      </c>
      <c r="I3227" t="s">
        <v>10997</v>
      </c>
      <c r="J3227" t="str">
        <f>HYPERLINK("http://vk.com/id12945453")</f>
        <v>http://vk.com/id12945453</v>
      </c>
      <c r="K3227">
        <v>11</v>
      </c>
      <c r="L3227" t="s">
        <v>121</v>
      </c>
      <c r="N3227" t="s">
        <v>122</v>
      </c>
      <c r="O3227" t="s">
        <v>11001</v>
      </c>
      <c r="P3227" t="str">
        <f>HYPERLINK("http://vk.com/club161640165")</f>
        <v>http://vk.com/club161640165</v>
      </c>
      <c r="Q3227">
        <v>4171</v>
      </c>
      <c r="R3227" t="s">
        <v>124</v>
      </c>
      <c r="AM3227" t="s">
        <v>129</v>
      </c>
      <c r="AN3227" t="s">
        <v>130</v>
      </c>
      <c r="AP3227" t="s">
        <v>41</v>
      </c>
      <c r="AU3227" t="s">
        <v>46</v>
      </c>
      <c r="AZ3227" t="s">
        <v>51</v>
      </c>
      <c r="BA3227" t="s">
        <v>52</v>
      </c>
    </row>
    <row r="3228" spans="1:90" x14ac:dyDescent="0.2">
      <c r="A3228" t="s">
        <v>10729</v>
      </c>
      <c r="B3228" t="s">
        <v>3242</v>
      </c>
      <c r="C3228" t="s">
        <v>11002</v>
      </c>
      <c r="D3228" t="s">
        <v>11003</v>
      </c>
      <c r="E3228" t="s">
        <v>11004</v>
      </c>
      <c r="F3228" t="s">
        <v>118</v>
      </c>
      <c r="G3228" t="str">
        <f>HYPERLINK("https://vk.com/wall-70274968_76908?reply=76915")</f>
        <v>https://vk.com/wall-70274968_76908?reply=76915</v>
      </c>
      <c r="H3228" t="s">
        <v>119</v>
      </c>
      <c r="I3228" t="s">
        <v>11005</v>
      </c>
      <c r="J3228" t="str">
        <f>HYPERLINK("http://vk.com/id75466011")</f>
        <v>http://vk.com/id75466011</v>
      </c>
      <c r="K3228">
        <v>403</v>
      </c>
      <c r="L3228" t="s">
        <v>121</v>
      </c>
      <c r="N3228" t="s">
        <v>122</v>
      </c>
      <c r="O3228" t="s">
        <v>11006</v>
      </c>
      <c r="P3228" t="str">
        <f>HYPERLINK("http://vk.com/club70274968")</f>
        <v>http://vk.com/club70274968</v>
      </c>
      <c r="Q3228">
        <v>14277</v>
      </c>
      <c r="R3228" t="s">
        <v>124</v>
      </c>
      <c r="S3228" t="s">
        <v>125</v>
      </c>
      <c r="T3228" t="s">
        <v>3682</v>
      </c>
      <c r="U3228" t="s">
        <v>11006</v>
      </c>
      <c r="AM3228" t="s">
        <v>129</v>
      </c>
      <c r="AN3228" t="s">
        <v>130</v>
      </c>
      <c r="AP3228" t="s">
        <v>41</v>
      </c>
      <c r="AT3228" t="s">
        <v>45</v>
      </c>
      <c r="AZ3228" t="s">
        <v>51</v>
      </c>
      <c r="BD3228" t="s">
        <v>55</v>
      </c>
      <c r="BM3228" t="s">
        <v>64</v>
      </c>
    </row>
    <row r="3229" spans="1:90" x14ac:dyDescent="0.2">
      <c r="A3229" t="s">
        <v>10729</v>
      </c>
      <c r="B3229" t="s">
        <v>6188</v>
      </c>
      <c r="C3229" t="s">
        <v>11007</v>
      </c>
      <c r="D3229" t="s">
        <v>11008</v>
      </c>
      <c r="E3229" t="s">
        <v>11009</v>
      </c>
      <c r="F3229" t="s">
        <v>180</v>
      </c>
      <c r="G3229" t="str">
        <f>HYPERLINK("https://market.yandex.ru/product/755191959/reviews?id=134006971")</f>
        <v>https://market.yandex.ru/product/755191959/reviews?id=134006971</v>
      </c>
      <c r="H3229" t="s">
        <v>181</v>
      </c>
      <c r="I3229" t="s">
        <v>11010</v>
      </c>
      <c r="J3229" t="str">
        <f>HYPERLINK("https://market.yandex.ru/user/9g421qrttpvyc47zgk33v3qpgw/reviews")</f>
        <v>https://market.yandex.ru/user/9g421qrttpvyc47zgk33v3qpgw/reviews</v>
      </c>
      <c r="L3229" t="s">
        <v>121</v>
      </c>
      <c r="N3229" t="s">
        <v>611</v>
      </c>
      <c r="O3229" t="s">
        <v>11008</v>
      </c>
      <c r="P3229" t="str">
        <f>HYPERLINK("https://market.yandex.ru/product/755191959")</f>
        <v>https://market.yandex.ru/product/755191959</v>
      </c>
      <c r="R3229" t="s">
        <v>184</v>
      </c>
      <c r="S3229" t="s">
        <v>125</v>
      </c>
      <c r="T3229" t="s">
        <v>169</v>
      </c>
      <c r="U3229" t="s">
        <v>169</v>
      </c>
      <c r="W3229">
        <v>0</v>
      </c>
      <c r="X3229">
        <v>0</v>
      </c>
      <c r="AH3229">
        <v>5</v>
      </c>
      <c r="AM3229" t="s">
        <v>129</v>
      </c>
      <c r="AN3229" t="s">
        <v>130</v>
      </c>
      <c r="AP3229" t="s">
        <v>41</v>
      </c>
      <c r="AY3229" t="s">
        <v>50</v>
      </c>
      <c r="AZ3229" t="s">
        <v>51</v>
      </c>
      <c r="BA3229" t="s">
        <v>52</v>
      </c>
      <c r="BL3229" t="s">
        <v>63</v>
      </c>
    </row>
    <row r="3230" spans="1:90" x14ac:dyDescent="0.2">
      <c r="A3230" t="s">
        <v>10729</v>
      </c>
      <c r="B3230" t="s">
        <v>5354</v>
      </c>
      <c r="C3230" t="s">
        <v>11011</v>
      </c>
      <c r="D3230" t="s">
        <v>129</v>
      </c>
      <c r="E3230" t="s">
        <v>11012</v>
      </c>
      <c r="F3230" t="s">
        <v>180</v>
      </c>
      <c r="G3230" t="str">
        <f>HYPERLINK("https://vk.com/wall-14098618_8643")</f>
        <v>https://vk.com/wall-14098618_8643</v>
      </c>
      <c r="H3230" t="s">
        <v>119</v>
      </c>
      <c r="I3230" t="s">
        <v>11013</v>
      </c>
      <c r="J3230" t="str">
        <f>HYPERLINK("http://vk.com/id347913536")</f>
        <v>http://vk.com/id347913536</v>
      </c>
      <c r="K3230">
        <v>53</v>
      </c>
      <c r="L3230" t="s">
        <v>121</v>
      </c>
      <c r="N3230" t="s">
        <v>122</v>
      </c>
      <c r="O3230" t="s">
        <v>1663</v>
      </c>
      <c r="P3230" t="str">
        <f>HYPERLINK("http://vk.com/club14098618")</f>
        <v>http://vk.com/club14098618</v>
      </c>
      <c r="Q3230">
        <v>4681</v>
      </c>
      <c r="R3230" t="s">
        <v>124</v>
      </c>
      <c r="S3230" t="s">
        <v>125</v>
      </c>
      <c r="T3230" t="s">
        <v>218</v>
      </c>
      <c r="U3230" t="s">
        <v>6785</v>
      </c>
      <c r="W3230">
        <v>0</v>
      </c>
      <c r="X3230">
        <v>0</v>
      </c>
      <c r="AE3230">
        <v>0</v>
      </c>
      <c r="AF3230">
        <v>0</v>
      </c>
      <c r="AM3230" t="s">
        <v>129</v>
      </c>
      <c r="AN3230" t="s">
        <v>130</v>
      </c>
      <c r="AP3230" t="s">
        <v>41</v>
      </c>
      <c r="AU3230" t="s">
        <v>46</v>
      </c>
      <c r="AZ3230" t="s">
        <v>51</v>
      </c>
      <c r="BA3230" t="s">
        <v>52</v>
      </c>
    </row>
    <row r="3231" spans="1:90" x14ac:dyDescent="0.2">
      <c r="A3231" t="s">
        <v>10729</v>
      </c>
      <c r="B3231" t="s">
        <v>1147</v>
      </c>
      <c r="C3231" t="s">
        <v>11014</v>
      </c>
      <c r="D3231" t="s">
        <v>129</v>
      </c>
      <c r="E3231" t="s">
        <v>11015</v>
      </c>
      <c r="F3231" t="s">
        <v>180</v>
      </c>
      <c r="G3231" t="str">
        <f>HYPERLINK("https://vk.com/wall-42402221_235397")</f>
        <v>https://vk.com/wall-42402221_235397</v>
      </c>
      <c r="H3231" t="s">
        <v>119</v>
      </c>
      <c r="I3231" t="s">
        <v>1264</v>
      </c>
      <c r="J3231" t="str">
        <f>HYPERLINK("http://vk.com/club42402221")</f>
        <v>http://vk.com/club42402221</v>
      </c>
      <c r="K3231">
        <v>546</v>
      </c>
      <c r="L3231" t="s">
        <v>340</v>
      </c>
      <c r="N3231" t="s">
        <v>122</v>
      </c>
      <c r="O3231" t="s">
        <v>1264</v>
      </c>
      <c r="P3231" t="str">
        <f>HYPERLINK("http://vk.com/club42402221")</f>
        <v>http://vk.com/club42402221</v>
      </c>
      <c r="Q3231">
        <v>546</v>
      </c>
      <c r="R3231" t="s">
        <v>124</v>
      </c>
      <c r="W3231">
        <v>0</v>
      </c>
      <c r="X3231">
        <v>0</v>
      </c>
      <c r="AE3231">
        <v>0</v>
      </c>
      <c r="AF3231">
        <v>0</v>
      </c>
      <c r="AG3231">
        <v>8</v>
      </c>
      <c r="AM3231" t="s">
        <v>129</v>
      </c>
      <c r="AN3231" t="s">
        <v>130</v>
      </c>
      <c r="AP3231" t="s">
        <v>41</v>
      </c>
      <c r="AZ3231" t="s">
        <v>51</v>
      </c>
      <c r="BA3231" t="s">
        <v>52</v>
      </c>
      <c r="BO3231" t="s">
        <v>66</v>
      </c>
    </row>
    <row r="3232" spans="1:90" x14ac:dyDescent="0.2">
      <c r="A3232" t="s">
        <v>10729</v>
      </c>
      <c r="B3232" t="s">
        <v>10681</v>
      </c>
      <c r="C3232" t="s">
        <v>11016</v>
      </c>
      <c r="D3232" t="s">
        <v>8978</v>
      </c>
      <c r="E3232" t="s">
        <v>11017</v>
      </c>
      <c r="F3232" t="s">
        <v>180</v>
      </c>
      <c r="G3232" t="str">
        <f>HYPERLINK("https://www.wildberries.ru/catalog/13413832/detail.aspx?targetUrl=ES#Comments")</f>
        <v>https://www.wildberries.ru/catalog/13413832/detail.aspx?targetUrl=ES#Comments</v>
      </c>
      <c r="H3232" t="s">
        <v>181</v>
      </c>
      <c r="I3232" t="s">
        <v>11018</v>
      </c>
      <c r="J3232" t="str">
        <f>HYPERLINK("https://www.wildberries.ru/profile/w7TDssOkw7PCu8K1wrfCssK2wrbCtMKzwrY=")</f>
        <v>https://www.wildberries.ru/profile/w7TDssOkw7PCu8K1wrfCssK2wrbCtMKzwrY=</v>
      </c>
      <c r="L3232" t="s">
        <v>121</v>
      </c>
      <c r="N3232" t="s">
        <v>534</v>
      </c>
      <c r="O3232" t="s">
        <v>8980</v>
      </c>
      <c r="P3232" t="str">
        <f>HYPERLINK("https://www.wildberries.ru/catalog/10046068/detail.aspx")</f>
        <v>https://www.wildberries.ru/catalog/10046068/detail.aspx</v>
      </c>
      <c r="R3232" t="s">
        <v>184</v>
      </c>
      <c r="S3232" t="s">
        <v>125</v>
      </c>
      <c r="W3232">
        <v>0</v>
      </c>
      <c r="X3232">
        <v>0</v>
      </c>
      <c r="AH3232">
        <v>5</v>
      </c>
      <c r="AM3232" t="s">
        <v>129</v>
      </c>
      <c r="AN3232" t="s">
        <v>130</v>
      </c>
      <c r="AP3232" t="s">
        <v>41</v>
      </c>
      <c r="AZ3232" t="s">
        <v>51</v>
      </c>
      <c r="BA3232" t="s">
        <v>52</v>
      </c>
      <c r="BK3232" t="s">
        <v>62</v>
      </c>
      <c r="BL3232" t="s">
        <v>63</v>
      </c>
    </row>
    <row r="3233" spans="1:77" x14ac:dyDescent="0.2">
      <c r="A3233" t="s">
        <v>10729</v>
      </c>
      <c r="B3233" t="s">
        <v>11019</v>
      </c>
      <c r="C3233" t="s">
        <v>11020</v>
      </c>
      <c r="D3233" t="s">
        <v>11021</v>
      </c>
      <c r="E3233" t="s">
        <v>11022</v>
      </c>
      <c r="F3233" t="s">
        <v>180</v>
      </c>
      <c r="G3233" t="str">
        <f>HYPERLINK("https://www.wildberries.ru/catalog/26126117/detail.aspx?targetUrl=ES#Comments")</f>
        <v>https://www.wildberries.ru/catalog/26126117/detail.aspx?targetUrl=ES#Comments</v>
      </c>
      <c r="H3233" t="s">
        <v>181</v>
      </c>
      <c r="I3233" t="s">
        <v>2131</v>
      </c>
      <c r="J3233" t="str">
        <f>HYPERLINK("https://www.wildberries.ru/profile/w7TDssOkw7PCu8KzwrbCucK4wrjCssK1wrg=")</f>
        <v>https://www.wildberries.ru/profile/w7TDssOkw7PCu8KzwrbCucK4wrjCssK1wrg=</v>
      </c>
      <c r="L3233" t="s">
        <v>121</v>
      </c>
      <c r="N3233" t="s">
        <v>534</v>
      </c>
      <c r="O3233" t="s">
        <v>11021</v>
      </c>
      <c r="P3233" t="str">
        <f>HYPERLINK("https://www.wildberries.ru/catalog/19226678/detail.aspx")</f>
        <v>https://www.wildberries.ru/catalog/19226678/detail.aspx</v>
      </c>
      <c r="R3233" t="s">
        <v>184</v>
      </c>
      <c r="S3233" t="s">
        <v>125</v>
      </c>
      <c r="W3233">
        <v>0</v>
      </c>
      <c r="X3233">
        <v>0</v>
      </c>
      <c r="AH3233">
        <v>5</v>
      </c>
      <c r="AM3233" t="s">
        <v>129</v>
      </c>
      <c r="AN3233" t="s">
        <v>130</v>
      </c>
      <c r="AP3233" t="s">
        <v>41</v>
      </c>
      <c r="AT3233" t="s">
        <v>45</v>
      </c>
      <c r="AZ3233" t="s">
        <v>51</v>
      </c>
      <c r="BA3233" t="s">
        <v>52</v>
      </c>
      <c r="BL3233" t="s">
        <v>63</v>
      </c>
    </row>
    <row r="3234" spans="1:77" x14ac:dyDescent="0.2">
      <c r="A3234" t="s">
        <v>10729</v>
      </c>
      <c r="B3234" t="s">
        <v>11023</v>
      </c>
      <c r="C3234" t="s">
        <v>11024</v>
      </c>
      <c r="D3234" t="s">
        <v>11025</v>
      </c>
      <c r="E3234" t="s">
        <v>11026</v>
      </c>
      <c r="F3234" t="s">
        <v>118</v>
      </c>
      <c r="G3234" t="str">
        <f>HYPERLINK("https://telegram.me/rt_bogorodskoe_poselenie/3969")</f>
        <v>https://telegram.me/rt_bogorodskoe_poselenie/3969</v>
      </c>
      <c r="H3234" t="s">
        <v>119</v>
      </c>
      <c r="I3234" t="s">
        <v>4621</v>
      </c>
      <c r="J3234" t="str">
        <f>HYPERLINK("https://telegram.me/784380560")</f>
        <v>https://telegram.me/784380560</v>
      </c>
      <c r="L3234" t="s">
        <v>121</v>
      </c>
      <c r="N3234" t="s">
        <v>143</v>
      </c>
      <c r="O3234" t="s">
        <v>11027</v>
      </c>
      <c r="P3234" t="str">
        <f>HYPERLINK("https://telegram.me/rt_bogorodskoe_poselenie")</f>
        <v>https://telegram.me/rt_bogorodskoe_poselenie</v>
      </c>
      <c r="Q3234">
        <v>425</v>
      </c>
      <c r="R3234" t="s">
        <v>145</v>
      </c>
      <c r="AM3234" t="s">
        <v>129</v>
      </c>
      <c r="AN3234" t="s">
        <v>130</v>
      </c>
      <c r="AP3234" t="s">
        <v>41</v>
      </c>
      <c r="AT3234" t="s">
        <v>45</v>
      </c>
      <c r="AY3234" t="s">
        <v>50</v>
      </c>
      <c r="AZ3234" t="s">
        <v>51</v>
      </c>
      <c r="BA3234" t="s">
        <v>52</v>
      </c>
    </row>
    <row r="3235" spans="1:77" x14ac:dyDescent="0.2">
      <c r="A3235" t="s">
        <v>10729</v>
      </c>
      <c r="B3235" t="s">
        <v>11028</v>
      </c>
      <c r="C3235" t="s">
        <v>11029</v>
      </c>
      <c r="D3235" t="s">
        <v>204</v>
      </c>
      <c r="E3235" t="s">
        <v>11030</v>
      </c>
      <c r="F3235" t="s">
        <v>180</v>
      </c>
      <c r="G3235" t="str">
        <f>HYPERLINK("https://play.google.com/store/apps/details?id=ru.iflex.android.a3colortv&amp;reviewId=gp:AOqpTOHjk5uJ6H6sxeZ5WZLMBntfK51WYLevz8O0GvHfCeYke1SdZmsXsDGwUwyzjFB5SbA2Kdd8CvYbR6sG5g")</f>
        <v>https://play.google.com/store/apps/details?id=ru.iflex.android.a3colortv&amp;reviewId=gp:AOqpTOHjk5uJ6H6sxeZ5WZLMBntfK51WYLevz8O0GvHfCeYke1SdZmsXsDGwUwyzjFB5SbA2Kdd8CvYbR6sG5g</v>
      </c>
      <c r="H3235" t="s">
        <v>228</v>
      </c>
      <c r="I3235" t="s">
        <v>11031</v>
      </c>
      <c r="J3235" t="str">
        <f>HYPERLINK("https://plus.google.com/101383244899384262011")</f>
        <v>https://plus.google.com/101383244899384262011</v>
      </c>
      <c r="K3235">
        <v>0</v>
      </c>
      <c r="L3235" t="s">
        <v>121</v>
      </c>
      <c r="N3235" t="s">
        <v>207</v>
      </c>
      <c r="O3235" t="s">
        <v>204</v>
      </c>
      <c r="P3235" t="str">
        <f>HYPERLINK("https://play.google.com/store/apps/details?id=ru.iflex.android.a3colortv&amp;hl=ru")</f>
        <v>https://play.google.com/store/apps/details?id=ru.iflex.android.a3colortv&amp;hl=ru</v>
      </c>
      <c r="R3235" t="s">
        <v>184</v>
      </c>
      <c r="S3235" t="s">
        <v>125</v>
      </c>
      <c r="W3235">
        <v>0</v>
      </c>
      <c r="X3235">
        <v>0</v>
      </c>
      <c r="AH3235">
        <v>2</v>
      </c>
      <c r="AM3235" t="s">
        <v>129</v>
      </c>
      <c r="AN3235" t="s">
        <v>130</v>
      </c>
      <c r="AP3235" t="s">
        <v>41</v>
      </c>
      <c r="AZ3235" t="s">
        <v>51</v>
      </c>
      <c r="BA3235" t="s">
        <v>52</v>
      </c>
      <c r="BQ3235" t="s">
        <v>68</v>
      </c>
    </row>
    <row r="3236" spans="1:77" x14ac:dyDescent="0.2">
      <c r="A3236" t="s">
        <v>10729</v>
      </c>
      <c r="B3236" t="s">
        <v>2252</v>
      </c>
      <c r="C3236" t="s">
        <v>11032</v>
      </c>
      <c r="D3236" t="s">
        <v>10949</v>
      </c>
      <c r="E3236" t="s">
        <v>11033</v>
      </c>
      <c r="F3236" t="s">
        <v>118</v>
      </c>
      <c r="G3236" t="str">
        <f>HYPERLINK("https://vk.com/wall-67332874_657273?reply=657399")</f>
        <v>https://vk.com/wall-67332874_657273?reply=657399</v>
      </c>
      <c r="H3236" t="s">
        <v>228</v>
      </c>
      <c r="I3236" t="s">
        <v>11034</v>
      </c>
      <c r="J3236" t="str">
        <f>HYPERLINK("http://vk.com/id612328438")</f>
        <v>http://vk.com/id612328438</v>
      </c>
      <c r="K3236">
        <v>78</v>
      </c>
      <c r="L3236" t="s">
        <v>151</v>
      </c>
      <c r="M3236">
        <v>35</v>
      </c>
      <c r="N3236" t="s">
        <v>122</v>
      </c>
      <c r="O3236" t="s">
        <v>10951</v>
      </c>
      <c r="P3236" t="str">
        <f>HYPERLINK("http://vk.com/club67332874")</f>
        <v>http://vk.com/club67332874</v>
      </c>
      <c r="Q3236">
        <v>25133</v>
      </c>
      <c r="R3236" t="s">
        <v>124</v>
      </c>
      <c r="S3236" t="s">
        <v>125</v>
      </c>
      <c r="T3236" t="s">
        <v>2521</v>
      </c>
      <c r="U3236" t="s">
        <v>9469</v>
      </c>
      <c r="AM3236" t="s">
        <v>129</v>
      </c>
      <c r="AN3236" t="s">
        <v>130</v>
      </c>
      <c r="AP3236" t="s">
        <v>41</v>
      </c>
      <c r="AT3236" t="s">
        <v>45</v>
      </c>
      <c r="AZ3236" t="s">
        <v>51</v>
      </c>
      <c r="BA3236" t="s">
        <v>52</v>
      </c>
    </row>
    <row r="3237" spans="1:77" x14ac:dyDescent="0.2">
      <c r="A3237" t="s">
        <v>10729</v>
      </c>
      <c r="B3237" t="s">
        <v>11035</v>
      </c>
      <c r="C3237" t="s">
        <v>11036</v>
      </c>
      <c r="D3237" t="s">
        <v>10949</v>
      </c>
      <c r="E3237" t="s">
        <v>11037</v>
      </c>
      <c r="F3237" t="s">
        <v>118</v>
      </c>
      <c r="G3237" t="str">
        <f>HYPERLINK("https://vk.com/wall-67332874_657273?reply=657366")</f>
        <v>https://vk.com/wall-67332874_657273?reply=657366</v>
      </c>
      <c r="H3237" t="s">
        <v>119</v>
      </c>
      <c r="I3237" t="s">
        <v>11038</v>
      </c>
      <c r="J3237" t="str">
        <f>HYPERLINK("http://vk.com/id58755992")</f>
        <v>http://vk.com/id58755992</v>
      </c>
      <c r="K3237">
        <v>454</v>
      </c>
      <c r="L3237" t="s">
        <v>121</v>
      </c>
      <c r="N3237" t="s">
        <v>122</v>
      </c>
      <c r="O3237" t="s">
        <v>10951</v>
      </c>
      <c r="P3237" t="str">
        <f>HYPERLINK("http://vk.com/club67332874")</f>
        <v>http://vk.com/club67332874</v>
      </c>
      <c r="Q3237">
        <v>25133</v>
      </c>
      <c r="R3237" t="s">
        <v>124</v>
      </c>
      <c r="S3237" t="s">
        <v>125</v>
      </c>
      <c r="T3237" t="s">
        <v>2521</v>
      </c>
      <c r="U3237" t="s">
        <v>9469</v>
      </c>
      <c r="AM3237" t="s">
        <v>129</v>
      </c>
      <c r="AN3237" t="s">
        <v>130</v>
      </c>
      <c r="AP3237" t="s">
        <v>41</v>
      </c>
      <c r="AT3237" t="s">
        <v>45</v>
      </c>
      <c r="AU3237" t="s">
        <v>46</v>
      </c>
      <c r="AW3237" t="s">
        <v>48</v>
      </c>
      <c r="AZ3237" t="s">
        <v>51</v>
      </c>
      <c r="BA3237" t="s">
        <v>52</v>
      </c>
    </row>
    <row r="3238" spans="1:77" x14ac:dyDescent="0.2">
      <c r="A3238" t="s">
        <v>10729</v>
      </c>
      <c r="B3238" t="s">
        <v>11039</v>
      </c>
      <c r="C3238" t="s">
        <v>11040</v>
      </c>
      <c r="D3238" t="s">
        <v>10949</v>
      </c>
      <c r="E3238" t="s">
        <v>11041</v>
      </c>
      <c r="F3238" t="s">
        <v>118</v>
      </c>
      <c r="G3238" t="str">
        <f>HYPERLINK("https://vk.com/wall-67332874_657273?reply=657334")</f>
        <v>https://vk.com/wall-67332874_657273?reply=657334</v>
      </c>
      <c r="H3238" t="s">
        <v>228</v>
      </c>
      <c r="I3238" t="s">
        <v>11042</v>
      </c>
      <c r="J3238" t="str">
        <f>HYPERLINK("http://vk.com/id299298767")</f>
        <v>http://vk.com/id299298767</v>
      </c>
      <c r="K3238">
        <v>61</v>
      </c>
      <c r="L3238" t="s">
        <v>151</v>
      </c>
      <c r="N3238" t="s">
        <v>122</v>
      </c>
      <c r="O3238" t="s">
        <v>10951</v>
      </c>
      <c r="P3238" t="str">
        <f>HYPERLINK("http://vk.com/club67332874")</f>
        <v>http://vk.com/club67332874</v>
      </c>
      <c r="Q3238">
        <v>25133</v>
      </c>
      <c r="R3238" t="s">
        <v>124</v>
      </c>
      <c r="S3238" t="s">
        <v>125</v>
      </c>
      <c r="T3238" t="s">
        <v>2521</v>
      </c>
      <c r="U3238" t="s">
        <v>2522</v>
      </c>
      <c r="AM3238" t="s">
        <v>129</v>
      </c>
      <c r="AN3238" t="s">
        <v>130</v>
      </c>
      <c r="AP3238" t="s">
        <v>41</v>
      </c>
      <c r="AU3238" t="s">
        <v>46</v>
      </c>
      <c r="AW3238" t="s">
        <v>48</v>
      </c>
      <c r="AZ3238" t="s">
        <v>51</v>
      </c>
      <c r="BA3238" t="s">
        <v>52</v>
      </c>
    </row>
    <row r="3239" spans="1:77" x14ac:dyDescent="0.2">
      <c r="A3239" t="s">
        <v>10729</v>
      </c>
      <c r="B3239" t="s">
        <v>8347</v>
      </c>
      <c r="C3239" t="s">
        <v>11043</v>
      </c>
      <c r="D3239" t="s">
        <v>10949</v>
      </c>
      <c r="E3239" t="s">
        <v>11044</v>
      </c>
      <c r="F3239" t="s">
        <v>118</v>
      </c>
      <c r="G3239" t="str">
        <f>HYPERLINK("https://vk.com/wall-67332874_657273?reply=657330")</f>
        <v>https://vk.com/wall-67332874_657273?reply=657330</v>
      </c>
      <c r="H3239" t="s">
        <v>119</v>
      </c>
      <c r="I3239" t="s">
        <v>11045</v>
      </c>
      <c r="J3239" t="str">
        <f>HYPERLINK("http://vk.com/id333347099")</f>
        <v>http://vk.com/id333347099</v>
      </c>
      <c r="K3239">
        <v>92</v>
      </c>
      <c r="L3239" t="s">
        <v>151</v>
      </c>
      <c r="M3239">
        <v>63</v>
      </c>
      <c r="N3239" t="s">
        <v>122</v>
      </c>
      <c r="O3239" t="s">
        <v>10951</v>
      </c>
      <c r="P3239" t="str">
        <f>HYPERLINK("http://vk.com/club67332874")</f>
        <v>http://vk.com/club67332874</v>
      </c>
      <c r="Q3239">
        <v>25133</v>
      </c>
      <c r="R3239" t="s">
        <v>124</v>
      </c>
      <c r="S3239" t="s">
        <v>125</v>
      </c>
      <c r="T3239" t="s">
        <v>2521</v>
      </c>
      <c r="U3239" t="s">
        <v>9469</v>
      </c>
      <c r="AM3239" t="s">
        <v>129</v>
      </c>
      <c r="AN3239" t="s">
        <v>130</v>
      </c>
      <c r="AP3239" t="s">
        <v>41</v>
      </c>
      <c r="AY3239" t="s">
        <v>50</v>
      </c>
      <c r="AZ3239" t="s">
        <v>51</v>
      </c>
      <c r="BA3239" t="s">
        <v>52</v>
      </c>
    </row>
    <row r="3240" spans="1:77" x14ac:dyDescent="0.2">
      <c r="A3240" t="s">
        <v>10729</v>
      </c>
      <c r="B3240" t="s">
        <v>11046</v>
      </c>
      <c r="C3240" t="s">
        <v>11047</v>
      </c>
      <c r="D3240" t="s">
        <v>10936</v>
      </c>
      <c r="E3240" t="s">
        <v>11048</v>
      </c>
      <c r="F3240" t="s">
        <v>118</v>
      </c>
      <c r="G3240" t="str">
        <f>HYPERLINK("https://vk.com/wall-59931219_674214?reply=674412&amp;thread=674266")</f>
        <v>https://vk.com/wall-59931219_674214?reply=674412&amp;thread=674266</v>
      </c>
      <c r="H3240" t="s">
        <v>228</v>
      </c>
      <c r="I3240" t="s">
        <v>11049</v>
      </c>
      <c r="J3240" t="str">
        <f>HYPERLINK("http://vk.com/id100359862")</f>
        <v>http://vk.com/id100359862</v>
      </c>
      <c r="K3240">
        <v>1223</v>
      </c>
      <c r="L3240" t="s">
        <v>121</v>
      </c>
      <c r="M3240">
        <v>34</v>
      </c>
      <c r="N3240" t="s">
        <v>122</v>
      </c>
      <c r="O3240" t="s">
        <v>10938</v>
      </c>
      <c r="P3240" t="str">
        <f>HYPERLINK("http://vk.com/club59931219")</f>
        <v>http://vk.com/club59931219</v>
      </c>
      <c r="Q3240">
        <v>24433</v>
      </c>
      <c r="R3240" t="s">
        <v>124</v>
      </c>
      <c r="S3240" t="s">
        <v>125</v>
      </c>
      <c r="T3240" t="s">
        <v>1275</v>
      </c>
      <c r="U3240" t="s">
        <v>10939</v>
      </c>
      <c r="AM3240" t="s">
        <v>129</v>
      </c>
      <c r="AN3240" t="s">
        <v>130</v>
      </c>
      <c r="AP3240" t="s">
        <v>41</v>
      </c>
      <c r="AZ3240" t="s">
        <v>51</v>
      </c>
      <c r="BA3240" t="s">
        <v>52</v>
      </c>
    </row>
    <row r="3241" spans="1:77" x14ac:dyDescent="0.2">
      <c r="A3241" t="s">
        <v>10729</v>
      </c>
      <c r="B3241" t="s">
        <v>11050</v>
      </c>
      <c r="C3241" t="s">
        <v>6116</v>
      </c>
      <c r="D3241" t="s">
        <v>11051</v>
      </c>
      <c r="E3241" t="s">
        <v>11052</v>
      </c>
      <c r="F3241" t="s">
        <v>180</v>
      </c>
      <c r="G3241" t="str">
        <f>HYPERLINK("https://www.ozon.ru/context/detail/id/202443849/#57251118")</f>
        <v>https://www.ozon.ru/context/detail/id/202443849/#57251118</v>
      </c>
      <c r="H3241" t="s">
        <v>181</v>
      </c>
      <c r="I3241" t="s">
        <v>11053</v>
      </c>
      <c r="J3241" t="str">
        <f>HYPERLINK("https://www.ozon.ru/context/client_opinion/ClientGuid/cd8017d3-752a-4fab-a602-f0c1094239e1/")</f>
        <v>https://www.ozon.ru/context/client_opinion/ClientGuid/cd8017d3-752a-4fab-a602-f0c1094239e1/</v>
      </c>
      <c r="L3241" t="s">
        <v>121</v>
      </c>
      <c r="N3241" t="s">
        <v>183</v>
      </c>
      <c r="O3241" t="s">
        <v>11051</v>
      </c>
      <c r="P3241" t="str">
        <f>HYPERLINK("https://www.ozon.ru/context/detail/id/202443849/")</f>
        <v>https://www.ozon.ru/context/detail/id/202443849/</v>
      </c>
      <c r="R3241" t="s">
        <v>184</v>
      </c>
      <c r="S3241" t="s">
        <v>125</v>
      </c>
      <c r="W3241">
        <v>0</v>
      </c>
      <c r="X3241">
        <v>0</v>
      </c>
      <c r="AH3241">
        <v>5</v>
      </c>
      <c r="AM3241" t="s">
        <v>129</v>
      </c>
      <c r="AN3241" t="s">
        <v>130</v>
      </c>
      <c r="AP3241" t="s">
        <v>41</v>
      </c>
      <c r="AT3241" t="s">
        <v>45</v>
      </c>
      <c r="AY3241" t="s">
        <v>50</v>
      </c>
      <c r="AZ3241" t="s">
        <v>51</v>
      </c>
      <c r="BA3241" t="s">
        <v>52</v>
      </c>
    </row>
    <row r="3242" spans="1:77" x14ac:dyDescent="0.2">
      <c r="A3242" t="s">
        <v>10729</v>
      </c>
      <c r="B3242" t="s">
        <v>746</v>
      </c>
      <c r="C3242" t="s">
        <v>11054</v>
      </c>
      <c r="D3242" t="s">
        <v>11055</v>
      </c>
      <c r="E3242" t="s">
        <v>11056</v>
      </c>
      <c r="F3242" t="s">
        <v>118</v>
      </c>
      <c r="G3242" t="str">
        <f>HYPERLINK("https://vk.com/wall-103176215_1089535?reply=1089629&amp;thread=1089567")</f>
        <v>https://vk.com/wall-103176215_1089535?reply=1089629&amp;thread=1089567</v>
      </c>
      <c r="H3242" t="s">
        <v>119</v>
      </c>
      <c r="I3242" t="s">
        <v>11057</v>
      </c>
      <c r="J3242" t="str">
        <f>HYPERLINK("http://vk.com/id422488231")</f>
        <v>http://vk.com/id422488231</v>
      </c>
      <c r="K3242">
        <v>42</v>
      </c>
      <c r="L3242" t="s">
        <v>151</v>
      </c>
      <c r="N3242" t="s">
        <v>122</v>
      </c>
      <c r="O3242" t="s">
        <v>11058</v>
      </c>
      <c r="P3242" t="str">
        <f>HYPERLINK("http://vk.com/club103176215")</f>
        <v>http://vk.com/club103176215</v>
      </c>
      <c r="Q3242">
        <v>40008</v>
      </c>
      <c r="R3242" t="s">
        <v>124</v>
      </c>
      <c r="S3242" t="s">
        <v>125</v>
      </c>
      <c r="T3242" t="s">
        <v>759</v>
      </c>
      <c r="U3242" t="s">
        <v>11059</v>
      </c>
      <c r="AM3242" t="s">
        <v>129</v>
      </c>
      <c r="AN3242" t="s">
        <v>130</v>
      </c>
      <c r="AP3242" t="s">
        <v>41</v>
      </c>
      <c r="AZ3242" t="s">
        <v>51</v>
      </c>
      <c r="BA3242" t="s">
        <v>52</v>
      </c>
      <c r="BL3242" t="s">
        <v>63</v>
      </c>
      <c r="BM3242" t="s">
        <v>64</v>
      </c>
    </row>
    <row r="3243" spans="1:77" x14ac:dyDescent="0.2">
      <c r="A3243" t="s">
        <v>11060</v>
      </c>
      <c r="B3243" t="s">
        <v>2275</v>
      </c>
      <c r="C3243" t="s">
        <v>11061</v>
      </c>
      <c r="D3243" t="s">
        <v>204</v>
      </c>
      <c r="E3243" t="s">
        <v>11062</v>
      </c>
      <c r="F3243" t="s">
        <v>180</v>
      </c>
      <c r="G3243" t="str">
        <f>HYPERLINK("https://play.google.com/store/apps/details?id=ru.iflex.android.a3colortv&amp;reviewId=gp:AOqpTOHI3IpJ5Ie7Sm4E6V_T7qy_qGau0tSNtfe9lNXCrDmnhmpZ1jxyp68zShuDTsbsgwrLFalKsyzmlltnEg")</f>
        <v>https://play.google.com/store/apps/details?id=ru.iflex.android.a3colortv&amp;reviewId=gp:AOqpTOHI3IpJ5Ie7Sm4E6V_T7qy_qGau0tSNtfe9lNXCrDmnhmpZ1jxyp68zShuDTsbsgwrLFalKsyzmlltnEg</v>
      </c>
      <c r="H3243" t="s">
        <v>181</v>
      </c>
      <c r="I3243" t="s">
        <v>11063</v>
      </c>
      <c r="J3243" t="str">
        <f>HYPERLINK("https://plus.google.com/104765745643938476150")</f>
        <v>https://plus.google.com/104765745643938476150</v>
      </c>
      <c r="N3243" t="s">
        <v>207</v>
      </c>
      <c r="O3243" t="s">
        <v>204</v>
      </c>
      <c r="P3243" t="str">
        <f>HYPERLINK("https://play.google.com/store/apps/details?id=ru.iflex.android.a3colortv&amp;hl=ru")</f>
        <v>https://play.google.com/store/apps/details?id=ru.iflex.android.a3colortv&amp;hl=ru</v>
      </c>
      <c r="R3243" t="s">
        <v>184</v>
      </c>
      <c r="S3243" t="s">
        <v>125</v>
      </c>
      <c r="W3243">
        <v>0</v>
      </c>
      <c r="X3243">
        <v>0</v>
      </c>
      <c r="AH3243">
        <v>5</v>
      </c>
      <c r="AM3243" t="s">
        <v>129</v>
      </c>
      <c r="AN3243" t="s">
        <v>130</v>
      </c>
      <c r="AP3243" t="s">
        <v>41</v>
      </c>
      <c r="AU3243" t="s">
        <v>46</v>
      </c>
      <c r="AY3243" t="s">
        <v>50</v>
      </c>
      <c r="AZ3243" t="s">
        <v>51</v>
      </c>
      <c r="BA3243" t="s">
        <v>52</v>
      </c>
    </row>
    <row r="3244" spans="1:77" x14ac:dyDescent="0.2">
      <c r="A3244" t="s">
        <v>11060</v>
      </c>
      <c r="B3244" t="s">
        <v>11064</v>
      </c>
      <c r="C3244" t="s">
        <v>11065</v>
      </c>
      <c r="D3244" t="s">
        <v>10561</v>
      </c>
      <c r="E3244" t="s">
        <v>11066</v>
      </c>
      <c r="F3244" t="s">
        <v>118</v>
      </c>
      <c r="G3244" t="str">
        <f>HYPERLINK("https://vk.com/wall-27863223_291399?w=wall-27863223_291399_r291429")</f>
        <v>https://vk.com/wall-27863223_291399?w=wall-27863223_291399_r291429</v>
      </c>
      <c r="H3244" t="s">
        <v>119</v>
      </c>
      <c r="I3244" t="s">
        <v>254</v>
      </c>
      <c r="J3244" t="str">
        <f>HYPERLINK("http://vk.com/id286061518")</f>
        <v>http://vk.com/id286061518</v>
      </c>
      <c r="K3244">
        <v>5170</v>
      </c>
      <c r="L3244" t="s">
        <v>121</v>
      </c>
      <c r="M3244">
        <v>34</v>
      </c>
      <c r="N3244" t="s">
        <v>122</v>
      </c>
      <c r="O3244" t="s">
        <v>175</v>
      </c>
      <c r="P3244" t="str">
        <f>HYPERLINK("http://vk.com/club27863223")</f>
        <v>http://vk.com/club27863223</v>
      </c>
      <c r="Q3244">
        <v>134698</v>
      </c>
      <c r="R3244" t="s">
        <v>124</v>
      </c>
      <c r="S3244" t="s">
        <v>125</v>
      </c>
      <c r="T3244" t="s">
        <v>256</v>
      </c>
      <c r="U3244" t="s">
        <v>257</v>
      </c>
      <c r="W3244">
        <v>0</v>
      </c>
      <c r="X3244">
        <v>0</v>
      </c>
      <c r="AM3244" t="s">
        <v>129</v>
      </c>
      <c r="AN3244" t="s">
        <v>130</v>
      </c>
      <c r="AP3244" t="s">
        <v>41</v>
      </c>
      <c r="AZ3244" t="s">
        <v>51</v>
      </c>
      <c r="BB3244" t="s">
        <v>53</v>
      </c>
      <c r="BY3244" t="s">
        <v>76</v>
      </c>
    </row>
    <row r="3245" spans="1:77" x14ac:dyDescent="0.2">
      <c r="A3245" t="s">
        <v>11060</v>
      </c>
      <c r="B3245" t="s">
        <v>11064</v>
      </c>
      <c r="C3245" t="s">
        <v>11067</v>
      </c>
      <c r="D3245" t="s">
        <v>11068</v>
      </c>
      <c r="E3245" t="s">
        <v>11069</v>
      </c>
      <c r="F3245" t="s">
        <v>118</v>
      </c>
      <c r="G3245" t="str">
        <f>HYPERLINK("https://vk.com/wall-199277766_680?reply=686")</f>
        <v>https://vk.com/wall-199277766_680?reply=686</v>
      </c>
      <c r="H3245" t="s">
        <v>119</v>
      </c>
      <c r="I3245" t="s">
        <v>254</v>
      </c>
      <c r="J3245" t="str">
        <f>HYPERLINK("http://vk.com/id286061518")</f>
        <v>http://vk.com/id286061518</v>
      </c>
      <c r="K3245">
        <v>5170</v>
      </c>
      <c r="L3245" t="s">
        <v>121</v>
      </c>
      <c r="M3245">
        <v>34</v>
      </c>
      <c r="N3245" t="s">
        <v>122</v>
      </c>
      <c r="O3245" t="s">
        <v>255</v>
      </c>
      <c r="P3245" t="str">
        <f>HYPERLINK("http://vk.com/club199277766")</f>
        <v>http://vk.com/club199277766</v>
      </c>
      <c r="Q3245">
        <v>53</v>
      </c>
      <c r="R3245" t="s">
        <v>124</v>
      </c>
      <c r="S3245" t="s">
        <v>125</v>
      </c>
      <c r="T3245" t="s">
        <v>256</v>
      </c>
      <c r="U3245" t="s">
        <v>257</v>
      </c>
      <c r="AM3245" t="s">
        <v>129</v>
      </c>
      <c r="AN3245" t="s">
        <v>130</v>
      </c>
      <c r="AP3245" t="s">
        <v>41</v>
      </c>
      <c r="AZ3245" t="s">
        <v>51</v>
      </c>
      <c r="BB3245" t="s">
        <v>53</v>
      </c>
      <c r="BY3245" t="s">
        <v>76</v>
      </c>
    </row>
    <row r="3246" spans="1:77" x14ac:dyDescent="0.2">
      <c r="A3246" t="s">
        <v>11060</v>
      </c>
      <c r="B3246" t="s">
        <v>1859</v>
      </c>
      <c r="C3246" t="s">
        <v>11070</v>
      </c>
      <c r="D3246" t="s">
        <v>11055</v>
      </c>
      <c r="E3246" t="s">
        <v>11071</v>
      </c>
      <c r="F3246" t="s">
        <v>118</v>
      </c>
      <c r="G3246" t="str">
        <f>HYPERLINK("https://vk.com/wall-103176215_1089535?reply=1089618&amp;thread=1089567")</f>
        <v>https://vk.com/wall-103176215_1089535?reply=1089618&amp;thread=1089567</v>
      </c>
      <c r="H3246" t="s">
        <v>119</v>
      </c>
      <c r="I3246" t="s">
        <v>11072</v>
      </c>
      <c r="J3246" t="str">
        <f>HYPERLINK("http://vk.com/id55415891")</f>
        <v>http://vk.com/id55415891</v>
      </c>
      <c r="L3246" t="s">
        <v>121</v>
      </c>
      <c r="N3246" t="s">
        <v>122</v>
      </c>
      <c r="O3246" t="s">
        <v>11058</v>
      </c>
      <c r="P3246" t="str">
        <f>HYPERLINK("http://vk.com/club103176215")</f>
        <v>http://vk.com/club103176215</v>
      </c>
      <c r="Q3246">
        <v>40008</v>
      </c>
      <c r="R3246" t="s">
        <v>124</v>
      </c>
      <c r="S3246" t="s">
        <v>125</v>
      </c>
      <c r="T3246" t="s">
        <v>759</v>
      </c>
      <c r="U3246" t="s">
        <v>2080</v>
      </c>
      <c r="AM3246" t="s">
        <v>129</v>
      </c>
      <c r="AN3246" t="s">
        <v>130</v>
      </c>
      <c r="AP3246" t="s">
        <v>41</v>
      </c>
      <c r="AT3246" t="s">
        <v>45</v>
      </c>
      <c r="AZ3246" t="s">
        <v>51</v>
      </c>
      <c r="BA3246" t="s">
        <v>52</v>
      </c>
      <c r="BM3246" t="s">
        <v>64</v>
      </c>
    </row>
    <row r="3247" spans="1:77" x14ac:dyDescent="0.2">
      <c r="A3247" t="s">
        <v>11060</v>
      </c>
      <c r="B3247" t="s">
        <v>138</v>
      </c>
      <c r="C3247" t="s">
        <v>11073</v>
      </c>
      <c r="D3247" t="s">
        <v>11074</v>
      </c>
      <c r="E3247" t="s">
        <v>11075</v>
      </c>
      <c r="F3247" t="s">
        <v>180</v>
      </c>
      <c r="G3247" t="str">
        <f>HYPERLINK("https://market.yandex.ru/product/845917003/reviews?id=133994787")</f>
        <v>https://market.yandex.ru/product/845917003/reviews?id=133994787</v>
      </c>
      <c r="H3247" t="s">
        <v>119</v>
      </c>
      <c r="I3247" t="s">
        <v>1352</v>
      </c>
      <c r="J3247" t="str">
        <f>HYPERLINK("https://market.yandex.ru/user/9p0yay7buvdzpprfgrdcthrbqm/reviews")</f>
        <v>https://market.yandex.ru/user/9p0yay7buvdzpprfgrdcthrbqm/reviews</v>
      </c>
      <c r="L3247" t="s">
        <v>121</v>
      </c>
      <c r="N3247" t="s">
        <v>611</v>
      </c>
      <c r="O3247" t="s">
        <v>11074</v>
      </c>
      <c r="P3247" t="str">
        <f>HYPERLINK("https://market.yandex.ru/product/845917003")</f>
        <v>https://market.yandex.ru/product/845917003</v>
      </c>
      <c r="R3247" t="s">
        <v>184</v>
      </c>
      <c r="S3247" t="s">
        <v>125</v>
      </c>
      <c r="T3247" t="s">
        <v>3158</v>
      </c>
      <c r="U3247" t="s">
        <v>3159</v>
      </c>
      <c r="W3247">
        <v>0</v>
      </c>
      <c r="X3247">
        <v>0</v>
      </c>
      <c r="AH3247">
        <v>5</v>
      </c>
      <c r="AJ3247" t="s">
        <v>129</v>
      </c>
      <c r="AK3247" t="s">
        <v>129</v>
      </c>
      <c r="AL3247" t="str">
        <f>HYPERLINK("https://avatars.mds.yandex.net/get-market-ugc/1527381/2a0000017a72c373a97b871f104af88f7b9b/1920-1920")</f>
        <v>https://avatars.mds.yandex.net/get-market-ugc/1527381/2a0000017a72c373a97b871f104af88f7b9b/1920-1920</v>
      </c>
      <c r="AM3247" t="s">
        <v>129</v>
      </c>
      <c r="AN3247" t="s">
        <v>130</v>
      </c>
      <c r="AP3247" t="s">
        <v>41</v>
      </c>
      <c r="AT3247" t="s">
        <v>45</v>
      </c>
      <c r="AY3247" t="s">
        <v>50</v>
      </c>
      <c r="AZ3247" t="s">
        <v>51</v>
      </c>
      <c r="BB3247" t="s">
        <v>53</v>
      </c>
    </row>
    <row r="3248" spans="1:77" x14ac:dyDescent="0.2">
      <c r="A3248" t="s">
        <v>11060</v>
      </c>
      <c r="B3248" t="s">
        <v>11076</v>
      </c>
      <c r="C3248" t="s">
        <v>11077</v>
      </c>
      <c r="D3248" t="s">
        <v>11078</v>
      </c>
      <c r="E3248" t="s">
        <v>11079</v>
      </c>
      <c r="F3248" t="s">
        <v>118</v>
      </c>
      <c r="G3248" t="str">
        <f>HYPERLINK("https://vk.com/wall-76229642_240921?reply=241152&amp;thread=240943")</f>
        <v>https://vk.com/wall-76229642_240921?reply=241152&amp;thread=240943</v>
      </c>
      <c r="H3248" t="s">
        <v>119</v>
      </c>
      <c r="I3248" t="s">
        <v>254</v>
      </c>
      <c r="J3248" t="str">
        <f>HYPERLINK("http://vk.com/id286061518")</f>
        <v>http://vk.com/id286061518</v>
      </c>
      <c r="K3248">
        <v>5170</v>
      </c>
      <c r="L3248" t="s">
        <v>121</v>
      </c>
      <c r="M3248">
        <v>34</v>
      </c>
      <c r="N3248" t="s">
        <v>122</v>
      </c>
      <c r="O3248" t="s">
        <v>11080</v>
      </c>
      <c r="P3248" t="str">
        <f>HYPERLINK("http://vk.com/club76229642")</f>
        <v>http://vk.com/club76229642</v>
      </c>
      <c r="Q3248">
        <v>78701</v>
      </c>
      <c r="R3248" t="s">
        <v>124</v>
      </c>
      <c r="S3248" t="s">
        <v>125</v>
      </c>
      <c r="T3248" t="s">
        <v>256</v>
      </c>
      <c r="U3248" t="s">
        <v>257</v>
      </c>
      <c r="AM3248" t="s">
        <v>129</v>
      </c>
      <c r="AN3248" t="s">
        <v>130</v>
      </c>
      <c r="AP3248" t="s">
        <v>41</v>
      </c>
      <c r="AT3248" t="s">
        <v>45</v>
      </c>
      <c r="AU3248" t="s">
        <v>46</v>
      </c>
      <c r="AZ3248" t="s">
        <v>51</v>
      </c>
      <c r="BB3248" t="s">
        <v>53</v>
      </c>
      <c r="BY3248" t="s">
        <v>76</v>
      </c>
    </row>
    <row r="3249" spans="1:90" x14ac:dyDescent="0.2">
      <c r="A3249" t="s">
        <v>11060</v>
      </c>
      <c r="B3249" t="s">
        <v>775</v>
      </c>
      <c r="C3249" t="s">
        <v>11081</v>
      </c>
      <c r="D3249" t="s">
        <v>10561</v>
      </c>
      <c r="E3249" t="s">
        <v>11082</v>
      </c>
      <c r="F3249" t="s">
        <v>118</v>
      </c>
      <c r="G3249" t="str">
        <f>HYPERLINK("https://vk.com/wall-27863223_291399?reply=291427")</f>
        <v>https://vk.com/wall-27863223_291399?reply=291427</v>
      </c>
      <c r="H3249" t="s">
        <v>119</v>
      </c>
      <c r="I3249" t="s">
        <v>254</v>
      </c>
      <c r="J3249" t="str">
        <f>HYPERLINK("http://vk.com/id286061518")</f>
        <v>http://vk.com/id286061518</v>
      </c>
      <c r="K3249">
        <v>5170</v>
      </c>
      <c r="L3249" t="s">
        <v>121</v>
      </c>
      <c r="M3249">
        <v>34</v>
      </c>
      <c r="N3249" t="s">
        <v>122</v>
      </c>
      <c r="O3249" t="s">
        <v>175</v>
      </c>
      <c r="P3249" t="str">
        <f>HYPERLINK("http://vk.com/club27863223")</f>
        <v>http://vk.com/club27863223</v>
      </c>
      <c r="Q3249">
        <v>134698</v>
      </c>
      <c r="R3249" t="s">
        <v>124</v>
      </c>
      <c r="S3249" t="s">
        <v>125</v>
      </c>
      <c r="T3249" t="s">
        <v>256</v>
      </c>
      <c r="U3249" t="s">
        <v>257</v>
      </c>
      <c r="W3249">
        <v>0</v>
      </c>
      <c r="X3249">
        <v>0</v>
      </c>
      <c r="AM3249" t="s">
        <v>129</v>
      </c>
      <c r="AN3249" t="s">
        <v>130</v>
      </c>
      <c r="AP3249" t="s">
        <v>41</v>
      </c>
      <c r="AZ3249" t="s">
        <v>51</v>
      </c>
      <c r="BA3249" t="s">
        <v>52</v>
      </c>
      <c r="BY3249" t="s">
        <v>76</v>
      </c>
    </row>
    <row r="3250" spans="1:90" x14ac:dyDescent="0.2">
      <c r="A3250" t="s">
        <v>11060</v>
      </c>
      <c r="B3250" t="s">
        <v>7996</v>
      </c>
      <c r="C3250" t="s">
        <v>11083</v>
      </c>
      <c r="D3250" t="s">
        <v>11084</v>
      </c>
      <c r="E3250" t="s">
        <v>11085</v>
      </c>
      <c r="F3250" t="s">
        <v>118</v>
      </c>
      <c r="G3250" t="str">
        <f>HYPERLINK("https://vk.com/wall-39803480_5589808?reply=5589929&amp;thread=5589849")</f>
        <v>https://vk.com/wall-39803480_5589808?reply=5589929&amp;thread=5589849</v>
      </c>
      <c r="H3250" t="s">
        <v>119</v>
      </c>
      <c r="I3250" t="s">
        <v>11086</v>
      </c>
      <c r="J3250" t="str">
        <f>HYPERLINK("http://vk.com/id11608534")</f>
        <v>http://vk.com/id11608534</v>
      </c>
      <c r="K3250">
        <v>409</v>
      </c>
      <c r="L3250" t="s">
        <v>121</v>
      </c>
      <c r="M3250">
        <v>40</v>
      </c>
      <c r="N3250" t="s">
        <v>122</v>
      </c>
      <c r="O3250" t="s">
        <v>11087</v>
      </c>
      <c r="P3250" t="str">
        <f>HYPERLINK("http://vk.com/club39803480")</f>
        <v>http://vk.com/club39803480</v>
      </c>
      <c r="Q3250">
        <v>938222</v>
      </c>
      <c r="R3250" t="s">
        <v>124</v>
      </c>
      <c r="S3250" t="s">
        <v>125</v>
      </c>
      <c r="T3250" t="s">
        <v>314</v>
      </c>
      <c r="U3250" t="s">
        <v>2599</v>
      </c>
      <c r="AM3250" t="s">
        <v>129</v>
      </c>
      <c r="AN3250" t="s">
        <v>130</v>
      </c>
      <c r="AP3250" t="s">
        <v>41</v>
      </c>
      <c r="AU3250" t="s">
        <v>46</v>
      </c>
      <c r="AZ3250" t="s">
        <v>51</v>
      </c>
      <c r="BA3250" t="s">
        <v>52</v>
      </c>
    </row>
    <row r="3251" spans="1:90" x14ac:dyDescent="0.2">
      <c r="A3251" t="s">
        <v>11060</v>
      </c>
      <c r="B3251" t="s">
        <v>7996</v>
      </c>
      <c r="C3251" t="s">
        <v>11081</v>
      </c>
      <c r="D3251" t="s">
        <v>10561</v>
      </c>
      <c r="E3251" t="s">
        <v>11088</v>
      </c>
      <c r="F3251" t="s">
        <v>118</v>
      </c>
      <c r="G3251" t="str">
        <f>HYPERLINK("https://vk.com/wall-27863223_291399?reply=291426")</f>
        <v>https://vk.com/wall-27863223_291399?reply=291426</v>
      </c>
      <c r="H3251" t="s">
        <v>119</v>
      </c>
      <c r="I3251" t="s">
        <v>254</v>
      </c>
      <c r="J3251" t="str">
        <f>HYPERLINK("http://vk.com/id286061518")</f>
        <v>http://vk.com/id286061518</v>
      </c>
      <c r="K3251">
        <v>5170</v>
      </c>
      <c r="L3251" t="s">
        <v>121</v>
      </c>
      <c r="M3251">
        <v>34</v>
      </c>
      <c r="N3251" t="s">
        <v>122</v>
      </c>
      <c r="O3251" t="s">
        <v>175</v>
      </c>
      <c r="P3251" t="str">
        <f>HYPERLINK("http://vk.com/club27863223")</f>
        <v>http://vk.com/club27863223</v>
      </c>
      <c r="Q3251">
        <v>134698</v>
      </c>
      <c r="R3251" t="s">
        <v>124</v>
      </c>
      <c r="S3251" t="s">
        <v>125</v>
      </c>
      <c r="T3251" t="s">
        <v>256</v>
      </c>
      <c r="U3251" t="s">
        <v>257</v>
      </c>
      <c r="W3251">
        <v>0</v>
      </c>
      <c r="X3251">
        <v>0</v>
      </c>
      <c r="AM3251" t="s">
        <v>129</v>
      </c>
      <c r="AN3251" t="s">
        <v>130</v>
      </c>
      <c r="AP3251" t="s">
        <v>41</v>
      </c>
      <c r="AZ3251" t="s">
        <v>51</v>
      </c>
      <c r="BA3251" t="s">
        <v>52</v>
      </c>
      <c r="BY3251" t="s">
        <v>76</v>
      </c>
    </row>
    <row r="3252" spans="1:90" x14ac:dyDescent="0.2">
      <c r="A3252" t="s">
        <v>11060</v>
      </c>
      <c r="B3252" t="s">
        <v>11089</v>
      </c>
      <c r="C3252" t="s">
        <v>11090</v>
      </c>
      <c r="D3252" t="s">
        <v>11091</v>
      </c>
      <c r="E3252" t="s">
        <v>11092</v>
      </c>
      <c r="F3252" t="s">
        <v>118</v>
      </c>
      <c r="G3252" t="str">
        <f>HYPERLINK("https://www.youtube.com/watch?v=N_fRvBpfIJc&amp;lc=Ugzlzz4smGWOBYVLABt4AaABAg")</f>
        <v>https://www.youtube.com/watch?v=N_fRvBpfIJc&amp;lc=Ugzlzz4smGWOBYVLABt4AaABAg</v>
      </c>
      <c r="H3252" t="s">
        <v>228</v>
      </c>
      <c r="I3252" t="s">
        <v>11093</v>
      </c>
      <c r="J3252" t="str">
        <f>HYPERLINK("https://www.youtube.com/channel/UCUpUiapbzZ1XHQwYy2_42-w")</f>
        <v>https://www.youtube.com/channel/UCUpUiapbzZ1XHQwYy2_42-w</v>
      </c>
      <c r="K3252">
        <v>3</v>
      </c>
      <c r="L3252" t="s">
        <v>121</v>
      </c>
      <c r="N3252" t="s">
        <v>248</v>
      </c>
      <c r="O3252" t="s">
        <v>11094</v>
      </c>
      <c r="P3252" t="str">
        <f>HYPERLINK("https://www.youtube.com/channel/UCaBlQ74yNjQIT-3S2E71KZw")</f>
        <v>https://www.youtube.com/channel/UCaBlQ74yNjQIT-3S2E71KZw</v>
      </c>
      <c r="Q3252">
        <v>148000</v>
      </c>
      <c r="R3252" t="s">
        <v>124</v>
      </c>
      <c r="S3252" t="s">
        <v>125</v>
      </c>
      <c r="W3252">
        <v>0</v>
      </c>
      <c r="X3252">
        <v>0</v>
      </c>
      <c r="AE3252">
        <v>0</v>
      </c>
      <c r="AM3252" t="s">
        <v>129</v>
      </c>
      <c r="AN3252" t="s">
        <v>130</v>
      </c>
      <c r="AP3252" t="s">
        <v>41</v>
      </c>
      <c r="AU3252" t="s">
        <v>46</v>
      </c>
      <c r="AY3252" t="s">
        <v>50</v>
      </c>
      <c r="AZ3252" t="s">
        <v>51</v>
      </c>
      <c r="BA3252" t="s">
        <v>52</v>
      </c>
    </row>
    <row r="3253" spans="1:90" x14ac:dyDescent="0.2">
      <c r="A3253" t="s">
        <v>11060</v>
      </c>
      <c r="B3253" t="s">
        <v>2908</v>
      </c>
      <c r="C3253" t="s">
        <v>11095</v>
      </c>
      <c r="D3253" t="s">
        <v>10561</v>
      </c>
      <c r="E3253" t="s">
        <v>11096</v>
      </c>
      <c r="F3253" t="s">
        <v>118</v>
      </c>
      <c r="G3253" t="str">
        <f>HYPERLINK("https://vk.com/wall-27863223_291399?reply=291423")</f>
        <v>https://vk.com/wall-27863223_291399?reply=291423</v>
      </c>
      <c r="H3253" t="s">
        <v>228</v>
      </c>
      <c r="I3253" t="s">
        <v>10982</v>
      </c>
      <c r="J3253" t="str">
        <f>HYPERLINK("http://vk.com/id312563123")</f>
        <v>http://vk.com/id312563123</v>
      </c>
      <c r="K3253">
        <v>2889</v>
      </c>
      <c r="L3253" t="s">
        <v>121</v>
      </c>
      <c r="N3253" t="s">
        <v>122</v>
      </c>
      <c r="O3253" t="s">
        <v>175</v>
      </c>
      <c r="P3253" t="str">
        <f>HYPERLINK("http://vk.com/club27863223")</f>
        <v>http://vk.com/club27863223</v>
      </c>
      <c r="Q3253">
        <v>134698</v>
      </c>
      <c r="R3253" t="s">
        <v>124</v>
      </c>
      <c r="S3253" t="s">
        <v>125</v>
      </c>
      <c r="T3253" t="s">
        <v>1275</v>
      </c>
      <c r="U3253" t="s">
        <v>1276</v>
      </c>
      <c r="W3253">
        <v>0</v>
      </c>
      <c r="X3253">
        <v>0</v>
      </c>
      <c r="AM3253" t="s">
        <v>129</v>
      </c>
      <c r="AN3253" t="s">
        <v>130</v>
      </c>
      <c r="AP3253" t="s">
        <v>41</v>
      </c>
      <c r="AX3253" t="s">
        <v>49</v>
      </c>
      <c r="AZ3253" t="s">
        <v>51</v>
      </c>
      <c r="BD3253" t="s">
        <v>55</v>
      </c>
      <c r="CL3253" t="s">
        <v>89</v>
      </c>
    </row>
    <row r="3254" spans="1:90" x14ac:dyDescent="0.2">
      <c r="A3254" t="s">
        <v>11060</v>
      </c>
      <c r="B3254" t="s">
        <v>1317</v>
      </c>
      <c r="C3254" t="s">
        <v>10755</v>
      </c>
      <c r="D3254" t="s">
        <v>2052</v>
      </c>
      <c r="E3254" t="s">
        <v>11097</v>
      </c>
      <c r="F3254" t="s">
        <v>180</v>
      </c>
      <c r="G3254" t="str">
        <f>HYPERLINK("https://www.wildberries.ru/catalog/17288086/detail.aspx?targetUrl=ES#Comments")</f>
        <v>https://www.wildberries.ru/catalog/17288086/detail.aspx?targetUrl=ES#Comments</v>
      </c>
      <c r="H3254" t="s">
        <v>181</v>
      </c>
      <c r="I3254" t="s">
        <v>2198</v>
      </c>
      <c r="J3254" t="str">
        <f>HYPERLINK("https://www.wildberries.ru/profile/w7TDssOkw7PCu8KwwrTCucK3wrjCtsKzwrQ=")</f>
        <v>https://www.wildberries.ru/profile/w7TDssOkw7PCu8KwwrTCucK3wrjCtsKzwrQ=</v>
      </c>
      <c r="L3254" t="s">
        <v>151</v>
      </c>
      <c r="N3254" t="s">
        <v>534</v>
      </c>
      <c r="O3254" t="s">
        <v>2052</v>
      </c>
      <c r="P3254" t="str">
        <f>HYPERLINK("https://www.wildberries.ru/catalog/12874318/detail.aspx")</f>
        <v>https://www.wildberries.ru/catalog/12874318/detail.aspx</v>
      </c>
      <c r="R3254" t="s">
        <v>184</v>
      </c>
      <c r="S3254" t="s">
        <v>125</v>
      </c>
      <c r="W3254">
        <v>0</v>
      </c>
      <c r="X3254">
        <v>0</v>
      </c>
      <c r="AH3254">
        <v>5</v>
      </c>
      <c r="AM3254" t="s">
        <v>129</v>
      </c>
      <c r="AN3254" t="s">
        <v>130</v>
      </c>
      <c r="AP3254" t="s">
        <v>41</v>
      </c>
      <c r="AZ3254" t="s">
        <v>51</v>
      </c>
      <c r="BA3254" t="s">
        <v>52</v>
      </c>
      <c r="BK3254" t="s">
        <v>62</v>
      </c>
      <c r="BL3254" t="s">
        <v>63</v>
      </c>
    </row>
    <row r="3255" spans="1:90" x14ac:dyDescent="0.2">
      <c r="A3255" t="s">
        <v>11060</v>
      </c>
      <c r="B3255" t="s">
        <v>5498</v>
      </c>
      <c r="C3255" t="s">
        <v>11098</v>
      </c>
      <c r="D3255" t="s">
        <v>986</v>
      </c>
      <c r="E3255" t="s">
        <v>11099</v>
      </c>
      <c r="F3255" t="s">
        <v>118</v>
      </c>
      <c r="G3255" t="str">
        <f>HYPERLINK("https://vk.com/wall-27863223_291396?w=wall-27863223_291396_r291422")</f>
        <v>https://vk.com/wall-27863223_291396?w=wall-27863223_291396_r291422</v>
      </c>
      <c r="H3255" t="s">
        <v>119</v>
      </c>
      <c r="I3255" t="s">
        <v>254</v>
      </c>
      <c r="J3255" t="str">
        <f>HYPERLINK("http://vk.com/id286061518")</f>
        <v>http://vk.com/id286061518</v>
      </c>
      <c r="K3255">
        <v>5170</v>
      </c>
      <c r="L3255" t="s">
        <v>121</v>
      </c>
      <c r="M3255">
        <v>34</v>
      </c>
      <c r="N3255" t="s">
        <v>122</v>
      </c>
      <c r="O3255" t="s">
        <v>175</v>
      </c>
      <c r="P3255" t="str">
        <f>HYPERLINK("http://vk.com/club27863223")</f>
        <v>http://vk.com/club27863223</v>
      </c>
      <c r="Q3255">
        <v>134698</v>
      </c>
      <c r="R3255" t="s">
        <v>124</v>
      </c>
      <c r="S3255" t="s">
        <v>125</v>
      </c>
      <c r="T3255" t="s">
        <v>256</v>
      </c>
      <c r="U3255" t="s">
        <v>257</v>
      </c>
      <c r="W3255">
        <v>0</v>
      </c>
      <c r="X3255">
        <v>0</v>
      </c>
      <c r="AM3255" t="s">
        <v>129</v>
      </c>
      <c r="AN3255" t="s">
        <v>130</v>
      </c>
      <c r="AP3255" t="s">
        <v>41</v>
      </c>
      <c r="AZ3255" t="s">
        <v>51</v>
      </c>
      <c r="BB3255" t="s">
        <v>53</v>
      </c>
    </row>
    <row r="3256" spans="1:90" x14ac:dyDescent="0.2">
      <c r="A3256" t="s">
        <v>11060</v>
      </c>
      <c r="B3256" t="s">
        <v>1920</v>
      </c>
      <c r="C3256" t="s">
        <v>11100</v>
      </c>
      <c r="D3256" t="s">
        <v>11068</v>
      </c>
      <c r="E3256" t="s">
        <v>11101</v>
      </c>
      <c r="F3256" t="s">
        <v>118</v>
      </c>
      <c r="G3256" t="str">
        <f>HYPERLINK("https://vk.com/wall-199277766_680?reply=685")</f>
        <v>https://vk.com/wall-199277766_680?reply=685</v>
      </c>
      <c r="H3256" t="s">
        <v>119</v>
      </c>
      <c r="I3256" t="s">
        <v>9836</v>
      </c>
      <c r="J3256" t="str">
        <f>HYPERLINK("http://vk.com/id106840295")</f>
        <v>http://vk.com/id106840295</v>
      </c>
      <c r="K3256">
        <v>35</v>
      </c>
      <c r="L3256" t="s">
        <v>121</v>
      </c>
      <c r="N3256" t="s">
        <v>122</v>
      </c>
      <c r="O3256" t="s">
        <v>255</v>
      </c>
      <c r="P3256" t="str">
        <f>HYPERLINK("http://vk.com/club199277766")</f>
        <v>http://vk.com/club199277766</v>
      </c>
      <c r="Q3256">
        <v>53</v>
      </c>
      <c r="R3256" t="s">
        <v>124</v>
      </c>
      <c r="S3256" t="s">
        <v>125</v>
      </c>
      <c r="AM3256" t="s">
        <v>129</v>
      </c>
      <c r="AN3256" t="s">
        <v>130</v>
      </c>
      <c r="AP3256" t="s">
        <v>41</v>
      </c>
      <c r="AU3256" t="s">
        <v>46</v>
      </c>
      <c r="AZ3256" t="s">
        <v>51</v>
      </c>
      <c r="BA3256" t="s">
        <v>52</v>
      </c>
    </row>
    <row r="3257" spans="1:90" x14ac:dyDescent="0.2">
      <c r="A3257" t="s">
        <v>11060</v>
      </c>
      <c r="B3257" t="s">
        <v>1348</v>
      </c>
      <c r="C3257" t="s">
        <v>11102</v>
      </c>
      <c r="D3257" t="s">
        <v>11103</v>
      </c>
      <c r="E3257" t="s">
        <v>11104</v>
      </c>
      <c r="F3257" t="s">
        <v>118</v>
      </c>
      <c r="G3257" t="str">
        <f>HYPERLINK("https://telegram.me/rt_bogorodskoe_poselenie/3965")</f>
        <v>https://telegram.me/rt_bogorodskoe_poselenie/3965</v>
      </c>
      <c r="H3257" t="s">
        <v>119</v>
      </c>
      <c r="I3257" t="s">
        <v>11105</v>
      </c>
      <c r="J3257" t="str">
        <f>HYPERLINK("https://telegram.me/eddoceddoc")</f>
        <v>https://telegram.me/eddoceddoc</v>
      </c>
      <c r="L3257" t="s">
        <v>121</v>
      </c>
      <c r="N3257" t="s">
        <v>143</v>
      </c>
      <c r="O3257" t="s">
        <v>11027</v>
      </c>
      <c r="P3257" t="str">
        <f>HYPERLINK("https://telegram.me/rt_bogorodskoe_poselenie")</f>
        <v>https://telegram.me/rt_bogorodskoe_poselenie</v>
      </c>
      <c r="Q3257">
        <v>425</v>
      </c>
      <c r="R3257" t="s">
        <v>145</v>
      </c>
      <c r="AM3257" t="s">
        <v>129</v>
      </c>
      <c r="AN3257" t="s">
        <v>130</v>
      </c>
      <c r="AP3257" t="s">
        <v>41</v>
      </c>
      <c r="AU3257" t="s">
        <v>46</v>
      </c>
      <c r="AY3257" t="s">
        <v>50</v>
      </c>
      <c r="AZ3257" t="s">
        <v>51</v>
      </c>
      <c r="BA3257" t="s">
        <v>52</v>
      </c>
      <c r="BL3257" t="s">
        <v>63</v>
      </c>
      <c r="BM3257" t="s">
        <v>64</v>
      </c>
    </row>
    <row r="3258" spans="1:90" x14ac:dyDescent="0.2">
      <c r="A3258" t="s">
        <v>11060</v>
      </c>
      <c r="B3258" t="s">
        <v>5965</v>
      </c>
      <c r="C3258" t="s">
        <v>11106</v>
      </c>
      <c r="D3258" t="s">
        <v>10984</v>
      </c>
      <c r="E3258" t="s">
        <v>11107</v>
      </c>
      <c r="F3258" t="s">
        <v>118</v>
      </c>
      <c r="G3258" t="str">
        <f>HYPERLINK("https://vk.com/wall-61395243_468026?reply=468104")</f>
        <v>https://vk.com/wall-61395243_468026?reply=468104</v>
      </c>
      <c r="H3258" t="s">
        <v>119</v>
      </c>
      <c r="I3258" t="s">
        <v>11108</v>
      </c>
      <c r="J3258" t="str">
        <f>HYPERLINK("http://vk.com/id537587206")</f>
        <v>http://vk.com/id537587206</v>
      </c>
      <c r="K3258">
        <v>133</v>
      </c>
      <c r="L3258" t="s">
        <v>151</v>
      </c>
      <c r="N3258" t="s">
        <v>122</v>
      </c>
      <c r="O3258" t="s">
        <v>10987</v>
      </c>
      <c r="P3258" t="str">
        <f>HYPERLINK("http://vk.com/club61395243")</f>
        <v>http://vk.com/club61395243</v>
      </c>
      <c r="Q3258">
        <v>26990</v>
      </c>
      <c r="R3258" t="s">
        <v>124</v>
      </c>
      <c r="AM3258" t="s">
        <v>129</v>
      </c>
      <c r="AN3258" t="s">
        <v>130</v>
      </c>
      <c r="AP3258" t="s">
        <v>41</v>
      </c>
      <c r="AU3258" t="s">
        <v>46</v>
      </c>
      <c r="AZ3258" t="s">
        <v>51</v>
      </c>
      <c r="BA3258" t="s">
        <v>52</v>
      </c>
    </row>
    <row r="3259" spans="1:90" x14ac:dyDescent="0.2">
      <c r="A3259" t="s">
        <v>11060</v>
      </c>
      <c r="B3259" t="s">
        <v>1359</v>
      </c>
      <c r="C3259" t="s">
        <v>11109</v>
      </c>
      <c r="D3259" t="s">
        <v>10958</v>
      </c>
      <c r="E3259" t="s">
        <v>11110</v>
      </c>
      <c r="F3259" t="s">
        <v>180</v>
      </c>
      <c r="G3259" t="str">
        <f>HYPERLINK("https://otzovik.com/review_12132084.html")</f>
        <v>https://otzovik.com/review_12132084.html</v>
      </c>
      <c r="H3259" t="s">
        <v>228</v>
      </c>
      <c r="I3259" t="s">
        <v>11111</v>
      </c>
      <c r="J3259" t="str">
        <f>HYPERLINK("http://otzovik.com/profile/Яжеговорил")</f>
        <v>http://otzovik.com/profile/Яжеговорил</v>
      </c>
      <c r="N3259" t="s">
        <v>390</v>
      </c>
      <c r="O3259" t="s">
        <v>10960</v>
      </c>
      <c r="P3259" t="str">
        <f>HYPERLINK("https://otzovik.com/reviews/kompaniya_grishanov_vitaliy_borisovich_russia_saratov/")</f>
        <v>https://otzovik.com/reviews/kompaniya_grishanov_vitaliy_borisovich_russia_saratov/</v>
      </c>
      <c r="R3259" t="s">
        <v>184</v>
      </c>
      <c r="S3259" t="s">
        <v>125</v>
      </c>
      <c r="T3259" t="s">
        <v>4407</v>
      </c>
      <c r="U3259" t="s">
        <v>6823</v>
      </c>
      <c r="W3259">
        <v>1</v>
      </c>
      <c r="X3259">
        <v>1</v>
      </c>
      <c r="AE3259">
        <v>0</v>
      </c>
      <c r="AH3259">
        <v>1</v>
      </c>
      <c r="AM3259" t="s">
        <v>129</v>
      </c>
      <c r="AN3259" t="s">
        <v>130</v>
      </c>
      <c r="AP3259" t="s">
        <v>41</v>
      </c>
      <c r="AT3259" t="s">
        <v>45</v>
      </c>
      <c r="AU3259" t="s">
        <v>46</v>
      </c>
      <c r="AX3259" t="s">
        <v>49</v>
      </c>
      <c r="AY3259" t="s">
        <v>50</v>
      </c>
      <c r="AZ3259" t="s">
        <v>51</v>
      </c>
      <c r="BA3259" t="s">
        <v>52</v>
      </c>
    </row>
    <row r="3260" spans="1:90" x14ac:dyDescent="0.2">
      <c r="A3260" t="s">
        <v>11060</v>
      </c>
      <c r="B3260" t="s">
        <v>5565</v>
      </c>
      <c r="C3260" t="s">
        <v>11112</v>
      </c>
      <c r="D3260" t="s">
        <v>10949</v>
      </c>
      <c r="E3260" t="s">
        <v>11113</v>
      </c>
      <c r="F3260" t="s">
        <v>118</v>
      </c>
      <c r="G3260" t="str">
        <f>HYPERLINK("https://vk.com/wall-67332874_657273?reply=657314&amp;thread=657311")</f>
        <v>https://vk.com/wall-67332874_657273?reply=657314&amp;thread=657311</v>
      </c>
      <c r="H3260" t="s">
        <v>119</v>
      </c>
      <c r="I3260" t="s">
        <v>9468</v>
      </c>
      <c r="J3260" t="str">
        <f>HYPERLINK("http://vk.com/id134558601")</f>
        <v>http://vk.com/id134558601</v>
      </c>
      <c r="K3260">
        <v>160</v>
      </c>
      <c r="L3260" t="s">
        <v>151</v>
      </c>
      <c r="M3260">
        <v>39</v>
      </c>
      <c r="N3260" t="s">
        <v>122</v>
      </c>
      <c r="O3260" t="s">
        <v>10951</v>
      </c>
      <c r="P3260" t="str">
        <f>HYPERLINK("http://vk.com/club67332874")</f>
        <v>http://vk.com/club67332874</v>
      </c>
      <c r="Q3260">
        <v>25133</v>
      </c>
      <c r="R3260" t="s">
        <v>124</v>
      </c>
      <c r="S3260" t="s">
        <v>125</v>
      </c>
      <c r="T3260" t="s">
        <v>2521</v>
      </c>
      <c r="U3260" t="s">
        <v>9469</v>
      </c>
      <c r="AM3260" t="s">
        <v>129</v>
      </c>
      <c r="AN3260" t="s">
        <v>130</v>
      </c>
      <c r="AP3260" t="s">
        <v>41</v>
      </c>
      <c r="AZ3260" t="s">
        <v>51</v>
      </c>
      <c r="BA3260" t="s">
        <v>52</v>
      </c>
      <c r="BM3260" t="s">
        <v>64</v>
      </c>
    </row>
    <row r="3261" spans="1:90" x14ac:dyDescent="0.2">
      <c r="A3261" t="s">
        <v>11060</v>
      </c>
      <c r="B3261" t="s">
        <v>266</v>
      </c>
      <c r="C3261" t="s">
        <v>11114</v>
      </c>
      <c r="D3261" t="s">
        <v>11115</v>
      </c>
      <c r="E3261" t="s">
        <v>11116</v>
      </c>
      <c r="F3261" t="s">
        <v>118</v>
      </c>
      <c r="G3261" t="str">
        <f>HYPERLINK("https://telegram.me/pluto5968419/31983")</f>
        <v>https://telegram.me/pluto5968419/31983</v>
      </c>
      <c r="H3261" t="s">
        <v>119</v>
      </c>
      <c r="I3261" t="s">
        <v>11117</v>
      </c>
      <c r="J3261" t="str">
        <f>HYPERLINK("https://telegram.me/1601473622")</f>
        <v>https://telegram.me/1601473622</v>
      </c>
      <c r="N3261" t="s">
        <v>143</v>
      </c>
      <c r="O3261" t="s">
        <v>11118</v>
      </c>
      <c r="P3261" t="str">
        <f>HYPERLINK("https://telegram.me/pluto5968419")</f>
        <v>https://telegram.me/pluto5968419</v>
      </c>
      <c r="Q3261">
        <v>3983</v>
      </c>
      <c r="R3261" t="s">
        <v>145</v>
      </c>
      <c r="AM3261" t="s">
        <v>129</v>
      </c>
      <c r="AN3261" t="s">
        <v>130</v>
      </c>
      <c r="AP3261" t="s">
        <v>41</v>
      </c>
      <c r="AU3261" t="s">
        <v>46</v>
      </c>
      <c r="AZ3261" t="s">
        <v>51</v>
      </c>
      <c r="BA3261" t="s">
        <v>52</v>
      </c>
    </row>
    <row r="3262" spans="1:90" x14ac:dyDescent="0.2">
      <c r="A3262" t="s">
        <v>11060</v>
      </c>
      <c r="B3262" t="s">
        <v>5078</v>
      </c>
      <c r="C3262" t="s">
        <v>11119</v>
      </c>
      <c r="D3262" t="s">
        <v>10561</v>
      </c>
      <c r="E3262" t="s">
        <v>11120</v>
      </c>
      <c r="F3262" t="s">
        <v>118</v>
      </c>
      <c r="G3262" t="str">
        <f>HYPERLINK("https://vk.com/wall-27863223_291399?reply=291420")</f>
        <v>https://vk.com/wall-27863223_291399?reply=291420</v>
      </c>
      <c r="H3262" t="s">
        <v>119</v>
      </c>
      <c r="I3262" t="s">
        <v>2353</v>
      </c>
      <c r="J3262" t="str">
        <f>HYPERLINK("http://vk.com/id26675501")</f>
        <v>http://vk.com/id26675501</v>
      </c>
      <c r="K3262">
        <v>163</v>
      </c>
      <c r="L3262" t="s">
        <v>121</v>
      </c>
      <c r="M3262">
        <v>31</v>
      </c>
      <c r="N3262" t="s">
        <v>122</v>
      </c>
      <c r="O3262" t="s">
        <v>175</v>
      </c>
      <c r="P3262" t="str">
        <f>HYPERLINK("http://vk.com/club27863223")</f>
        <v>http://vk.com/club27863223</v>
      </c>
      <c r="Q3262">
        <v>134698</v>
      </c>
      <c r="R3262" t="s">
        <v>124</v>
      </c>
      <c r="S3262" t="s">
        <v>125</v>
      </c>
      <c r="T3262" t="s">
        <v>137</v>
      </c>
      <c r="U3262" t="s">
        <v>137</v>
      </c>
      <c r="W3262">
        <v>0</v>
      </c>
      <c r="X3262">
        <v>0</v>
      </c>
      <c r="AM3262" t="s">
        <v>129</v>
      </c>
      <c r="AN3262" t="s">
        <v>130</v>
      </c>
      <c r="AP3262" t="s">
        <v>41</v>
      </c>
      <c r="AU3262" t="s">
        <v>46</v>
      </c>
      <c r="AZ3262" t="s">
        <v>51</v>
      </c>
      <c r="BA3262" t="s">
        <v>52</v>
      </c>
    </row>
    <row r="3263" spans="1:90" x14ac:dyDescent="0.2">
      <c r="A3263" t="s">
        <v>11060</v>
      </c>
      <c r="B3263" t="s">
        <v>1937</v>
      </c>
      <c r="C3263" t="s">
        <v>11114</v>
      </c>
      <c r="D3263" t="s">
        <v>129</v>
      </c>
      <c r="E3263" t="s">
        <v>11121</v>
      </c>
      <c r="F3263" t="s">
        <v>180</v>
      </c>
      <c r="G3263" t="str">
        <f>HYPERLINK("https://telegram.me/pluto5968419/31970")</f>
        <v>https://telegram.me/pluto5968419/31970</v>
      </c>
      <c r="H3263" t="s">
        <v>119</v>
      </c>
      <c r="I3263" t="s">
        <v>8413</v>
      </c>
      <c r="J3263" t="str">
        <f>HYPERLINK("https://telegram.me/rustam88g")</f>
        <v>https://telegram.me/rustam88g</v>
      </c>
      <c r="L3263" t="s">
        <v>121</v>
      </c>
      <c r="N3263" t="s">
        <v>143</v>
      </c>
      <c r="O3263" t="s">
        <v>11118</v>
      </c>
      <c r="P3263" t="str">
        <f>HYPERLINK("https://telegram.me/pluto5968419")</f>
        <v>https://telegram.me/pluto5968419</v>
      </c>
      <c r="Q3263">
        <v>3983</v>
      </c>
      <c r="R3263" t="s">
        <v>145</v>
      </c>
      <c r="AM3263" t="s">
        <v>129</v>
      </c>
      <c r="AN3263" t="s">
        <v>130</v>
      </c>
      <c r="AP3263" t="s">
        <v>41</v>
      </c>
      <c r="AZ3263" t="s">
        <v>51</v>
      </c>
      <c r="BA3263" t="s">
        <v>52</v>
      </c>
      <c r="BL3263" t="s">
        <v>63</v>
      </c>
    </row>
    <row r="3264" spans="1:90" x14ac:dyDescent="0.2">
      <c r="A3264" t="s">
        <v>11060</v>
      </c>
      <c r="B3264" t="s">
        <v>1396</v>
      </c>
      <c r="C3264" t="s">
        <v>11122</v>
      </c>
      <c r="D3264" t="s">
        <v>10949</v>
      </c>
      <c r="E3264" t="s">
        <v>11123</v>
      </c>
      <c r="F3264" t="s">
        <v>118</v>
      </c>
      <c r="G3264" t="str">
        <f>HYPERLINK("https://vk.com/wall-67332874_657273?reply=657312")</f>
        <v>https://vk.com/wall-67332874_657273?reply=657312</v>
      </c>
      <c r="H3264" t="s">
        <v>181</v>
      </c>
      <c r="I3264" t="s">
        <v>11124</v>
      </c>
      <c r="J3264" t="str">
        <f>HYPERLINK("http://vk.com/id557015292")</f>
        <v>http://vk.com/id557015292</v>
      </c>
      <c r="K3264">
        <v>162</v>
      </c>
      <c r="L3264" t="s">
        <v>151</v>
      </c>
      <c r="M3264">
        <v>33</v>
      </c>
      <c r="N3264" t="s">
        <v>122</v>
      </c>
      <c r="O3264" t="s">
        <v>10951</v>
      </c>
      <c r="P3264" t="str">
        <f>HYPERLINK("http://vk.com/club67332874")</f>
        <v>http://vk.com/club67332874</v>
      </c>
      <c r="Q3264">
        <v>25133</v>
      </c>
      <c r="R3264" t="s">
        <v>124</v>
      </c>
      <c r="AM3264" t="s">
        <v>129</v>
      </c>
      <c r="AN3264" t="s">
        <v>130</v>
      </c>
      <c r="AP3264" t="s">
        <v>41</v>
      </c>
      <c r="AW3264" t="s">
        <v>48</v>
      </c>
      <c r="AZ3264" t="s">
        <v>51</v>
      </c>
      <c r="BA3264" t="s">
        <v>52</v>
      </c>
    </row>
    <row r="3265" spans="1:77" x14ac:dyDescent="0.2">
      <c r="A3265" t="s">
        <v>11060</v>
      </c>
      <c r="B3265" t="s">
        <v>849</v>
      </c>
      <c r="C3265" t="s">
        <v>11125</v>
      </c>
      <c r="D3265" t="s">
        <v>986</v>
      </c>
      <c r="E3265" t="s">
        <v>11126</v>
      </c>
      <c r="F3265" t="s">
        <v>118</v>
      </c>
      <c r="G3265" t="str">
        <f>HYPERLINK("https://vk.com/wall-27863223_291396?reply=291418&amp;thread=291403")</f>
        <v>https://vk.com/wall-27863223_291396?reply=291418&amp;thread=291403</v>
      </c>
      <c r="H3265" t="s">
        <v>119</v>
      </c>
      <c r="I3265" t="s">
        <v>8147</v>
      </c>
      <c r="J3265" t="str">
        <f>HYPERLINK("http://vk.com/id82512051")</f>
        <v>http://vk.com/id82512051</v>
      </c>
      <c r="K3265">
        <v>1670</v>
      </c>
      <c r="L3265" t="s">
        <v>121</v>
      </c>
      <c r="M3265">
        <v>30</v>
      </c>
      <c r="N3265" t="s">
        <v>122</v>
      </c>
      <c r="O3265" t="s">
        <v>175</v>
      </c>
      <c r="P3265" t="str">
        <f>HYPERLINK("http://vk.com/club27863223")</f>
        <v>http://vk.com/club27863223</v>
      </c>
      <c r="Q3265">
        <v>134698</v>
      </c>
      <c r="R3265" t="s">
        <v>124</v>
      </c>
      <c r="S3265" t="s">
        <v>125</v>
      </c>
      <c r="T3265" t="s">
        <v>627</v>
      </c>
      <c r="U3265" t="s">
        <v>8148</v>
      </c>
      <c r="AM3265" t="s">
        <v>129</v>
      </c>
      <c r="AN3265" t="s">
        <v>130</v>
      </c>
      <c r="AP3265" t="s">
        <v>41</v>
      </c>
      <c r="AU3265" t="s">
        <v>46</v>
      </c>
      <c r="AZ3265" t="s">
        <v>51</v>
      </c>
      <c r="BA3265" t="s">
        <v>52</v>
      </c>
    </row>
    <row r="3266" spans="1:77" x14ac:dyDescent="0.2">
      <c r="A3266" t="s">
        <v>11060</v>
      </c>
      <c r="B3266" t="s">
        <v>281</v>
      </c>
      <c r="C3266" t="s">
        <v>11127</v>
      </c>
      <c r="D3266" t="s">
        <v>10949</v>
      </c>
      <c r="E3266" t="s">
        <v>11128</v>
      </c>
      <c r="F3266" t="s">
        <v>118</v>
      </c>
      <c r="G3266" t="str">
        <f>HYPERLINK("https://vk.com/wall-67332874_657273?reply=657311")</f>
        <v>https://vk.com/wall-67332874_657273?reply=657311</v>
      </c>
      <c r="H3266" t="s">
        <v>119</v>
      </c>
      <c r="I3266" t="s">
        <v>11129</v>
      </c>
      <c r="J3266" t="str">
        <f>HYPERLINK("http://vk.com/id450004377")</f>
        <v>http://vk.com/id450004377</v>
      </c>
      <c r="K3266">
        <v>124</v>
      </c>
      <c r="L3266" t="s">
        <v>151</v>
      </c>
      <c r="N3266" t="s">
        <v>122</v>
      </c>
      <c r="O3266" t="s">
        <v>10951</v>
      </c>
      <c r="P3266" t="str">
        <f>HYPERLINK("http://vk.com/club67332874")</f>
        <v>http://vk.com/club67332874</v>
      </c>
      <c r="Q3266">
        <v>25133</v>
      </c>
      <c r="R3266" t="s">
        <v>124</v>
      </c>
      <c r="S3266" t="s">
        <v>125</v>
      </c>
      <c r="T3266" t="s">
        <v>2521</v>
      </c>
      <c r="U3266" t="s">
        <v>11130</v>
      </c>
      <c r="AM3266" t="s">
        <v>129</v>
      </c>
      <c r="AN3266" t="s">
        <v>130</v>
      </c>
      <c r="AP3266" t="s">
        <v>41</v>
      </c>
      <c r="AW3266" t="s">
        <v>48</v>
      </c>
      <c r="AX3266" t="s">
        <v>49</v>
      </c>
      <c r="AZ3266" t="s">
        <v>51</v>
      </c>
      <c r="BA3266" t="s">
        <v>52</v>
      </c>
    </row>
    <row r="3267" spans="1:77" x14ac:dyDescent="0.2">
      <c r="A3267" t="s">
        <v>11060</v>
      </c>
      <c r="B3267" t="s">
        <v>4209</v>
      </c>
      <c r="C3267" t="s">
        <v>11131</v>
      </c>
      <c r="D3267" t="s">
        <v>986</v>
      </c>
      <c r="E3267" t="s">
        <v>11132</v>
      </c>
      <c r="F3267" t="s">
        <v>118</v>
      </c>
      <c r="G3267" t="str">
        <f>HYPERLINK("https://vk.com/wall-27863223_291396?w=wall-27863223_291396_r291416")</f>
        <v>https://vk.com/wall-27863223_291396?w=wall-27863223_291396_r291416</v>
      </c>
      <c r="H3267" t="s">
        <v>119</v>
      </c>
      <c r="I3267" t="s">
        <v>8147</v>
      </c>
      <c r="J3267" t="str">
        <f>HYPERLINK("http://vk.com/id82512051")</f>
        <v>http://vk.com/id82512051</v>
      </c>
      <c r="K3267">
        <v>1670</v>
      </c>
      <c r="L3267" t="s">
        <v>121</v>
      </c>
      <c r="M3267">
        <v>30</v>
      </c>
      <c r="N3267" t="s">
        <v>122</v>
      </c>
      <c r="O3267" t="s">
        <v>175</v>
      </c>
      <c r="P3267" t="str">
        <f>HYPERLINK("http://vk.com/club27863223")</f>
        <v>http://vk.com/club27863223</v>
      </c>
      <c r="Q3267">
        <v>134698</v>
      </c>
      <c r="R3267" t="s">
        <v>124</v>
      </c>
      <c r="S3267" t="s">
        <v>125</v>
      </c>
      <c r="T3267" t="s">
        <v>627</v>
      </c>
      <c r="U3267" t="s">
        <v>8148</v>
      </c>
      <c r="W3267">
        <v>0</v>
      </c>
      <c r="X3267">
        <v>0</v>
      </c>
      <c r="AM3267" t="s">
        <v>129</v>
      </c>
      <c r="AN3267" t="s">
        <v>130</v>
      </c>
      <c r="AP3267" t="s">
        <v>41</v>
      </c>
      <c r="AU3267" t="s">
        <v>46</v>
      </c>
      <c r="AZ3267" t="s">
        <v>51</v>
      </c>
      <c r="BA3267" t="s">
        <v>52</v>
      </c>
    </row>
    <row r="3268" spans="1:77" x14ac:dyDescent="0.2">
      <c r="A3268" t="s">
        <v>11060</v>
      </c>
      <c r="B3268" t="s">
        <v>4209</v>
      </c>
      <c r="C3268" t="s">
        <v>11131</v>
      </c>
      <c r="D3268" t="s">
        <v>986</v>
      </c>
      <c r="E3268" t="s">
        <v>11133</v>
      </c>
      <c r="F3268" t="s">
        <v>118</v>
      </c>
      <c r="G3268" t="str">
        <f>HYPERLINK("https://vk.com/wall-27863223_291396?w=wall-27863223_291396_r291415")</f>
        <v>https://vk.com/wall-27863223_291396?w=wall-27863223_291396_r291415</v>
      </c>
      <c r="H3268" t="s">
        <v>119</v>
      </c>
      <c r="I3268" t="s">
        <v>8147</v>
      </c>
      <c r="J3268" t="str">
        <f>HYPERLINK("http://vk.com/id82512051")</f>
        <v>http://vk.com/id82512051</v>
      </c>
      <c r="K3268">
        <v>1670</v>
      </c>
      <c r="L3268" t="s">
        <v>121</v>
      </c>
      <c r="M3268">
        <v>30</v>
      </c>
      <c r="N3268" t="s">
        <v>122</v>
      </c>
      <c r="O3268" t="s">
        <v>175</v>
      </c>
      <c r="P3268" t="str">
        <f>HYPERLINK("http://vk.com/club27863223")</f>
        <v>http://vk.com/club27863223</v>
      </c>
      <c r="Q3268">
        <v>134698</v>
      </c>
      <c r="R3268" t="s">
        <v>124</v>
      </c>
      <c r="S3268" t="s">
        <v>125</v>
      </c>
      <c r="T3268" t="s">
        <v>627</v>
      </c>
      <c r="U3268" t="s">
        <v>8148</v>
      </c>
      <c r="W3268">
        <v>0</v>
      </c>
      <c r="X3268">
        <v>0</v>
      </c>
      <c r="AM3268" t="s">
        <v>129</v>
      </c>
      <c r="AN3268" t="s">
        <v>130</v>
      </c>
      <c r="AP3268" t="s">
        <v>41</v>
      </c>
      <c r="AU3268" t="s">
        <v>46</v>
      </c>
      <c r="AZ3268" t="s">
        <v>51</v>
      </c>
      <c r="BA3268" t="s">
        <v>52</v>
      </c>
    </row>
    <row r="3269" spans="1:77" x14ac:dyDescent="0.2">
      <c r="A3269" t="s">
        <v>11060</v>
      </c>
      <c r="B3269" t="s">
        <v>858</v>
      </c>
      <c r="C3269" t="s">
        <v>10612</v>
      </c>
      <c r="D3269" t="s">
        <v>3391</v>
      </c>
      <c r="E3269" t="s">
        <v>11134</v>
      </c>
      <c r="F3269" t="s">
        <v>180</v>
      </c>
      <c r="G3269" t="str">
        <f>HYPERLINK("https://www.wildberries.ru/catalog/14072152/detail.aspx?targetUrl=ES#Comments")</f>
        <v>https://www.wildberries.ru/catalog/14072152/detail.aspx?targetUrl=ES#Comments</v>
      </c>
      <c r="H3269" t="s">
        <v>181</v>
      </c>
      <c r="I3269" t="s">
        <v>4760</v>
      </c>
      <c r="J3269" t="str">
        <f>HYPERLINK("https://www.wildberries.ru/profile/w7TDssOkw7PCu8KzwrbCssK0wrXCsMK1wrY=")</f>
        <v>https://www.wildberries.ru/profile/w7TDssOkw7PCu8KzwrbCssK0wrXCsMK1wrY=</v>
      </c>
      <c r="L3269" t="s">
        <v>121</v>
      </c>
      <c r="N3269" t="s">
        <v>534</v>
      </c>
      <c r="O3269" t="s">
        <v>3391</v>
      </c>
      <c r="P3269" t="str">
        <f>HYPERLINK("https://www.wildberries.ru/catalog/10526045/detail.aspx")</f>
        <v>https://www.wildberries.ru/catalog/10526045/detail.aspx</v>
      </c>
      <c r="R3269" t="s">
        <v>184</v>
      </c>
      <c r="S3269" t="s">
        <v>125</v>
      </c>
      <c r="W3269">
        <v>0</v>
      </c>
      <c r="X3269">
        <v>0</v>
      </c>
      <c r="AH3269">
        <v>5</v>
      </c>
      <c r="AM3269" t="s">
        <v>129</v>
      </c>
      <c r="AN3269" t="s">
        <v>130</v>
      </c>
      <c r="AP3269" t="s">
        <v>41</v>
      </c>
      <c r="AZ3269" t="s">
        <v>51</v>
      </c>
      <c r="BA3269" t="s">
        <v>52</v>
      </c>
      <c r="BK3269" t="s">
        <v>62</v>
      </c>
    </row>
    <row r="3270" spans="1:77" x14ac:dyDescent="0.2">
      <c r="A3270" t="s">
        <v>11060</v>
      </c>
      <c r="B3270" t="s">
        <v>858</v>
      </c>
      <c r="C3270" t="s">
        <v>11135</v>
      </c>
      <c r="D3270" t="s">
        <v>204</v>
      </c>
      <c r="E3270" t="s">
        <v>11136</v>
      </c>
      <c r="F3270" t="s">
        <v>180</v>
      </c>
      <c r="G3270" t="str">
        <f>HYPERLINK("https://play.google.com/store/apps/details?id=ru.iflex.android.a3colortv&amp;reviewId=gp:AOqpTOHN0nM_uFryA0eYdJ72hqujZvlSdJFx_XnMaEyOkFYJ0dCeQYN1IM9P3T57W0hKq1D5-WmlVctycqE9wg")</f>
        <v>https://play.google.com/store/apps/details?id=ru.iflex.android.a3colortv&amp;reviewId=gp:AOqpTOHN0nM_uFryA0eYdJ72hqujZvlSdJFx_XnMaEyOkFYJ0dCeQYN1IM9P3T57W0hKq1D5-WmlVctycqE9wg</v>
      </c>
      <c r="H3270" t="s">
        <v>181</v>
      </c>
      <c r="I3270" t="s">
        <v>11137</v>
      </c>
      <c r="J3270" t="str">
        <f>HYPERLINK("https://plus.google.com/106835516088724905117")</f>
        <v>https://plus.google.com/106835516088724905117</v>
      </c>
      <c r="L3270" t="s">
        <v>151</v>
      </c>
      <c r="N3270" t="s">
        <v>207</v>
      </c>
      <c r="O3270" t="s">
        <v>204</v>
      </c>
      <c r="P3270" t="str">
        <f>HYPERLINK("https://play.google.com/store/apps/details?id=ru.iflex.android.a3colortv&amp;hl=ru")</f>
        <v>https://play.google.com/store/apps/details?id=ru.iflex.android.a3colortv&amp;hl=ru</v>
      </c>
      <c r="R3270" t="s">
        <v>184</v>
      </c>
      <c r="S3270" t="s">
        <v>125</v>
      </c>
      <c r="W3270">
        <v>0</v>
      </c>
      <c r="X3270">
        <v>0</v>
      </c>
      <c r="AH3270">
        <v>5</v>
      </c>
      <c r="AM3270" t="s">
        <v>129</v>
      </c>
      <c r="AN3270" t="s">
        <v>130</v>
      </c>
      <c r="AP3270" t="s">
        <v>41</v>
      </c>
      <c r="AW3270" t="s">
        <v>48</v>
      </c>
      <c r="AZ3270" t="s">
        <v>51</v>
      </c>
      <c r="BA3270" t="s">
        <v>52</v>
      </c>
      <c r="BQ3270" t="s">
        <v>68</v>
      </c>
    </row>
    <row r="3271" spans="1:77" x14ac:dyDescent="0.2">
      <c r="A3271" t="s">
        <v>11060</v>
      </c>
      <c r="B3271" t="s">
        <v>3693</v>
      </c>
      <c r="C3271" t="s">
        <v>11138</v>
      </c>
      <c r="D3271" t="s">
        <v>175</v>
      </c>
      <c r="E3271" t="s">
        <v>11139</v>
      </c>
      <c r="F3271" t="s">
        <v>180</v>
      </c>
      <c r="G3271" t="str">
        <f>HYPERLINK("https://yandex.ru/maps/org/39099293706#rXRBeRbIsYuPD9DQ7jvVowO8iXH2ZMyp")</f>
        <v>https://yandex.ru/maps/org/39099293706#rXRBeRbIsYuPD9DQ7jvVowO8iXH2ZMyp</v>
      </c>
      <c r="H3271" t="s">
        <v>181</v>
      </c>
      <c r="I3271" t="s">
        <v>11140</v>
      </c>
      <c r="J3271" t="str">
        <f>HYPERLINK("https://yandex.ru/user/jp146de8k93rypw9nr6fv8rpd4")</f>
        <v>https://yandex.ru/user/jp146de8k93rypw9nr6fv8rpd4</v>
      </c>
      <c r="L3271" t="s">
        <v>121</v>
      </c>
      <c r="N3271" t="s">
        <v>236</v>
      </c>
      <c r="O3271" t="s">
        <v>175</v>
      </c>
      <c r="P3271" t="str">
        <f>HYPERLINK("https://yandex.ru/maps/org/39099293706")</f>
        <v>https://yandex.ru/maps/org/39099293706</v>
      </c>
      <c r="R3271" t="s">
        <v>184</v>
      </c>
      <c r="S3271" t="s">
        <v>125</v>
      </c>
      <c r="T3271" t="s">
        <v>494</v>
      </c>
      <c r="U3271" t="s">
        <v>11141</v>
      </c>
      <c r="W3271">
        <v>0</v>
      </c>
      <c r="X3271">
        <v>0</v>
      </c>
      <c r="AH3271">
        <v>5</v>
      </c>
      <c r="AM3271" t="s">
        <v>129</v>
      </c>
      <c r="AN3271" t="s">
        <v>130</v>
      </c>
      <c r="AP3271" t="s">
        <v>41</v>
      </c>
      <c r="AX3271" t="s">
        <v>49</v>
      </c>
      <c r="AZ3271" t="s">
        <v>51</v>
      </c>
      <c r="BD3271" t="s">
        <v>55</v>
      </c>
    </row>
    <row r="3272" spans="1:77" x14ac:dyDescent="0.2">
      <c r="A3272" t="s">
        <v>11060</v>
      </c>
      <c r="B3272" t="s">
        <v>8453</v>
      </c>
      <c r="C3272" t="s">
        <v>11142</v>
      </c>
      <c r="D3272" t="s">
        <v>129</v>
      </c>
      <c r="E3272" t="s">
        <v>11143</v>
      </c>
      <c r="F3272" t="s">
        <v>180</v>
      </c>
      <c r="G3272" t="str">
        <f>HYPERLINK("https://vk.com/wall228468354_17247")</f>
        <v>https://vk.com/wall228468354_17247</v>
      </c>
      <c r="H3272" t="s">
        <v>119</v>
      </c>
      <c r="I3272" t="s">
        <v>4875</v>
      </c>
      <c r="J3272" t="str">
        <f>HYPERLINK("http://vk.com/id228468354")</f>
        <v>http://vk.com/id228468354</v>
      </c>
      <c r="K3272">
        <v>1346</v>
      </c>
      <c r="L3272" t="s">
        <v>121</v>
      </c>
      <c r="M3272">
        <v>31</v>
      </c>
      <c r="N3272" t="s">
        <v>122</v>
      </c>
      <c r="O3272" t="s">
        <v>4875</v>
      </c>
      <c r="P3272" t="str">
        <f>HYPERLINK("http://vk.com/id228468354")</f>
        <v>http://vk.com/id228468354</v>
      </c>
      <c r="Q3272">
        <v>1346</v>
      </c>
      <c r="R3272" t="s">
        <v>124</v>
      </c>
      <c r="S3272" t="s">
        <v>125</v>
      </c>
      <c r="T3272" t="s">
        <v>1275</v>
      </c>
      <c r="U3272" t="s">
        <v>4877</v>
      </c>
      <c r="W3272">
        <v>0</v>
      </c>
      <c r="X3272">
        <v>0</v>
      </c>
      <c r="AE3272">
        <v>0</v>
      </c>
      <c r="AF3272">
        <v>0</v>
      </c>
      <c r="AG3272">
        <v>82</v>
      </c>
      <c r="AM3272" t="s">
        <v>129</v>
      </c>
      <c r="AN3272" t="s">
        <v>130</v>
      </c>
      <c r="AP3272" t="s">
        <v>41</v>
      </c>
      <c r="AY3272" t="s">
        <v>50</v>
      </c>
      <c r="AZ3272" t="s">
        <v>51</v>
      </c>
      <c r="BA3272" t="s">
        <v>52</v>
      </c>
    </row>
    <row r="3273" spans="1:77" x14ac:dyDescent="0.2">
      <c r="A3273" t="s">
        <v>11060</v>
      </c>
      <c r="B3273" t="s">
        <v>883</v>
      </c>
      <c r="C3273" t="s">
        <v>11144</v>
      </c>
      <c r="D3273" t="s">
        <v>11145</v>
      </c>
      <c r="E3273" t="s">
        <v>11146</v>
      </c>
      <c r="F3273" t="s">
        <v>118</v>
      </c>
      <c r="G3273" t="str">
        <f>HYPERLINK("https://vk.com/wall-22935147_368091?reply=368146&amp;thread=368109")</f>
        <v>https://vk.com/wall-22935147_368091?reply=368146&amp;thread=368109</v>
      </c>
      <c r="H3273" t="s">
        <v>119</v>
      </c>
      <c r="I3273" t="s">
        <v>359</v>
      </c>
      <c r="J3273" t="str">
        <f>HYPERLINK("http://vk.com/club204351896")</f>
        <v>http://vk.com/club204351896</v>
      </c>
      <c r="K3273">
        <v>272</v>
      </c>
      <c r="L3273" t="s">
        <v>340</v>
      </c>
      <c r="N3273" t="s">
        <v>122</v>
      </c>
      <c r="O3273" t="s">
        <v>1093</v>
      </c>
      <c r="P3273" t="str">
        <f>HYPERLINK("http://vk.com/club22935147")</f>
        <v>http://vk.com/club22935147</v>
      </c>
      <c r="Q3273">
        <v>8943</v>
      </c>
      <c r="R3273" t="s">
        <v>124</v>
      </c>
      <c r="S3273" t="s">
        <v>125</v>
      </c>
      <c r="AM3273" t="s">
        <v>129</v>
      </c>
      <c r="AN3273" t="s">
        <v>130</v>
      </c>
      <c r="AP3273" t="s">
        <v>41</v>
      </c>
      <c r="AZ3273" t="s">
        <v>51</v>
      </c>
      <c r="BB3273" t="s">
        <v>53</v>
      </c>
      <c r="BY3273" t="s">
        <v>76</v>
      </c>
    </row>
    <row r="3274" spans="1:77" x14ac:dyDescent="0.2">
      <c r="A3274" t="s">
        <v>11060</v>
      </c>
      <c r="B3274" t="s">
        <v>296</v>
      </c>
      <c r="C3274" t="s">
        <v>11147</v>
      </c>
      <c r="D3274" t="s">
        <v>11148</v>
      </c>
      <c r="E3274" t="s">
        <v>11149</v>
      </c>
      <c r="F3274" t="s">
        <v>118</v>
      </c>
      <c r="G3274" t="str">
        <f>HYPERLINK("https://vk.com/wall-61751856_1407200?reply=1407550")</f>
        <v>https://vk.com/wall-61751856_1407200?reply=1407550</v>
      </c>
      <c r="H3274" t="s">
        <v>119</v>
      </c>
      <c r="I3274" t="s">
        <v>11150</v>
      </c>
      <c r="J3274" t="str">
        <f>HYPERLINK("http://vk.com/id345499514")</f>
        <v>http://vk.com/id345499514</v>
      </c>
      <c r="K3274">
        <v>147</v>
      </c>
      <c r="L3274" t="s">
        <v>121</v>
      </c>
      <c r="N3274" t="s">
        <v>122</v>
      </c>
      <c r="O3274" t="s">
        <v>11151</v>
      </c>
      <c r="P3274" t="str">
        <f>HYPERLINK("http://vk.com/club61751856")</f>
        <v>http://vk.com/club61751856</v>
      </c>
      <c r="Q3274">
        <v>57075</v>
      </c>
      <c r="R3274" t="s">
        <v>124</v>
      </c>
      <c r="S3274" t="s">
        <v>125</v>
      </c>
      <c r="T3274" t="s">
        <v>169</v>
      </c>
      <c r="U3274" t="s">
        <v>169</v>
      </c>
      <c r="AM3274" t="s">
        <v>129</v>
      </c>
      <c r="AN3274" t="s">
        <v>130</v>
      </c>
      <c r="AP3274" t="s">
        <v>41</v>
      </c>
      <c r="AW3274" t="s">
        <v>48</v>
      </c>
      <c r="AZ3274" t="s">
        <v>51</v>
      </c>
      <c r="BA3274" t="s">
        <v>52</v>
      </c>
    </row>
    <row r="3275" spans="1:77" x14ac:dyDescent="0.2">
      <c r="A3275" t="s">
        <v>11060</v>
      </c>
      <c r="B3275" t="s">
        <v>296</v>
      </c>
      <c r="C3275" t="s">
        <v>11152</v>
      </c>
      <c r="D3275" t="s">
        <v>11148</v>
      </c>
      <c r="E3275" t="s">
        <v>11149</v>
      </c>
      <c r="F3275" t="s">
        <v>118</v>
      </c>
      <c r="G3275" t="str">
        <f>HYPERLINK("https://vk.com/wall-61751856_1407200?reply=1407549")</f>
        <v>https://vk.com/wall-61751856_1407200?reply=1407549</v>
      </c>
      <c r="H3275" t="s">
        <v>119</v>
      </c>
      <c r="I3275" t="s">
        <v>11150</v>
      </c>
      <c r="J3275" t="str">
        <f>HYPERLINK("http://vk.com/id345499514")</f>
        <v>http://vk.com/id345499514</v>
      </c>
      <c r="K3275">
        <v>147</v>
      </c>
      <c r="L3275" t="s">
        <v>121</v>
      </c>
      <c r="N3275" t="s">
        <v>122</v>
      </c>
      <c r="O3275" t="s">
        <v>11151</v>
      </c>
      <c r="P3275" t="str">
        <f>HYPERLINK("http://vk.com/club61751856")</f>
        <v>http://vk.com/club61751856</v>
      </c>
      <c r="Q3275">
        <v>57075</v>
      </c>
      <c r="R3275" t="s">
        <v>124</v>
      </c>
      <c r="S3275" t="s">
        <v>125</v>
      </c>
      <c r="T3275" t="s">
        <v>169</v>
      </c>
      <c r="U3275" t="s">
        <v>169</v>
      </c>
      <c r="AM3275" t="s">
        <v>129</v>
      </c>
      <c r="AN3275" t="s">
        <v>130</v>
      </c>
      <c r="AP3275" t="s">
        <v>41</v>
      </c>
      <c r="AW3275" t="s">
        <v>48</v>
      </c>
      <c r="AZ3275" t="s">
        <v>51</v>
      </c>
      <c r="BA3275" t="s">
        <v>52</v>
      </c>
    </row>
    <row r="3276" spans="1:77" x14ac:dyDescent="0.2">
      <c r="A3276" t="s">
        <v>11060</v>
      </c>
      <c r="B3276" t="s">
        <v>2977</v>
      </c>
      <c r="C3276" t="s">
        <v>11153</v>
      </c>
      <c r="D3276" t="s">
        <v>11154</v>
      </c>
      <c r="E3276" t="s">
        <v>11155</v>
      </c>
      <c r="F3276" t="s">
        <v>180</v>
      </c>
      <c r="G3276" t="str">
        <f>HYPERLINK("https://market.yandex.ru/product/422228820/reviews?id=133979348")</f>
        <v>https://market.yandex.ru/product/422228820/reviews?id=133979348</v>
      </c>
      <c r="H3276" t="s">
        <v>181</v>
      </c>
      <c r="I3276" t="s">
        <v>11156</v>
      </c>
      <c r="J3276" t="str">
        <f>HYPERLINK("https://market.yandex.ru/user/dbp26pqcaygh2d45d0xq46a5x4/reviews")</f>
        <v>https://market.yandex.ru/user/dbp26pqcaygh2d45d0xq46a5x4/reviews</v>
      </c>
      <c r="L3276" t="s">
        <v>121</v>
      </c>
      <c r="N3276" t="s">
        <v>611</v>
      </c>
      <c r="O3276" t="s">
        <v>11154</v>
      </c>
      <c r="P3276" t="str">
        <f>HYPERLINK("https://market.yandex.ru/product/422228820")</f>
        <v>https://market.yandex.ru/product/422228820</v>
      </c>
      <c r="R3276" t="s">
        <v>184</v>
      </c>
      <c r="S3276" t="s">
        <v>125</v>
      </c>
      <c r="T3276" t="s">
        <v>230</v>
      </c>
      <c r="U3276" t="s">
        <v>231</v>
      </c>
      <c r="W3276">
        <v>0</v>
      </c>
      <c r="X3276">
        <v>0</v>
      </c>
      <c r="AH3276">
        <v>5</v>
      </c>
      <c r="AM3276" t="s">
        <v>129</v>
      </c>
      <c r="AN3276" t="s">
        <v>130</v>
      </c>
      <c r="AP3276" t="s">
        <v>41</v>
      </c>
      <c r="AZ3276" t="s">
        <v>51</v>
      </c>
      <c r="BA3276" t="s">
        <v>52</v>
      </c>
      <c r="BK3276" t="s">
        <v>62</v>
      </c>
      <c r="BL3276" t="s">
        <v>63</v>
      </c>
    </row>
    <row r="3277" spans="1:77" x14ac:dyDescent="0.2">
      <c r="A3277" t="s">
        <v>11060</v>
      </c>
      <c r="B3277" t="s">
        <v>4251</v>
      </c>
      <c r="C3277" t="s">
        <v>11157</v>
      </c>
      <c r="D3277" t="s">
        <v>129</v>
      </c>
      <c r="E3277" t="s">
        <v>10949</v>
      </c>
      <c r="F3277" t="s">
        <v>180</v>
      </c>
      <c r="G3277" t="str">
        <f>HYPERLINK("https://vk.com/wall-67332874_657273")</f>
        <v>https://vk.com/wall-67332874_657273</v>
      </c>
      <c r="H3277" t="s">
        <v>119</v>
      </c>
      <c r="I3277" t="s">
        <v>9468</v>
      </c>
      <c r="J3277" t="str">
        <f>HYPERLINK("http://vk.com/id134558601")</f>
        <v>http://vk.com/id134558601</v>
      </c>
      <c r="K3277">
        <v>160</v>
      </c>
      <c r="L3277" t="s">
        <v>151</v>
      </c>
      <c r="M3277">
        <v>39</v>
      </c>
      <c r="N3277" t="s">
        <v>122</v>
      </c>
      <c r="O3277" t="s">
        <v>10951</v>
      </c>
      <c r="P3277" t="str">
        <f>HYPERLINK("http://vk.com/club67332874")</f>
        <v>http://vk.com/club67332874</v>
      </c>
      <c r="Q3277">
        <v>25133</v>
      </c>
      <c r="R3277" t="s">
        <v>124</v>
      </c>
      <c r="S3277" t="s">
        <v>125</v>
      </c>
      <c r="T3277" t="s">
        <v>2521</v>
      </c>
      <c r="U3277" t="s">
        <v>9469</v>
      </c>
      <c r="W3277">
        <v>4</v>
      </c>
      <c r="X3277">
        <v>4</v>
      </c>
      <c r="AE3277">
        <v>11</v>
      </c>
      <c r="AF3277">
        <v>0</v>
      </c>
      <c r="AG3277">
        <v>3170</v>
      </c>
      <c r="AM3277" t="s">
        <v>129</v>
      </c>
      <c r="AN3277" t="s">
        <v>130</v>
      </c>
      <c r="AP3277" t="s">
        <v>41</v>
      </c>
      <c r="AW3277" t="s">
        <v>48</v>
      </c>
      <c r="AZ3277" t="s">
        <v>51</v>
      </c>
      <c r="BA3277" t="s">
        <v>52</v>
      </c>
    </row>
    <row r="3278" spans="1:77" x14ac:dyDescent="0.2">
      <c r="A3278" t="s">
        <v>11060</v>
      </c>
      <c r="B3278" t="s">
        <v>4251</v>
      </c>
      <c r="C3278" t="s">
        <v>11157</v>
      </c>
      <c r="D3278" t="s">
        <v>11158</v>
      </c>
      <c r="E3278" t="s">
        <v>11159</v>
      </c>
      <c r="F3278" t="s">
        <v>118</v>
      </c>
      <c r="G3278" t="str">
        <f>HYPERLINK("https://vk.com/wall-55254633_173026?reply=173062&amp;thread=173037")</f>
        <v>https://vk.com/wall-55254633_173026?reply=173062&amp;thread=173037</v>
      </c>
      <c r="H3278" t="s">
        <v>119</v>
      </c>
      <c r="I3278" t="s">
        <v>11160</v>
      </c>
      <c r="J3278" t="str">
        <f>HYPERLINK("http://vk.com/id41596353")</f>
        <v>http://vk.com/id41596353</v>
      </c>
      <c r="K3278">
        <v>44</v>
      </c>
      <c r="L3278" t="s">
        <v>121</v>
      </c>
      <c r="M3278">
        <v>66</v>
      </c>
      <c r="N3278" t="s">
        <v>122</v>
      </c>
      <c r="O3278" t="s">
        <v>11161</v>
      </c>
      <c r="P3278" t="str">
        <f>HYPERLINK("http://vk.com/club55254633")</f>
        <v>http://vk.com/club55254633</v>
      </c>
      <c r="Q3278">
        <v>12910</v>
      </c>
      <c r="R3278" t="s">
        <v>124</v>
      </c>
      <c r="S3278" t="s">
        <v>125</v>
      </c>
      <c r="T3278" t="s">
        <v>218</v>
      </c>
      <c r="U3278" t="s">
        <v>11162</v>
      </c>
      <c r="AM3278" t="s">
        <v>129</v>
      </c>
      <c r="AN3278" t="s">
        <v>130</v>
      </c>
      <c r="AP3278" t="s">
        <v>41</v>
      </c>
      <c r="AZ3278" t="s">
        <v>51</v>
      </c>
      <c r="BA3278" t="s">
        <v>52</v>
      </c>
      <c r="BL3278" t="s">
        <v>63</v>
      </c>
    </row>
    <row r="3279" spans="1:77" x14ac:dyDescent="0.2">
      <c r="A3279" t="s">
        <v>11060</v>
      </c>
      <c r="B3279" t="s">
        <v>337</v>
      </c>
      <c r="C3279" t="s">
        <v>11163</v>
      </c>
      <c r="D3279" t="s">
        <v>129</v>
      </c>
      <c r="E3279" t="s">
        <v>11164</v>
      </c>
      <c r="F3279" t="s">
        <v>118</v>
      </c>
      <c r="G3279" t="str">
        <f>HYPERLINK("https://ok.ru/group/51742730027217/topic/153642943149521#MTYyNTQxMDg1Mjc3MDotNzg1OjE2MjU0MTA4NTI3NzA6MTUzNjQyOTQzMTQ5NTIxOjE=")</f>
        <v>https://ok.ru/group/51742730027217/topic/153642943149521#MTYyNTQxMDg1Mjc3MDotNzg1OjE2MjU0MTA4NTI3NzA6MTUzNjQyOTQzMTQ5NTIxOjE=</v>
      </c>
      <c r="H3279" t="s">
        <v>119</v>
      </c>
      <c r="I3279" t="s">
        <v>11165</v>
      </c>
      <c r="J3279" t="str">
        <f>HYPERLINK("https://ok.ru/profile/503451832683")</f>
        <v>https://ok.ru/profile/503451832683</v>
      </c>
      <c r="K3279">
        <v>64</v>
      </c>
      <c r="L3279" t="s">
        <v>151</v>
      </c>
      <c r="M3279">
        <v>28</v>
      </c>
      <c r="N3279" t="s">
        <v>347</v>
      </c>
      <c r="O3279" t="s">
        <v>11166</v>
      </c>
      <c r="P3279" t="str">
        <f>HYPERLINK("https://ok.ru/group/51742730027217")</f>
        <v>https://ok.ru/group/51742730027217</v>
      </c>
      <c r="Q3279">
        <v>701375</v>
      </c>
      <c r="R3279" t="s">
        <v>124</v>
      </c>
      <c r="S3279" t="s">
        <v>125</v>
      </c>
      <c r="T3279" t="s">
        <v>2455</v>
      </c>
      <c r="U3279" t="s">
        <v>11167</v>
      </c>
      <c r="W3279">
        <v>0</v>
      </c>
      <c r="X3279">
        <v>0</v>
      </c>
      <c r="AM3279" t="s">
        <v>129</v>
      </c>
      <c r="AN3279" t="s">
        <v>130</v>
      </c>
      <c r="AP3279" t="s">
        <v>41</v>
      </c>
      <c r="AU3279" t="s">
        <v>46</v>
      </c>
      <c r="AZ3279" t="s">
        <v>51</v>
      </c>
      <c r="BA3279" t="s">
        <v>52</v>
      </c>
    </row>
    <row r="3280" spans="1:77" x14ac:dyDescent="0.2">
      <c r="A3280" t="s">
        <v>11060</v>
      </c>
      <c r="B3280" t="s">
        <v>920</v>
      </c>
      <c r="C3280" t="s">
        <v>11168</v>
      </c>
      <c r="D3280" t="s">
        <v>10984</v>
      </c>
      <c r="E3280" t="s">
        <v>11169</v>
      </c>
      <c r="F3280" t="s">
        <v>118</v>
      </c>
      <c r="G3280" t="str">
        <f>HYPERLINK("https://vk.com/wall-61395243_468026?reply=468040")</f>
        <v>https://vk.com/wall-61395243_468026?reply=468040</v>
      </c>
      <c r="H3280" t="s">
        <v>119</v>
      </c>
      <c r="I3280" t="s">
        <v>11170</v>
      </c>
      <c r="J3280" t="str">
        <f>HYPERLINK("http://vk.com/id118921032")</f>
        <v>http://vk.com/id118921032</v>
      </c>
      <c r="K3280">
        <v>1291</v>
      </c>
      <c r="L3280" t="s">
        <v>151</v>
      </c>
      <c r="M3280">
        <v>34</v>
      </c>
      <c r="N3280" t="s">
        <v>122</v>
      </c>
      <c r="O3280" t="s">
        <v>10987</v>
      </c>
      <c r="P3280" t="str">
        <f>HYPERLINK("http://vk.com/club61395243")</f>
        <v>http://vk.com/club61395243</v>
      </c>
      <c r="Q3280">
        <v>26990</v>
      </c>
      <c r="R3280" t="s">
        <v>124</v>
      </c>
      <c r="S3280" t="s">
        <v>125</v>
      </c>
      <c r="T3280" t="s">
        <v>1819</v>
      </c>
      <c r="U3280" t="s">
        <v>2175</v>
      </c>
      <c r="AM3280" t="s">
        <v>129</v>
      </c>
      <c r="AN3280" t="s">
        <v>130</v>
      </c>
      <c r="AP3280" t="s">
        <v>41</v>
      </c>
      <c r="AY3280" t="s">
        <v>50</v>
      </c>
      <c r="AZ3280" t="s">
        <v>51</v>
      </c>
      <c r="BA3280" t="s">
        <v>52</v>
      </c>
      <c r="BL3280" t="s">
        <v>63</v>
      </c>
    </row>
    <row r="3281" spans="1:69" x14ac:dyDescent="0.2">
      <c r="A3281" t="s">
        <v>11060</v>
      </c>
      <c r="B3281" t="s">
        <v>7730</v>
      </c>
      <c r="C3281" t="s">
        <v>11171</v>
      </c>
      <c r="D3281" t="s">
        <v>11172</v>
      </c>
      <c r="E3281" t="s">
        <v>11173</v>
      </c>
      <c r="F3281" t="s">
        <v>118</v>
      </c>
      <c r="G3281" t="str">
        <f>HYPERLINK("https://vk.com/wall-140348781_563200?reply=563281&amp;thread=563203")</f>
        <v>https://vk.com/wall-140348781_563200?reply=563281&amp;thread=563203</v>
      </c>
      <c r="H3281" t="s">
        <v>119</v>
      </c>
      <c r="I3281" t="s">
        <v>11174</v>
      </c>
      <c r="J3281" t="str">
        <f>HYPERLINK("http://vk.com/id64615943")</f>
        <v>http://vk.com/id64615943</v>
      </c>
      <c r="K3281">
        <v>2655</v>
      </c>
      <c r="L3281" t="s">
        <v>151</v>
      </c>
      <c r="N3281" t="s">
        <v>122</v>
      </c>
      <c r="O3281" t="s">
        <v>11175</v>
      </c>
      <c r="P3281" t="str">
        <f>HYPERLINK("http://vk.com/club140348781")</f>
        <v>http://vk.com/club140348781</v>
      </c>
      <c r="Q3281">
        <v>14279</v>
      </c>
      <c r="R3281" t="s">
        <v>124</v>
      </c>
      <c r="S3281" t="s">
        <v>125</v>
      </c>
      <c r="T3281" t="s">
        <v>364</v>
      </c>
      <c r="U3281" t="s">
        <v>365</v>
      </c>
      <c r="AM3281" t="s">
        <v>129</v>
      </c>
      <c r="AN3281" t="s">
        <v>130</v>
      </c>
      <c r="AP3281" t="s">
        <v>41</v>
      </c>
      <c r="AZ3281" t="s">
        <v>51</v>
      </c>
      <c r="BA3281" t="s">
        <v>52</v>
      </c>
    </row>
    <row r="3282" spans="1:69" x14ac:dyDescent="0.2">
      <c r="A3282" t="s">
        <v>11060</v>
      </c>
      <c r="B3282" t="s">
        <v>379</v>
      </c>
      <c r="C3282" t="s">
        <v>11176</v>
      </c>
      <c r="D3282" t="s">
        <v>10984</v>
      </c>
      <c r="E3282" t="s">
        <v>11177</v>
      </c>
      <c r="F3282" t="s">
        <v>118</v>
      </c>
      <c r="G3282" t="str">
        <f>HYPERLINK("https://vk.com/wall-61395243_468026?reply=468034")</f>
        <v>https://vk.com/wall-61395243_468026?reply=468034</v>
      </c>
      <c r="H3282" t="s">
        <v>119</v>
      </c>
      <c r="I3282" t="s">
        <v>11178</v>
      </c>
      <c r="J3282" t="str">
        <f>HYPERLINK("http://vk.com/id429777957")</f>
        <v>http://vk.com/id429777957</v>
      </c>
      <c r="K3282">
        <v>189</v>
      </c>
      <c r="L3282" t="s">
        <v>151</v>
      </c>
      <c r="N3282" t="s">
        <v>122</v>
      </c>
      <c r="O3282" t="s">
        <v>10987</v>
      </c>
      <c r="P3282" t="str">
        <f>HYPERLINK("http://vk.com/club61395243")</f>
        <v>http://vk.com/club61395243</v>
      </c>
      <c r="Q3282">
        <v>26990</v>
      </c>
      <c r="R3282" t="s">
        <v>124</v>
      </c>
      <c r="S3282" t="s">
        <v>125</v>
      </c>
      <c r="T3282" t="s">
        <v>1819</v>
      </c>
      <c r="U3282" t="s">
        <v>11179</v>
      </c>
      <c r="AM3282" t="s">
        <v>129</v>
      </c>
      <c r="AN3282" t="s">
        <v>130</v>
      </c>
      <c r="AP3282" t="s">
        <v>41</v>
      </c>
      <c r="AY3282" t="s">
        <v>50</v>
      </c>
      <c r="AZ3282" t="s">
        <v>51</v>
      </c>
      <c r="BA3282" t="s">
        <v>52</v>
      </c>
      <c r="BL3282" t="s">
        <v>63</v>
      </c>
    </row>
    <row r="3283" spans="1:69" x14ac:dyDescent="0.2">
      <c r="A3283" t="s">
        <v>11060</v>
      </c>
      <c r="B3283" t="s">
        <v>3778</v>
      </c>
      <c r="C3283" t="s">
        <v>11180</v>
      </c>
      <c r="D3283" t="s">
        <v>10984</v>
      </c>
      <c r="E3283" t="s">
        <v>11181</v>
      </c>
      <c r="F3283" t="s">
        <v>118</v>
      </c>
      <c r="G3283" t="str">
        <f>HYPERLINK("https://vk.com/wall-61395243_468026?reply=468030")</f>
        <v>https://vk.com/wall-61395243_468026?reply=468030</v>
      </c>
      <c r="H3283" t="s">
        <v>119</v>
      </c>
      <c r="I3283" t="s">
        <v>11182</v>
      </c>
      <c r="J3283" t="str">
        <f>HYPERLINK("http://vk.com/id165992996")</f>
        <v>http://vk.com/id165992996</v>
      </c>
      <c r="K3283">
        <v>374</v>
      </c>
      <c r="L3283" t="s">
        <v>151</v>
      </c>
      <c r="N3283" t="s">
        <v>122</v>
      </c>
      <c r="O3283" t="s">
        <v>10987</v>
      </c>
      <c r="P3283" t="str">
        <f>HYPERLINK("http://vk.com/club61395243")</f>
        <v>http://vk.com/club61395243</v>
      </c>
      <c r="Q3283">
        <v>26990</v>
      </c>
      <c r="R3283" t="s">
        <v>124</v>
      </c>
      <c r="S3283" t="s">
        <v>125</v>
      </c>
      <c r="AM3283" t="s">
        <v>129</v>
      </c>
      <c r="AN3283" t="s">
        <v>130</v>
      </c>
      <c r="AP3283" t="s">
        <v>41</v>
      </c>
      <c r="AY3283" t="s">
        <v>50</v>
      </c>
      <c r="AZ3283" t="s">
        <v>51</v>
      </c>
      <c r="BA3283" t="s">
        <v>52</v>
      </c>
    </row>
    <row r="3284" spans="1:69" x14ac:dyDescent="0.2">
      <c r="A3284" t="s">
        <v>11060</v>
      </c>
      <c r="B3284" t="s">
        <v>3035</v>
      </c>
      <c r="C3284" t="s">
        <v>11183</v>
      </c>
      <c r="D3284" t="s">
        <v>129</v>
      </c>
      <c r="E3284" t="s">
        <v>11184</v>
      </c>
      <c r="F3284" t="s">
        <v>180</v>
      </c>
      <c r="G3284" t="str">
        <f>HYPERLINK("https://vk.com/wall-61395243_468026")</f>
        <v>https://vk.com/wall-61395243_468026</v>
      </c>
      <c r="H3284" t="s">
        <v>119</v>
      </c>
      <c r="I3284" t="s">
        <v>11185</v>
      </c>
      <c r="J3284" t="str">
        <f>HYPERLINK("http://vk.com/id586328219")</f>
        <v>http://vk.com/id586328219</v>
      </c>
      <c r="K3284">
        <v>82</v>
      </c>
      <c r="L3284" t="s">
        <v>151</v>
      </c>
      <c r="M3284">
        <v>43</v>
      </c>
      <c r="N3284" t="s">
        <v>122</v>
      </c>
      <c r="O3284" t="s">
        <v>10987</v>
      </c>
      <c r="P3284" t="str">
        <f>HYPERLINK("http://vk.com/club61395243")</f>
        <v>http://vk.com/club61395243</v>
      </c>
      <c r="Q3284">
        <v>26990</v>
      </c>
      <c r="R3284" t="s">
        <v>124</v>
      </c>
      <c r="W3284">
        <v>5</v>
      </c>
      <c r="X3284">
        <v>5</v>
      </c>
      <c r="AE3284">
        <v>11</v>
      </c>
      <c r="AF3284">
        <v>0</v>
      </c>
      <c r="AG3284">
        <v>5749</v>
      </c>
      <c r="AJ3284" t="s">
        <v>875</v>
      </c>
      <c r="AK3284" t="s">
        <v>876</v>
      </c>
      <c r="AL3284" t="str">
        <f>HYPERLINK("https://sun9-11.userapi.com/impg/BEHsUhez7r7nKJV3jIHArgCzKh5FNRPlc2uWrg/2TvLLkXtqUc.jpg?size=1000x75&amp;quality=96&amp;sign=05f23501f16a20c2207ff8cdee78c111&amp;c_uniq_tag=CVYptFbm1KtCuSmOqPNSCL5j_m0ZfYKGyAWvg3_m9Ik&amp;type=album")</f>
        <v>https://sun9-11.userapi.com/impg/BEHsUhez7r7nKJV3jIHArgCzKh5FNRPlc2uWrg/2TvLLkXtqUc.jpg?size=1000x75&amp;quality=96&amp;sign=05f23501f16a20c2207ff8cdee78c111&amp;c_uniq_tag=CVYptFbm1KtCuSmOqPNSCL5j_m0ZfYKGyAWvg3_m9Ik&amp;type=album</v>
      </c>
      <c r="AM3284" t="s">
        <v>129</v>
      </c>
      <c r="AN3284" t="s">
        <v>130</v>
      </c>
      <c r="AP3284" t="s">
        <v>41</v>
      </c>
      <c r="AU3284" t="s">
        <v>46</v>
      </c>
      <c r="AY3284" t="s">
        <v>50</v>
      </c>
      <c r="AZ3284" t="s">
        <v>51</v>
      </c>
      <c r="BA3284" t="s">
        <v>52</v>
      </c>
    </row>
    <row r="3285" spans="1:69" x14ac:dyDescent="0.2">
      <c r="A3285" t="s">
        <v>11060</v>
      </c>
      <c r="B3285" t="s">
        <v>5652</v>
      </c>
      <c r="C3285" t="s">
        <v>11186</v>
      </c>
      <c r="D3285" t="s">
        <v>1336</v>
      </c>
      <c r="E3285" t="s">
        <v>11187</v>
      </c>
      <c r="F3285" t="s">
        <v>118</v>
      </c>
      <c r="G3285" t="str">
        <f>HYPERLINK("https://www.youtube.com/watch?v=XSvUHFcHCNU&amp;lc=Ugy338SImZ7WAqhbpx14AaABAg.9PMYinNlJSW9PNaq4ORG28")</f>
        <v>https://www.youtube.com/watch?v=XSvUHFcHCNU&amp;lc=Ugy338SImZ7WAqhbpx14AaABAg.9PMYinNlJSW9PNaq4ORG28</v>
      </c>
      <c r="H3285" t="s">
        <v>119</v>
      </c>
      <c r="I3285" t="s">
        <v>1338</v>
      </c>
      <c r="J3285" t="str">
        <f>HYPERLINK("https://www.youtube.com/channel/UCbGvxMcJgZWpeT0ymfG7-RQ")</f>
        <v>https://www.youtube.com/channel/UCbGvxMcJgZWpeT0ymfG7-RQ</v>
      </c>
      <c r="K3285">
        <v>818</v>
      </c>
      <c r="N3285" t="s">
        <v>248</v>
      </c>
      <c r="O3285" t="s">
        <v>1338</v>
      </c>
      <c r="P3285" t="str">
        <f>HYPERLINK("https://www.youtube.com/channel/UCbGvxMcJgZWpeT0ymfG7-RQ")</f>
        <v>https://www.youtube.com/channel/UCbGvxMcJgZWpeT0ymfG7-RQ</v>
      </c>
      <c r="Q3285">
        <v>818</v>
      </c>
      <c r="R3285" t="s">
        <v>124</v>
      </c>
      <c r="W3285">
        <v>0</v>
      </c>
      <c r="X3285">
        <v>0</v>
      </c>
      <c r="AM3285" t="s">
        <v>129</v>
      </c>
      <c r="AN3285" t="s">
        <v>130</v>
      </c>
      <c r="AP3285" t="s">
        <v>41</v>
      </c>
      <c r="AW3285" t="s">
        <v>48</v>
      </c>
      <c r="AZ3285" t="s">
        <v>51</v>
      </c>
      <c r="BA3285" t="s">
        <v>52</v>
      </c>
      <c r="BM3285" t="s">
        <v>64</v>
      </c>
    </row>
    <row r="3286" spans="1:69" x14ac:dyDescent="0.2">
      <c r="A3286" t="s">
        <v>11060</v>
      </c>
      <c r="B3286" t="s">
        <v>2525</v>
      </c>
      <c r="C3286" t="s">
        <v>11188</v>
      </c>
      <c r="D3286" t="s">
        <v>9466</v>
      </c>
      <c r="E3286" t="s">
        <v>11189</v>
      </c>
      <c r="F3286" t="s">
        <v>118</v>
      </c>
      <c r="G3286" t="str">
        <f>HYPERLINK("https://vk.com/wall-27863223_291374?w=wall-27863223_291374_r291413")</f>
        <v>https://vk.com/wall-27863223_291374?w=wall-27863223_291374_r291413</v>
      </c>
      <c r="H3286" t="s">
        <v>119</v>
      </c>
      <c r="I3286" t="s">
        <v>1477</v>
      </c>
      <c r="J3286" t="str">
        <f>HYPERLINK("http://vk.com/id107401546")</f>
        <v>http://vk.com/id107401546</v>
      </c>
      <c r="K3286">
        <v>188</v>
      </c>
      <c r="L3286" t="s">
        <v>121</v>
      </c>
      <c r="M3286">
        <v>25</v>
      </c>
      <c r="N3286" t="s">
        <v>122</v>
      </c>
      <c r="O3286" t="s">
        <v>175</v>
      </c>
      <c r="P3286" t="str">
        <f>HYPERLINK("http://vk.com/club27863223")</f>
        <v>http://vk.com/club27863223</v>
      </c>
      <c r="Q3286">
        <v>134698</v>
      </c>
      <c r="R3286" t="s">
        <v>124</v>
      </c>
      <c r="S3286" t="s">
        <v>125</v>
      </c>
      <c r="T3286" t="s">
        <v>1103</v>
      </c>
      <c r="U3286" t="s">
        <v>1478</v>
      </c>
      <c r="W3286">
        <v>0</v>
      </c>
      <c r="X3286">
        <v>0</v>
      </c>
      <c r="AM3286" t="s">
        <v>129</v>
      </c>
      <c r="AN3286" t="s">
        <v>130</v>
      </c>
      <c r="AP3286" t="s">
        <v>41</v>
      </c>
      <c r="AU3286" t="s">
        <v>46</v>
      </c>
      <c r="AZ3286" t="s">
        <v>51</v>
      </c>
      <c r="BA3286" t="s">
        <v>52</v>
      </c>
    </row>
    <row r="3287" spans="1:69" x14ac:dyDescent="0.2">
      <c r="A3287" t="s">
        <v>11060</v>
      </c>
      <c r="B3287" t="s">
        <v>2544</v>
      </c>
      <c r="C3287" t="s">
        <v>11190</v>
      </c>
      <c r="D3287" t="s">
        <v>11191</v>
      </c>
      <c r="E3287" t="s">
        <v>11192</v>
      </c>
      <c r="F3287" t="s">
        <v>118</v>
      </c>
      <c r="G3287" t="str">
        <f>HYPERLINK("https://vk.com/wall-37782084_741766?reply=741781&amp;thread=741770")</f>
        <v>https://vk.com/wall-37782084_741766?reply=741781&amp;thread=741770</v>
      </c>
      <c r="H3287" t="s">
        <v>119</v>
      </c>
      <c r="I3287" t="s">
        <v>8218</v>
      </c>
      <c r="J3287" t="str">
        <f>HYPERLINK("http://vk.com/id213956966")</f>
        <v>http://vk.com/id213956966</v>
      </c>
      <c r="K3287">
        <v>5229</v>
      </c>
      <c r="L3287" t="s">
        <v>121</v>
      </c>
      <c r="N3287" t="s">
        <v>122</v>
      </c>
      <c r="O3287" t="s">
        <v>11193</v>
      </c>
      <c r="P3287" t="str">
        <f>HYPERLINK("http://vk.com/club37782084")</f>
        <v>http://vk.com/club37782084</v>
      </c>
      <c r="Q3287">
        <v>24862</v>
      </c>
      <c r="R3287" t="s">
        <v>124</v>
      </c>
      <c r="S3287" t="s">
        <v>125</v>
      </c>
      <c r="T3287" t="s">
        <v>5146</v>
      </c>
      <c r="U3287" t="s">
        <v>5726</v>
      </c>
      <c r="AM3287" t="s">
        <v>129</v>
      </c>
      <c r="AN3287" t="s">
        <v>130</v>
      </c>
      <c r="AP3287" t="s">
        <v>41</v>
      </c>
      <c r="AW3287" t="s">
        <v>48</v>
      </c>
      <c r="AZ3287" t="s">
        <v>51</v>
      </c>
      <c r="BA3287" t="s">
        <v>52</v>
      </c>
    </row>
    <row r="3288" spans="1:69" x14ac:dyDescent="0.2">
      <c r="A3288" t="s">
        <v>11060</v>
      </c>
      <c r="B3288" t="s">
        <v>8922</v>
      </c>
      <c r="C3288" t="s">
        <v>11194</v>
      </c>
      <c r="D3288" t="s">
        <v>11195</v>
      </c>
      <c r="E3288" t="s">
        <v>11196</v>
      </c>
      <c r="F3288" t="s">
        <v>118</v>
      </c>
      <c r="G3288" t="str">
        <f>HYPERLINK("https://vk.com/wall-86024718_1817297?reply=1817344")</f>
        <v>https://vk.com/wall-86024718_1817297?reply=1817344</v>
      </c>
      <c r="H3288" t="s">
        <v>119</v>
      </c>
      <c r="I3288" t="s">
        <v>11197</v>
      </c>
      <c r="J3288" t="str">
        <f>HYPERLINK("http://vk.com/id45819444")</f>
        <v>http://vk.com/id45819444</v>
      </c>
      <c r="K3288">
        <v>427</v>
      </c>
      <c r="L3288" t="s">
        <v>151</v>
      </c>
      <c r="N3288" t="s">
        <v>122</v>
      </c>
      <c r="O3288" t="s">
        <v>11198</v>
      </c>
      <c r="P3288" t="str">
        <f>HYPERLINK("http://vk.com/club86024718")</f>
        <v>http://vk.com/club86024718</v>
      </c>
      <c r="Q3288">
        <v>26421</v>
      </c>
      <c r="R3288" t="s">
        <v>124</v>
      </c>
      <c r="S3288" t="s">
        <v>125</v>
      </c>
      <c r="T3288" t="s">
        <v>1819</v>
      </c>
      <c r="U3288" t="s">
        <v>2175</v>
      </c>
      <c r="AM3288" t="s">
        <v>129</v>
      </c>
      <c r="AN3288" t="s">
        <v>130</v>
      </c>
      <c r="AP3288" t="s">
        <v>41</v>
      </c>
      <c r="AZ3288" t="s">
        <v>51</v>
      </c>
      <c r="BA3288" t="s">
        <v>52</v>
      </c>
      <c r="BM3288" t="s">
        <v>64</v>
      </c>
    </row>
    <row r="3289" spans="1:69" x14ac:dyDescent="0.2">
      <c r="A3289" t="s">
        <v>11060</v>
      </c>
      <c r="B3289" t="s">
        <v>2575</v>
      </c>
      <c r="C3289" t="s">
        <v>11199</v>
      </c>
      <c r="D3289" t="s">
        <v>11200</v>
      </c>
      <c r="E3289" t="s">
        <v>11201</v>
      </c>
      <c r="F3289" t="s">
        <v>118</v>
      </c>
      <c r="G3289" t="str">
        <f>HYPERLINK("https://vk.com/wall-22935147_368133?reply=368145")</f>
        <v>https://vk.com/wall-22935147_368133?reply=368145</v>
      </c>
      <c r="H3289" t="s">
        <v>119</v>
      </c>
      <c r="I3289" t="s">
        <v>5494</v>
      </c>
      <c r="J3289" t="str">
        <f>HYPERLINK("http://vk.com/id191196273")</f>
        <v>http://vk.com/id191196273</v>
      </c>
      <c r="K3289">
        <v>64</v>
      </c>
      <c r="L3289" t="s">
        <v>121</v>
      </c>
      <c r="M3289">
        <v>45</v>
      </c>
      <c r="N3289" t="s">
        <v>122</v>
      </c>
      <c r="O3289" t="s">
        <v>1093</v>
      </c>
      <c r="P3289" t="str">
        <f>HYPERLINK("http://vk.com/club22935147")</f>
        <v>http://vk.com/club22935147</v>
      </c>
      <c r="Q3289">
        <v>8943</v>
      </c>
      <c r="R3289" t="s">
        <v>124</v>
      </c>
      <c r="S3289" t="s">
        <v>125</v>
      </c>
      <c r="T3289" t="s">
        <v>2225</v>
      </c>
      <c r="U3289" t="s">
        <v>2861</v>
      </c>
      <c r="W3289">
        <v>0</v>
      </c>
      <c r="X3289">
        <v>0</v>
      </c>
      <c r="AM3289" t="s">
        <v>129</v>
      </c>
      <c r="AN3289" t="s">
        <v>130</v>
      </c>
      <c r="AP3289" t="s">
        <v>41</v>
      </c>
      <c r="AU3289" t="s">
        <v>46</v>
      </c>
      <c r="AZ3289" t="s">
        <v>51</v>
      </c>
      <c r="BA3289" t="s">
        <v>52</v>
      </c>
      <c r="BL3289" t="s">
        <v>63</v>
      </c>
    </row>
    <row r="3290" spans="1:69" x14ac:dyDescent="0.2">
      <c r="A3290" t="s">
        <v>11060</v>
      </c>
      <c r="B3290" t="s">
        <v>1527</v>
      </c>
      <c r="C3290" t="s">
        <v>11202</v>
      </c>
      <c r="D3290" t="s">
        <v>11195</v>
      </c>
      <c r="E3290" t="s">
        <v>11203</v>
      </c>
      <c r="F3290" t="s">
        <v>118</v>
      </c>
      <c r="G3290" t="str">
        <f>HYPERLINK("https://vk.com/wall-86024718_1817297?reply=1817333")</f>
        <v>https://vk.com/wall-86024718_1817297?reply=1817333</v>
      </c>
      <c r="H3290" t="s">
        <v>119</v>
      </c>
      <c r="I3290" t="s">
        <v>11204</v>
      </c>
      <c r="J3290" t="str">
        <f>HYPERLINK("http://vk.com/id88006330")</f>
        <v>http://vk.com/id88006330</v>
      </c>
      <c r="K3290">
        <v>549</v>
      </c>
      <c r="L3290" t="s">
        <v>151</v>
      </c>
      <c r="N3290" t="s">
        <v>122</v>
      </c>
      <c r="O3290" t="s">
        <v>11198</v>
      </c>
      <c r="P3290" t="str">
        <f>HYPERLINK("http://vk.com/club86024718")</f>
        <v>http://vk.com/club86024718</v>
      </c>
      <c r="Q3290">
        <v>26421</v>
      </c>
      <c r="R3290" t="s">
        <v>124</v>
      </c>
      <c r="S3290" t="s">
        <v>125</v>
      </c>
      <c r="T3290" t="s">
        <v>1819</v>
      </c>
      <c r="U3290" t="s">
        <v>2175</v>
      </c>
      <c r="AM3290" t="s">
        <v>129</v>
      </c>
      <c r="AN3290" t="s">
        <v>130</v>
      </c>
      <c r="AP3290" t="s">
        <v>41</v>
      </c>
      <c r="AT3290" t="s">
        <v>45</v>
      </c>
      <c r="AW3290" t="s">
        <v>48</v>
      </c>
      <c r="AZ3290" t="s">
        <v>51</v>
      </c>
      <c r="BA3290" t="s">
        <v>52</v>
      </c>
    </row>
    <row r="3291" spans="1:69" x14ac:dyDescent="0.2">
      <c r="A3291" t="s">
        <v>11060</v>
      </c>
      <c r="B3291" t="s">
        <v>8174</v>
      </c>
      <c r="C3291" t="s">
        <v>11205</v>
      </c>
      <c r="D3291" t="s">
        <v>11200</v>
      </c>
      <c r="E3291" t="s">
        <v>11206</v>
      </c>
      <c r="F3291" t="s">
        <v>118</v>
      </c>
      <c r="G3291" t="str">
        <f>HYPERLINK("https://vk.com/wall-22935147_368133?reply=368144")</f>
        <v>https://vk.com/wall-22935147_368133?reply=368144</v>
      </c>
      <c r="H3291" t="s">
        <v>119</v>
      </c>
      <c r="I3291" t="s">
        <v>6267</v>
      </c>
      <c r="J3291" t="str">
        <f>HYPERLINK("http://vk.com/id124014423")</f>
        <v>http://vk.com/id124014423</v>
      </c>
      <c r="K3291">
        <v>731</v>
      </c>
      <c r="L3291" t="s">
        <v>121</v>
      </c>
      <c r="M3291">
        <v>29</v>
      </c>
      <c r="N3291" t="s">
        <v>122</v>
      </c>
      <c r="O3291" t="s">
        <v>1093</v>
      </c>
      <c r="P3291" t="str">
        <f>HYPERLINK("http://vk.com/club22935147")</f>
        <v>http://vk.com/club22935147</v>
      </c>
      <c r="Q3291">
        <v>8943</v>
      </c>
      <c r="R3291" t="s">
        <v>124</v>
      </c>
      <c r="S3291" t="s">
        <v>125</v>
      </c>
      <c r="T3291" t="s">
        <v>6268</v>
      </c>
      <c r="U3291" t="s">
        <v>6269</v>
      </c>
      <c r="W3291">
        <v>0</v>
      </c>
      <c r="X3291">
        <v>0</v>
      </c>
      <c r="AM3291" t="s">
        <v>129</v>
      </c>
      <c r="AN3291" t="s">
        <v>130</v>
      </c>
      <c r="AP3291" t="s">
        <v>41</v>
      </c>
      <c r="AY3291" t="s">
        <v>50</v>
      </c>
      <c r="AZ3291" t="s">
        <v>51</v>
      </c>
      <c r="BA3291" t="s">
        <v>52</v>
      </c>
      <c r="BL3291" t="s">
        <v>63</v>
      </c>
    </row>
    <row r="3292" spans="1:69" x14ac:dyDescent="0.2">
      <c r="A3292" t="s">
        <v>11060</v>
      </c>
      <c r="B3292" t="s">
        <v>5203</v>
      </c>
      <c r="C3292" t="s">
        <v>11207</v>
      </c>
      <c r="D3292" t="s">
        <v>11208</v>
      </c>
      <c r="E3292" t="s">
        <v>11209</v>
      </c>
      <c r="F3292" t="s">
        <v>180</v>
      </c>
      <c r="G3292" t="str">
        <f>HYPERLINK("https://market.yandex.ru/product/385389017/reviews?id=133967844")</f>
        <v>https://market.yandex.ru/product/385389017/reviews?id=133967844</v>
      </c>
      <c r="H3292" t="s">
        <v>181</v>
      </c>
      <c r="I3292" t="s">
        <v>6111</v>
      </c>
      <c r="J3292" t="str">
        <f>HYPERLINK("https://market.yandex.ru/user/mx1wpy2hqd8bnewt6dz39tck3c/reviews")</f>
        <v>https://market.yandex.ru/user/mx1wpy2hqd8bnewt6dz39tck3c/reviews</v>
      </c>
      <c r="L3292" t="s">
        <v>121</v>
      </c>
      <c r="N3292" t="s">
        <v>611</v>
      </c>
      <c r="O3292" t="s">
        <v>11208</v>
      </c>
      <c r="P3292" t="str">
        <f>HYPERLINK("https://market.yandex.ru/product/385389017")</f>
        <v>https://market.yandex.ru/product/385389017</v>
      </c>
      <c r="R3292" t="s">
        <v>184</v>
      </c>
      <c r="S3292" t="s">
        <v>125</v>
      </c>
      <c r="T3292" t="s">
        <v>169</v>
      </c>
      <c r="U3292" t="s">
        <v>169</v>
      </c>
      <c r="W3292">
        <v>0</v>
      </c>
      <c r="X3292">
        <v>0</v>
      </c>
      <c r="AH3292">
        <v>5</v>
      </c>
      <c r="AJ3292" t="s">
        <v>11210</v>
      </c>
      <c r="AK3292" t="s">
        <v>129</v>
      </c>
      <c r="AL3292" t="str">
        <f>HYPERLINK("https://avatars.mds.yandex.net/get-market-ugc/1642705/2a0000017a70c4a0ce23471c2bca4df7c63a/1920-1920")</f>
        <v>https://avatars.mds.yandex.net/get-market-ugc/1642705/2a0000017a70c4a0ce23471c2bca4df7c63a/1920-1920</v>
      </c>
      <c r="AM3292" t="s">
        <v>129</v>
      </c>
      <c r="AN3292" t="s">
        <v>130</v>
      </c>
      <c r="AP3292" t="s">
        <v>41</v>
      </c>
      <c r="AT3292" t="s">
        <v>45</v>
      </c>
      <c r="AZ3292" t="s">
        <v>51</v>
      </c>
      <c r="BA3292" t="s">
        <v>52</v>
      </c>
      <c r="BO3292" t="s">
        <v>66</v>
      </c>
    </row>
    <row r="3293" spans="1:69" x14ac:dyDescent="0.2">
      <c r="A3293" t="s">
        <v>11060</v>
      </c>
      <c r="B3293" t="s">
        <v>984</v>
      </c>
      <c r="C3293" t="s">
        <v>11211</v>
      </c>
      <c r="D3293" t="s">
        <v>11212</v>
      </c>
      <c r="E3293" t="s">
        <v>11213</v>
      </c>
      <c r="F3293" t="s">
        <v>118</v>
      </c>
      <c r="G3293" t="str">
        <f>HYPERLINK("https://vk.com/wall-182895006_6447?reply=6452&amp;thread=6450")</f>
        <v>https://vk.com/wall-182895006_6447?reply=6452&amp;thread=6450</v>
      </c>
      <c r="H3293" t="s">
        <v>119</v>
      </c>
      <c r="I3293" t="s">
        <v>11214</v>
      </c>
      <c r="J3293" t="str">
        <f>HYPERLINK("http://vk.com/id123745644")</f>
        <v>http://vk.com/id123745644</v>
      </c>
      <c r="K3293">
        <v>258</v>
      </c>
      <c r="L3293" t="s">
        <v>121</v>
      </c>
      <c r="N3293" t="s">
        <v>122</v>
      </c>
      <c r="O3293" t="s">
        <v>11215</v>
      </c>
      <c r="P3293" t="str">
        <f>HYPERLINK("http://vk.com/club182895006")</f>
        <v>http://vk.com/club182895006</v>
      </c>
      <c r="Q3293">
        <v>2616</v>
      </c>
      <c r="R3293" t="s">
        <v>124</v>
      </c>
      <c r="S3293" t="s">
        <v>125</v>
      </c>
      <c r="T3293" t="s">
        <v>2566</v>
      </c>
      <c r="U3293" t="s">
        <v>3647</v>
      </c>
      <c r="AM3293" t="s">
        <v>129</v>
      </c>
      <c r="AN3293" t="s">
        <v>130</v>
      </c>
      <c r="AP3293" t="s">
        <v>41</v>
      </c>
      <c r="AY3293" t="s">
        <v>50</v>
      </c>
      <c r="AZ3293" t="s">
        <v>51</v>
      </c>
      <c r="BA3293" t="s">
        <v>52</v>
      </c>
    </row>
    <row r="3294" spans="1:69" x14ac:dyDescent="0.2">
      <c r="A3294" t="s">
        <v>11060</v>
      </c>
      <c r="B3294" t="s">
        <v>2596</v>
      </c>
      <c r="C3294" t="s">
        <v>11216</v>
      </c>
      <c r="D3294" t="s">
        <v>204</v>
      </c>
      <c r="E3294" t="s">
        <v>11217</v>
      </c>
      <c r="F3294" t="s">
        <v>180</v>
      </c>
      <c r="G3294" t="str">
        <f>HYPERLINK("https://play.google.com/store/apps/details?id=ru.iflex.android.a3colortv&amp;reviewId=gp:AOqpTOHboeLw7QCD9aXidJsR_UnHof9_dCW75mlKcmHOueKiEa0chIdJQTCNeArVaRPGeUxs0IFYbmL9xRqJXw")</f>
        <v>https://play.google.com/store/apps/details?id=ru.iflex.android.a3colortv&amp;reviewId=gp:AOqpTOHboeLw7QCD9aXidJsR_UnHof9_dCW75mlKcmHOueKiEa0chIdJQTCNeArVaRPGeUxs0IFYbmL9xRqJXw</v>
      </c>
      <c r="H3294" t="s">
        <v>181</v>
      </c>
      <c r="I3294" t="s">
        <v>2951</v>
      </c>
      <c r="J3294" t="str">
        <f>HYPERLINK("https://plus.google.com/113505217980497783737")</f>
        <v>https://plus.google.com/113505217980497783737</v>
      </c>
      <c r="L3294" t="s">
        <v>121</v>
      </c>
      <c r="N3294" t="s">
        <v>207</v>
      </c>
      <c r="O3294" t="s">
        <v>204</v>
      </c>
      <c r="P3294" t="str">
        <f>HYPERLINK("https://play.google.com/store/apps/details?id=ru.iflex.android.a3colortv&amp;hl=ru")</f>
        <v>https://play.google.com/store/apps/details?id=ru.iflex.android.a3colortv&amp;hl=ru</v>
      </c>
      <c r="R3294" t="s">
        <v>184</v>
      </c>
      <c r="S3294" t="s">
        <v>125</v>
      </c>
      <c r="W3294">
        <v>0</v>
      </c>
      <c r="X3294">
        <v>0</v>
      </c>
      <c r="AH3294">
        <v>5</v>
      </c>
      <c r="AM3294" t="s">
        <v>129</v>
      </c>
      <c r="AN3294" t="s">
        <v>130</v>
      </c>
      <c r="AP3294" t="s">
        <v>41</v>
      </c>
      <c r="AZ3294" t="s">
        <v>51</v>
      </c>
      <c r="BA3294" t="s">
        <v>52</v>
      </c>
      <c r="BQ3294" t="s">
        <v>68</v>
      </c>
    </row>
    <row r="3295" spans="1:69" x14ac:dyDescent="0.2">
      <c r="A3295" t="s">
        <v>11060</v>
      </c>
      <c r="B3295" t="s">
        <v>1006</v>
      </c>
      <c r="C3295" t="s">
        <v>11188</v>
      </c>
      <c r="D3295" t="s">
        <v>3210</v>
      </c>
      <c r="E3295" t="s">
        <v>11218</v>
      </c>
      <c r="F3295" t="s">
        <v>180</v>
      </c>
      <c r="G3295" t="str">
        <f>HYPERLINK("https://telesputnik.ru/forum/viewtopic.php?f=36&amp;t=75646&amp;start=2060#p2479247")</f>
        <v>https://telesputnik.ru/forum/viewtopic.php?f=36&amp;t=75646&amp;start=2060#p2479247</v>
      </c>
      <c r="H3295" t="s">
        <v>119</v>
      </c>
      <c r="I3295" t="s">
        <v>11219</v>
      </c>
      <c r="J3295" t="str">
        <f>HYPERLINK("https://telesputnik.ru/forum/memberlist.php?mode=viewprofile&amp;u=55381")</f>
        <v>https://telesputnik.ru/forum/memberlist.php?mode=viewprofile&amp;u=55381</v>
      </c>
      <c r="N3295" t="s">
        <v>335</v>
      </c>
      <c r="O3295" t="s">
        <v>909</v>
      </c>
      <c r="P3295" t="str">
        <f>HYPERLINK("https://telesputnik.ru/forum/viewforum.php?f=36")</f>
        <v>https://telesputnik.ru/forum/viewforum.php?f=36</v>
      </c>
      <c r="R3295" t="s">
        <v>295</v>
      </c>
      <c r="S3295" t="s">
        <v>125</v>
      </c>
      <c r="AM3295" t="s">
        <v>129</v>
      </c>
      <c r="AN3295" t="s">
        <v>130</v>
      </c>
      <c r="AP3295" t="s">
        <v>41</v>
      </c>
      <c r="AZ3295" t="s">
        <v>51</v>
      </c>
      <c r="BA3295" t="s">
        <v>52</v>
      </c>
      <c r="BL3295" t="s">
        <v>63</v>
      </c>
    </row>
    <row r="3296" spans="1:69" x14ac:dyDescent="0.2">
      <c r="A3296" t="s">
        <v>11060</v>
      </c>
      <c r="B3296" t="s">
        <v>1588</v>
      </c>
      <c r="C3296" t="s">
        <v>11220</v>
      </c>
      <c r="D3296" t="s">
        <v>11195</v>
      </c>
      <c r="E3296" t="s">
        <v>11221</v>
      </c>
      <c r="F3296" t="s">
        <v>118</v>
      </c>
      <c r="G3296" t="str">
        <f>HYPERLINK("https://vk.com/wall-86024718_1817297?reply=1817316")</f>
        <v>https://vk.com/wall-86024718_1817297?reply=1817316</v>
      </c>
      <c r="H3296" t="s">
        <v>119</v>
      </c>
      <c r="I3296" t="s">
        <v>11222</v>
      </c>
      <c r="J3296" t="str">
        <f>HYPERLINK("http://vk.com/id8966292")</f>
        <v>http://vk.com/id8966292</v>
      </c>
      <c r="K3296">
        <v>4120</v>
      </c>
      <c r="L3296" t="s">
        <v>151</v>
      </c>
      <c r="N3296" t="s">
        <v>122</v>
      </c>
      <c r="O3296" t="s">
        <v>11198</v>
      </c>
      <c r="P3296" t="str">
        <f>HYPERLINK("http://vk.com/club86024718")</f>
        <v>http://vk.com/club86024718</v>
      </c>
      <c r="Q3296">
        <v>26421</v>
      </c>
      <c r="R3296" t="s">
        <v>124</v>
      </c>
      <c r="S3296" t="s">
        <v>125</v>
      </c>
      <c r="T3296" t="s">
        <v>1819</v>
      </c>
      <c r="U3296" t="s">
        <v>2175</v>
      </c>
      <c r="AM3296" t="s">
        <v>129</v>
      </c>
      <c r="AN3296" t="s">
        <v>130</v>
      </c>
      <c r="AP3296" t="s">
        <v>41</v>
      </c>
      <c r="AW3296" t="s">
        <v>48</v>
      </c>
      <c r="AZ3296" t="s">
        <v>51</v>
      </c>
      <c r="BA3296" t="s">
        <v>52</v>
      </c>
    </row>
    <row r="3297" spans="1:69" x14ac:dyDescent="0.2">
      <c r="A3297" t="s">
        <v>11060</v>
      </c>
      <c r="B3297" t="s">
        <v>11223</v>
      </c>
      <c r="C3297" t="s">
        <v>5594</v>
      </c>
      <c r="D3297" t="s">
        <v>11224</v>
      </c>
      <c r="E3297" t="s">
        <v>11225</v>
      </c>
      <c r="F3297" t="s">
        <v>180</v>
      </c>
      <c r="G3297" t="str">
        <f>HYPERLINK("https://www.ozon.ru/context/detail/id/251303576/#57140726")</f>
        <v>https://www.ozon.ru/context/detail/id/251303576/#57140726</v>
      </c>
      <c r="H3297" t="s">
        <v>181</v>
      </c>
      <c r="I3297" t="s">
        <v>9298</v>
      </c>
      <c r="J3297" t="str">
        <f>HYPERLINK("https://www.ozon.ru/context/client_opinion/ClientGuid/0eddd950-3f29-4bde-b4db-42f7a15ad7fb/")</f>
        <v>https://www.ozon.ru/context/client_opinion/ClientGuid/0eddd950-3f29-4bde-b4db-42f7a15ad7fb/</v>
      </c>
      <c r="L3297" t="s">
        <v>121</v>
      </c>
      <c r="N3297" t="s">
        <v>183</v>
      </c>
      <c r="O3297" t="s">
        <v>11224</v>
      </c>
      <c r="P3297" t="str">
        <f>HYPERLINK("https://www.ozon.ru/context/detail/id/251303576/")</f>
        <v>https://www.ozon.ru/context/detail/id/251303576/</v>
      </c>
      <c r="R3297" t="s">
        <v>184</v>
      </c>
      <c r="S3297" t="s">
        <v>125</v>
      </c>
      <c r="W3297">
        <v>1</v>
      </c>
      <c r="X3297">
        <v>1</v>
      </c>
      <c r="AH3297">
        <v>5</v>
      </c>
      <c r="AM3297" t="s">
        <v>129</v>
      </c>
      <c r="AN3297" t="s">
        <v>130</v>
      </c>
      <c r="AP3297" t="s">
        <v>41</v>
      </c>
      <c r="AT3297" t="s">
        <v>45</v>
      </c>
      <c r="AZ3297" t="s">
        <v>51</v>
      </c>
      <c r="BA3297" t="s">
        <v>52</v>
      </c>
    </row>
    <row r="3298" spans="1:69" x14ac:dyDescent="0.2">
      <c r="A3298" t="s">
        <v>11060</v>
      </c>
      <c r="B3298" t="s">
        <v>2074</v>
      </c>
      <c r="C3298" t="s">
        <v>11226</v>
      </c>
      <c r="D3298" t="s">
        <v>11195</v>
      </c>
      <c r="E3298" t="s">
        <v>11227</v>
      </c>
      <c r="F3298" t="s">
        <v>118</v>
      </c>
      <c r="G3298" t="str">
        <f>HYPERLINK("https://vk.com/wall-86024718_1817297?reply=1817299")</f>
        <v>https://vk.com/wall-86024718_1817297?reply=1817299</v>
      </c>
      <c r="H3298" t="s">
        <v>119</v>
      </c>
      <c r="I3298" t="s">
        <v>11197</v>
      </c>
      <c r="J3298" t="str">
        <f>HYPERLINK("http://vk.com/id45819444")</f>
        <v>http://vk.com/id45819444</v>
      </c>
      <c r="K3298">
        <v>427</v>
      </c>
      <c r="L3298" t="s">
        <v>151</v>
      </c>
      <c r="N3298" t="s">
        <v>122</v>
      </c>
      <c r="O3298" t="s">
        <v>11198</v>
      </c>
      <c r="P3298" t="str">
        <f>HYPERLINK("http://vk.com/club86024718")</f>
        <v>http://vk.com/club86024718</v>
      </c>
      <c r="Q3298">
        <v>26421</v>
      </c>
      <c r="R3298" t="s">
        <v>124</v>
      </c>
      <c r="S3298" t="s">
        <v>125</v>
      </c>
      <c r="T3298" t="s">
        <v>1819</v>
      </c>
      <c r="U3298" t="s">
        <v>2175</v>
      </c>
      <c r="AM3298" t="s">
        <v>129</v>
      </c>
      <c r="AN3298" t="s">
        <v>130</v>
      </c>
      <c r="AP3298" t="s">
        <v>41</v>
      </c>
      <c r="AZ3298" t="s">
        <v>51</v>
      </c>
      <c r="BA3298" t="s">
        <v>52</v>
      </c>
      <c r="BL3298" t="s">
        <v>63</v>
      </c>
      <c r="BM3298" t="s">
        <v>64</v>
      </c>
    </row>
    <row r="3299" spans="1:69" x14ac:dyDescent="0.2">
      <c r="A3299" t="s">
        <v>11060</v>
      </c>
      <c r="B3299" t="s">
        <v>479</v>
      </c>
      <c r="C3299" t="s">
        <v>11228</v>
      </c>
      <c r="D3299" t="s">
        <v>129</v>
      </c>
      <c r="E3299" t="s">
        <v>11195</v>
      </c>
      <c r="F3299" t="s">
        <v>180</v>
      </c>
      <c r="G3299" t="str">
        <f>HYPERLINK("https://vk.com/wall-86024718_1817297")</f>
        <v>https://vk.com/wall-86024718_1817297</v>
      </c>
      <c r="H3299" t="s">
        <v>119</v>
      </c>
      <c r="I3299" t="s">
        <v>11197</v>
      </c>
      <c r="J3299" t="str">
        <f>HYPERLINK("http://vk.com/id45819444")</f>
        <v>http://vk.com/id45819444</v>
      </c>
      <c r="K3299">
        <v>427</v>
      </c>
      <c r="L3299" t="s">
        <v>151</v>
      </c>
      <c r="N3299" t="s">
        <v>122</v>
      </c>
      <c r="O3299" t="s">
        <v>11198</v>
      </c>
      <c r="P3299" t="str">
        <f>HYPERLINK("http://vk.com/club86024718")</f>
        <v>http://vk.com/club86024718</v>
      </c>
      <c r="Q3299">
        <v>26421</v>
      </c>
      <c r="R3299" t="s">
        <v>124</v>
      </c>
      <c r="S3299" t="s">
        <v>125</v>
      </c>
      <c r="T3299" t="s">
        <v>1819</v>
      </c>
      <c r="U3299" t="s">
        <v>2175</v>
      </c>
      <c r="AM3299" t="s">
        <v>129</v>
      </c>
      <c r="AN3299" t="s">
        <v>130</v>
      </c>
      <c r="AP3299" t="s">
        <v>41</v>
      </c>
      <c r="AT3299" t="s">
        <v>45</v>
      </c>
      <c r="AW3299" t="s">
        <v>48</v>
      </c>
      <c r="AZ3299" t="s">
        <v>51</v>
      </c>
      <c r="BA3299" t="s">
        <v>52</v>
      </c>
      <c r="BM3299" t="s">
        <v>64</v>
      </c>
    </row>
    <row r="3300" spans="1:69" x14ac:dyDescent="0.2">
      <c r="A3300" t="s">
        <v>11060</v>
      </c>
      <c r="B3300" t="s">
        <v>9315</v>
      </c>
      <c r="C3300" t="s">
        <v>11229</v>
      </c>
      <c r="D3300" t="s">
        <v>11230</v>
      </c>
      <c r="E3300" t="s">
        <v>11231</v>
      </c>
      <c r="F3300" t="s">
        <v>118</v>
      </c>
      <c r="G3300" t="str">
        <f>HYPERLINK("https://telegram.me/luga24/38989")</f>
        <v>https://telegram.me/luga24/38989</v>
      </c>
      <c r="H3300" t="s">
        <v>119</v>
      </c>
      <c r="I3300" t="s">
        <v>11232</v>
      </c>
      <c r="J3300" t="str">
        <f>HYPERLINK("https://telegram.me/masko_13")</f>
        <v>https://telegram.me/masko_13</v>
      </c>
      <c r="N3300" t="s">
        <v>143</v>
      </c>
      <c r="O3300" t="s">
        <v>11233</v>
      </c>
      <c r="P3300" t="str">
        <f>HYPERLINK("https://telegram.me/luga24")</f>
        <v>https://telegram.me/luga24</v>
      </c>
      <c r="Q3300">
        <v>601</v>
      </c>
      <c r="R3300" t="s">
        <v>145</v>
      </c>
      <c r="AM3300" t="s">
        <v>129</v>
      </c>
      <c r="AN3300" t="s">
        <v>130</v>
      </c>
      <c r="AP3300" t="s">
        <v>41</v>
      </c>
      <c r="AZ3300" t="s">
        <v>51</v>
      </c>
      <c r="BA3300" t="s">
        <v>52</v>
      </c>
      <c r="BQ3300" t="s">
        <v>68</v>
      </c>
    </row>
    <row r="3301" spans="1:69" x14ac:dyDescent="0.2">
      <c r="A3301" t="s">
        <v>11060</v>
      </c>
      <c r="B3301" t="s">
        <v>2629</v>
      </c>
      <c r="C3301" t="s">
        <v>6454</v>
      </c>
      <c r="D3301" t="s">
        <v>5736</v>
      </c>
      <c r="E3301" t="s">
        <v>11234</v>
      </c>
      <c r="F3301" t="s">
        <v>180</v>
      </c>
      <c r="G3301" t="str">
        <f>HYPERLINK("https://www.ozon.ru/context/detail/id/180483128/#57134689")</f>
        <v>https://www.ozon.ru/context/detail/id/180483128/#57134689</v>
      </c>
      <c r="H3301" t="s">
        <v>181</v>
      </c>
      <c r="I3301" t="s">
        <v>11235</v>
      </c>
      <c r="J3301" t="str">
        <f>HYPERLINK("https://www.ozon.ru/context/client_opinion/ClientGuid/2e0c384f-9579-4ca0-9784-191f5aaa0836/")</f>
        <v>https://www.ozon.ru/context/client_opinion/ClientGuid/2e0c384f-9579-4ca0-9784-191f5aaa0836/</v>
      </c>
      <c r="L3301" t="s">
        <v>151</v>
      </c>
      <c r="N3301" t="s">
        <v>183</v>
      </c>
      <c r="O3301" t="s">
        <v>5738</v>
      </c>
      <c r="P3301" t="str">
        <f>HYPERLINK("https://www.ozon.ru/context/detail/id/180483128/")</f>
        <v>https://www.ozon.ru/context/detail/id/180483128/</v>
      </c>
      <c r="R3301" t="s">
        <v>184</v>
      </c>
      <c r="S3301" t="s">
        <v>125</v>
      </c>
      <c r="W3301">
        <v>0</v>
      </c>
      <c r="X3301">
        <v>0</v>
      </c>
      <c r="AH3301">
        <v>5</v>
      </c>
      <c r="AM3301" t="s">
        <v>129</v>
      </c>
      <c r="AN3301" t="s">
        <v>130</v>
      </c>
      <c r="AP3301" t="s">
        <v>41</v>
      </c>
      <c r="AZ3301" t="s">
        <v>51</v>
      </c>
      <c r="BA3301" t="s">
        <v>52</v>
      </c>
      <c r="BK3301" t="s">
        <v>62</v>
      </c>
      <c r="BL3301" t="s">
        <v>63</v>
      </c>
    </row>
    <row r="3302" spans="1:69" x14ac:dyDescent="0.2">
      <c r="A3302" t="s">
        <v>11060</v>
      </c>
      <c r="B3302" t="s">
        <v>2629</v>
      </c>
      <c r="C3302" t="s">
        <v>11236</v>
      </c>
      <c r="D3302" t="s">
        <v>11237</v>
      </c>
      <c r="E3302" t="s">
        <v>11238</v>
      </c>
      <c r="F3302" t="s">
        <v>118</v>
      </c>
      <c r="G3302" t="str">
        <f>HYPERLINK("https://vk.com/wall-61904108_974337?reply=974481")</f>
        <v>https://vk.com/wall-61904108_974337?reply=974481</v>
      </c>
      <c r="H3302" t="s">
        <v>119</v>
      </c>
      <c r="I3302" t="s">
        <v>11239</v>
      </c>
      <c r="J3302" t="str">
        <f>HYPERLINK("http://vk.com/id9297817")</f>
        <v>http://vk.com/id9297817</v>
      </c>
      <c r="K3302">
        <v>10</v>
      </c>
      <c r="L3302" t="s">
        <v>151</v>
      </c>
      <c r="N3302" t="s">
        <v>122</v>
      </c>
      <c r="O3302" t="s">
        <v>11240</v>
      </c>
      <c r="P3302" t="str">
        <f>HYPERLINK("http://vk.com/club61904108")</f>
        <v>http://vk.com/club61904108</v>
      </c>
      <c r="Q3302">
        <v>29335</v>
      </c>
      <c r="R3302" t="s">
        <v>124</v>
      </c>
      <c r="S3302" t="s">
        <v>125</v>
      </c>
      <c r="T3302" t="s">
        <v>137</v>
      </c>
      <c r="U3302" t="s">
        <v>137</v>
      </c>
      <c r="AM3302" t="s">
        <v>129</v>
      </c>
      <c r="AN3302" t="s">
        <v>130</v>
      </c>
      <c r="AP3302" t="s">
        <v>41</v>
      </c>
      <c r="AZ3302" t="s">
        <v>51</v>
      </c>
      <c r="BA3302" t="s">
        <v>52</v>
      </c>
      <c r="BM3302" t="s">
        <v>64</v>
      </c>
    </row>
    <row r="3303" spans="1:69" x14ac:dyDescent="0.2">
      <c r="A3303" t="s">
        <v>11060</v>
      </c>
      <c r="B3303" t="s">
        <v>8231</v>
      </c>
      <c r="C3303" t="s">
        <v>11241</v>
      </c>
      <c r="D3303" t="s">
        <v>3210</v>
      </c>
      <c r="E3303" t="s">
        <v>11242</v>
      </c>
      <c r="F3303" t="s">
        <v>180</v>
      </c>
      <c r="G3303" t="str">
        <f>HYPERLINK("https://telesputnik.ru/forum/viewtopic.php?f=36&amp;t=75646&amp;start=2060#p2479235")</f>
        <v>https://telesputnik.ru/forum/viewtopic.php?f=36&amp;t=75646&amp;start=2060#p2479235</v>
      </c>
      <c r="H3303" t="s">
        <v>228</v>
      </c>
      <c r="I3303" t="s">
        <v>1160</v>
      </c>
      <c r="J3303" t="str">
        <f>HYPERLINK("https://telesputnik.ru/forum/memberlist.php?mode=viewprofile&amp;u=304630")</f>
        <v>https://telesputnik.ru/forum/memberlist.php?mode=viewprofile&amp;u=304630</v>
      </c>
      <c r="L3303" t="s">
        <v>121</v>
      </c>
      <c r="N3303" t="s">
        <v>335</v>
      </c>
      <c r="O3303" t="s">
        <v>909</v>
      </c>
      <c r="P3303" t="str">
        <f>HYPERLINK("https://telesputnik.ru/forum/viewforum.php?f=36")</f>
        <v>https://telesputnik.ru/forum/viewforum.php?f=36</v>
      </c>
      <c r="R3303" t="s">
        <v>295</v>
      </c>
      <c r="S3303" t="s">
        <v>125</v>
      </c>
      <c r="T3303" t="s">
        <v>667</v>
      </c>
      <c r="U3303" t="s">
        <v>668</v>
      </c>
      <c r="AM3303" t="s">
        <v>129</v>
      </c>
      <c r="AN3303" t="s">
        <v>130</v>
      </c>
      <c r="AP3303" t="s">
        <v>41</v>
      </c>
      <c r="AU3303" t="s">
        <v>46</v>
      </c>
      <c r="AZ3303" t="s">
        <v>51</v>
      </c>
      <c r="BA3303" t="s">
        <v>52</v>
      </c>
    </row>
    <row r="3304" spans="1:69" x14ac:dyDescent="0.2">
      <c r="A3304" t="s">
        <v>11060</v>
      </c>
      <c r="B3304" t="s">
        <v>1077</v>
      </c>
      <c r="C3304" t="s">
        <v>11243</v>
      </c>
      <c r="D3304" t="s">
        <v>11244</v>
      </c>
      <c r="E3304" t="s">
        <v>11245</v>
      </c>
      <c r="F3304" t="s">
        <v>118</v>
      </c>
      <c r="G3304" t="str">
        <f>HYPERLINK("https://vk.com/wall-54531505_984762?reply=985586")</f>
        <v>https://vk.com/wall-54531505_984762?reply=985586</v>
      </c>
      <c r="H3304" t="s">
        <v>181</v>
      </c>
      <c r="I3304" t="s">
        <v>11246</v>
      </c>
      <c r="J3304" t="str">
        <f>HYPERLINK("http://vk.com/id377299396")</f>
        <v>http://vk.com/id377299396</v>
      </c>
      <c r="K3304">
        <v>570</v>
      </c>
      <c r="L3304" t="s">
        <v>151</v>
      </c>
      <c r="N3304" t="s">
        <v>122</v>
      </c>
      <c r="O3304" t="s">
        <v>11247</v>
      </c>
      <c r="P3304" t="str">
        <f>HYPERLINK("http://vk.com/club54531505")</f>
        <v>http://vk.com/club54531505</v>
      </c>
      <c r="Q3304">
        <v>108737</v>
      </c>
      <c r="R3304" t="s">
        <v>124</v>
      </c>
      <c r="S3304" t="s">
        <v>125</v>
      </c>
      <c r="T3304" t="s">
        <v>2455</v>
      </c>
      <c r="U3304" t="s">
        <v>7078</v>
      </c>
      <c r="AM3304" t="s">
        <v>129</v>
      </c>
      <c r="AN3304" t="s">
        <v>130</v>
      </c>
      <c r="AP3304" t="s">
        <v>41</v>
      </c>
      <c r="AZ3304" t="s">
        <v>51</v>
      </c>
      <c r="BA3304" t="s">
        <v>52</v>
      </c>
    </row>
    <row r="3305" spans="1:69" x14ac:dyDescent="0.2">
      <c r="A3305" t="s">
        <v>11060</v>
      </c>
      <c r="B3305" t="s">
        <v>1666</v>
      </c>
      <c r="C3305" t="s">
        <v>11248</v>
      </c>
      <c r="D3305" t="s">
        <v>2326</v>
      </c>
      <c r="E3305" t="s">
        <v>11249</v>
      </c>
      <c r="F3305" t="s">
        <v>118</v>
      </c>
      <c r="G3305" t="str">
        <f>HYPERLINK("https://vk.com/topic-27863223_35421989?post=115816")</f>
        <v>https://vk.com/topic-27863223_35421989?post=115816</v>
      </c>
      <c r="H3305" t="s">
        <v>119</v>
      </c>
      <c r="I3305" t="s">
        <v>2527</v>
      </c>
      <c r="J3305" t="str">
        <f>HYPERLINK("http://vk.com/id382015409")</f>
        <v>http://vk.com/id382015409</v>
      </c>
      <c r="K3305">
        <v>862</v>
      </c>
      <c r="L3305" t="s">
        <v>121</v>
      </c>
      <c r="N3305" t="s">
        <v>122</v>
      </c>
      <c r="O3305" t="s">
        <v>175</v>
      </c>
      <c r="P3305" t="str">
        <f>HYPERLINK("http://vk.com/club27863223")</f>
        <v>http://vk.com/club27863223</v>
      </c>
      <c r="Q3305">
        <v>134698</v>
      </c>
      <c r="R3305" t="s">
        <v>124</v>
      </c>
      <c r="S3305" t="s">
        <v>125</v>
      </c>
      <c r="AM3305" t="s">
        <v>129</v>
      </c>
      <c r="AN3305" t="s">
        <v>130</v>
      </c>
      <c r="AP3305" t="s">
        <v>41</v>
      </c>
      <c r="AU3305" t="s">
        <v>46</v>
      </c>
      <c r="AZ3305" t="s">
        <v>51</v>
      </c>
      <c r="BB3305" t="s">
        <v>53</v>
      </c>
    </row>
    <row r="3306" spans="1:69" x14ac:dyDescent="0.2">
      <c r="A3306" t="s">
        <v>11060</v>
      </c>
      <c r="B3306" t="s">
        <v>2678</v>
      </c>
      <c r="C3306" t="s">
        <v>11250</v>
      </c>
      <c r="D3306" t="s">
        <v>11200</v>
      </c>
      <c r="E3306" t="s">
        <v>11251</v>
      </c>
      <c r="F3306" t="s">
        <v>118</v>
      </c>
      <c r="G3306" t="str">
        <f>HYPERLINK("https://vk.com/wall-22935147_368133?reply=368140")</f>
        <v>https://vk.com/wall-22935147_368133?reply=368140</v>
      </c>
      <c r="H3306" t="s">
        <v>119</v>
      </c>
      <c r="I3306" t="s">
        <v>8670</v>
      </c>
      <c r="J3306" t="str">
        <f>HYPERLINK("http://vk.com/id213086164")</f>
        <v>http://vk.com/id213086164</v>
      </c>
      <c r="K3306">
        <v>116</v>
      </c>
      <c r="L3306" t="s">
        <v>121</v>
      </c>
      <c r="M3306">
        <v>45</v>
      </c>
      <c r="N3306" t="s">
        <v>122</v>
      </c>
      <c r="O3306" t="s">
        <v>1093</v>
      </c>
      <c r="P3306" t="str">
        <f>HYPERLINK("http://vk.com/club22935147")</f>
        <v>http://vk.com/club22935147</v>
      </c>
      <c r="Q3306">
        <v>8943</v>
      </c>
      <c r="R3306" t="s">
        <v>124</v>
      </c>
      <c r="S3306" t="s">
        <v>125</v>
      </c>
      <c r="T3306" t="s">
        <v>1103</v>
      </c>
      <c r="U3306" t="s">
        <v>8671</v>
      </c>
      <c r="W3306">
        <v>1</v>
      </c>
      <c r="X3306">
        <v>1</v>
      </c>
      <c r="AM3306" t="s">
        <v>129</v>
      </c>
      <c r="AN3306" t="s">
        <v>130</v>
      </c>
      <c r="AP3306" t="s">
        <v>41</v>
      </c>
      <c r="AY3306" t="s">
        <v>50</v>
      </c>
      <c r="AZ3306" t="s">
        <v>51</v>
      </c>
      <c r="BA3306" t="s">
        <v>52</v>
      </c>
    </row>
    <row r="3307" spans="1:69" x14ac:dyDescent="0.2">
      <c r="A3307" t="s">
        <v>11060</v>
      </c>
      <c r="B3307" t="s">
        <v>1105</v>
      </c>
      <c r="C3307" t="s">
        <v>11252</v>
      </c>
      <c r="D3307" t="s">
        <v>11200</v>
      </c>
      <c r="E3307" t="s">
        <v>11253</v>
      </c>
      <c r="F3307" t="s">
        <v>118</v>
      </c>
      <c r="G3307" t="str">
        <f>HYPERLINK("https://vk.com/wall-22935147_368133?reply=368139")</f>
        <v>https://vk.com/wall-22935147_368133?reply=368139</v>
      </c>
      <c r="H3307" t="s">
        <v>181</v>
      </c>
      <c r="I3307" t="s">
        <v>11254</v>
      </c>
      <c r="J3307" t="str">
        <f>HYPERLINK("http://vk.com/id369981454")</f>
        <v>http://vk.com/id369981454</v>
      </c>
      <c r="K3307">
        <v>112</v>
      </c>
      <c r="L3307" t="s">
        <v>121</v>
      </c>
      <c r="M3307">
        <v>47</v>
      </c>
      <c r="N3307" t="s">
        <v>122</v>
      </c>
      <c r="O3307" t="s">
        <v>1093</v>
      </c>
      <c r="P3307" t="str">
        <f>HYPERLINK("http://vk.com/club22935147")</f>
        <v>http://vk.com/club22935147</v>
      </c>
      <c r="Q3307">
        <v>8943</v>
      </c>
      <c r="R3307" t="s">
        <v>124</v>
      </c>
      <c r="S3307" t="s">
        <v>125</v>
      </c>
      <c r="T3307" t="s">
        <v>153</v>
      </c>
      <c r="U3307" t="s">
        <v>11255</v>
      </c>
      <c r="W3307">
        <v>0</v>
      </c>
      <c r="X3307">
        <v>0</v>
      </c>
      <c r="AM3307" t="s">
        <v>129</v>
      </c>
      <c r="AN3307" t="s">
        <v>130</v>
      </c>
      <c r="AP3307" t="s">
        <v>41</v>
      </c>
      <c r="AW3307" t="s">
        <v>48</v>
      </c>
      <c r="AY3307" t="s">
        <v>50</v>
      </c>
      <c r="AZ3307" t="s">
        <v>51</v>
      </c>
      <c r="BA3307" t="s">
        <v>52</v>
      </c>
    </row>
    <row r="3308" spans="1:69" x14ac:dyDescent="0.2">
      <c r="A3308" t="s">
        <v>11060</v>
      </c>
      <c r="B3308" t="s">
        <v>577</v>
      </c>
      <c r="C3308" t="s">
        <v>11256</v>
      </c>
      <c r="D3308" t="s">
        <v>986</v>
      </c>
      <c r="E3308" t="s">
        <v>11257</v>
      </c>
      <c r="F3308" t="s">
        <v>118</v>
      </c>
      <c r="G3308" t="str">
        <f>HYPERLINK("https://vk.com/wall-27863223_291396?reply=291411")</f>
        <v>https://vk.com/wall-27863223_291396?reply=291411</v>
      </c>
      <c r="H3308" t="s">
        <v>119</v>
      </c>
      <c r="I3308" t="s">
        <v>11258</v>
      </c>
      <c r="J3308" t="str">
        <f>HYPERLINK("http://vk.com/id324927008")</f>
        <v>http://vk.com/id324927008</v>
      </c>
      <c r="K3308">
        <v>76</v>
      </c>
      <c r="L3308" t="s">
        <v>121</v>
      </c>
      <c r="N3308" t="s">
        <v>122</v>
      </c>
      <c r="O3308" t="s">
        <v>175</v>
      </c>
      <c r="P3308" t="str">
        <f>HYPERLINK("http://vk.com/club27863223")</f>
        <v>http://vk.com/club27863223</v>
      </c>
      <c r="Q3308">
        <v>134698</v>
      </c>
      <c r="R3308" t="s">
        <v>124</v>
      </c>
      <c r="S3308" t="s">
        <v>125</v>
      </c>
      <c r="T3308" t="s">
        <v>1466</v>
      </c>
      <c r="U3308" t="s">
        <v>1467</v>
      </c>
      <c r="W3308">
        <v>0</v>
      </c>
      <c r="X3308">
        <v>0</v>
      </c>
      <c r="AJ3308" t="s">
        <v>11259</v>
      </c>
      <c r="AK3308" t="s">
        <v>8216</v>
      </c>
      <c r="AL3308" t="str">
        <f>HYPERLINK("https://sun9-22.userapi.com/impg/57uZgKwn4GlZBfhYYVBtYG5Mj-MD9cfz9J0_zQ/0gFC1yc2DzM.jpg?size=1200x1600&amp;quality=96&amp;sign=8e6adefd129ee74b9a5d83b1d2a4be9a&amp;c_uniq_tag=n0Kp8cG4ZF-TU5Kfi5l75y849xNyg4thlLYC60xc_0w&amp;type=album")</f>
        <v>https://sun9-22.userapi.com/impg/57uZgKwn4GlZBfhYYVBtYG5Mj-MD9cfz9J0_zQ/0gFC1yc2DzM.jpg?size=1200x1600&amp;quality=96&amp;sign=8e6adefd129ee74b9a5d83b1d2a4be9a&amp;c_uniq_tag=n0Kp8cG4ZF-TU5Kfi5l75y849xNyg4thlLYC60xc_0w&amp;type=album</v>
      </c>
      <c r="AM3308" t="s">
        <v>129</v>
      </c>
      <c r="AN3308" t="s">
        <v>130</v>
      </c>
      <c r="AP3308" t="s">
        <v>41</v>
      </c>
      <c r="AU3308" t="s">
        <v>46</v>
      </c>
      <c r="AZ3308" t="s">
        <v>51</v>
      </c>
      <c r="BA3308" t="s">
        <v>52</v>
      </c>
    </row>
    <row r="3309" spans="1:69" x14ac:dyDescent="0.2">
      <c r="A3309" t="s">
        <v>11060</v>
      </c>
      <c r="B3309" t="s">
        <v>1690</v>
      </c>
      <c r="C3309" t="s">
        <v>11260</v>
      </c>
      <c r="D3309" t="s">
        <v>10250</v>
      </c>
      <c r="E3309" t="s">
        <v>11261</v>
      </c>
      <c r="F3309" t="s">
        <v>118</v>
      </c>
      <c r="G3309" t="str">
        <f>HYPERLINK("https://ok.ru/group/51085510115462/topic/153363912107398#MTYyNTM4Nzk1NDMzNDotODAxMToxNjI1Mzg3OTU0MzM0OjE1MzM2MzkxMjEwNzM5ODox")</f>
        <v>https://ok.ru/group/51085510115462/topic/153363912107398#MTYyNTM4Nzk1NDMzNDotODAxMToxNjI1Mzg3OTU0MzM0OjE1MzM2MzkxMjEwNzM5ODox</v>
      </c>
      <c r="H3309" t="s">
        <v>119</v>
      </c>
      <c r="I3309" t="s">
        <v>175</v>
      </c>
      <c r="J3309" t="str">
        <f>HYPERLINK("https://ok.ru/group/51085510115462")</f>
        <v>https://ok.ru/group/51085510115462</v>
      </c>
      <c r="K3309">
        <v>94768</v>
      </c>
      <c r="L3309" t="s">
        <v>340</v>
      </c>
      <c r="N3309" t="s">
        <v>347</v>
      </c>
      <c r="O3309" t="s">
        <v>175</v>
      </c>
      <c r="P3309" t="str">
        <f>HYPERLINK("https://ok.ru/group/51085510115462")</f>
        <v>https://ok.ru/group/51085510115462</v>
      </c>
      <c r="Q3309">
        <v>94768</v>
      </c>
      <c r="R3309" t="s">
        <v>124</v>
      </c>
      <c r="W3309">
        <v>0</v>
      </c>
      <c r="X3309">
        <v>0</v>
      </c>
      <c r="AM3309" t="s">
        <v>129</v>
      </c>
      <c r="AN3309" t="s">
        <v>130</v>
      </c>
      <c r="BI3309" t="s">
        <v>60</v>
      </c>
    </row>
    <row r="3310" spans="1:69" x14ac:dyDescent="0.2">
      <c r="A3310" t="s">
        <v>11060</v>
      </c>
      <c r="B3310" t="s">
        <v>2145</v>
      </c>
      <c r="C3310" t="s">
        <v>11262</v>
      </c>
      <c r="D3310" t="s">
        <v>11148</v>
      </c>
      <c r="E3310" t="s">
        <v>11263</v>
      </c>
      <c r="F3310" t="s">
        <v>118</v>
      </c>
      <c r="G3310" t="str">
        <f>HYPERLINK("https://vk.com/wall-61751856_1407200?reply=1407381")</f>
        <v>https://vk.com/wall-61751856_1407200?reply=1407381</v>
      </c>
      <c r="H3310" t="s">
        <v>119</v>
      </c>
      <c r="I3310" t="s">
        <v>11264</v>
      </c>
      <c r="J3310" t="str">
        <f>HYPERLINK("http://vk.com/id96309697")</f>
        <v>http://vk.com/id96309697</v>
      </c>
      <c r="K3310">
        <v>345</v>
      </c>
      <c r="L3310" t="s">
        <v>151</v>
      </c>
      <c r="N3310" t="s">
        <v>122</v>
      </c>
      <c r="O3310" t="s">
        <v>11151</v>
      </c>
      <c r="P3310" t="str">
        <f>HYPERLINK("http://vk.com/club61751856")</f>
        <v>http://vk.com/club61751856</v>
      </c>
      <c r="Q3310">
        <v>57075</v>
      </c>
      <c r="R3310" t="s">
        <v>124</v>
      </c>
      <c r="S3310" t="s">
        <v>125</v>
      </c>
      <c r="T3310" t="s">
        <v>1819</v>
      </c>
      <c r="U3310" t="s">
        <v>2677</v>
      </c>
      <c r="AM3310" t="s">
        <v>129</v>
      </c>
      <c r="AN3310" t="s">
        <v>130</v>
      </c>
      <c r="AP3310" t="s">
        <v>41</v>
      </c>
      <c r="AZ3310" t="s">
        <v>51</v>
      </c>
      <c r="BA3310" t="s">
        <v>52</v>
      </c>
      <c r="BL3310" t="s">
        <v>63</v>
      </c>
    </row>
    <row r="3311" spans="1:69" x14ac:dyDescent="0.2">
      <c r="A3311" t="s">
        <v>11060</v>
      </c>
      <c r="B3311" t="s">
        <v>2151</v>
      </c>
      <c r="C3311" t="s">
        <v>11265</v>
      </c>
      <c r="D3311" t="s">
        <v>11200</v>
      </c>
      <c r="E3311" t="s">
        <v>11266</v>
      </c>
      <c r="F3311" t="s">
        <v>118</v>
      </c>
      <c r="G3311" t="str">
        <f>HYPERLINK("https://vk.com/wall-22935147_368133?reply=368137")</f>
        <v>https://vk.com/wall-22935147_368133?reply=368137</v>
      </c>
      <c r="H3311" t="s">
        <v>119</v>
      </c>
      <c r="I3311" t="s">
        <v>11267</v>
      </c>
      <c r="J3311" t="str">
        <f>HYPERLINK("http://vk.com/id108746304")</f>
        <v>http://vk.com/id108746304</v>
      </c>
      <c r="K3311">
        <v>548</v>
      </c>
      <c r="L3311" t="s">
        <v>121</v>
      </c>
      <c r="N3311" t="s">
        <v>122</v>
      </c>
      <c r="O3311" t="s">
        <v>1093</v>
      </c>
      <c r="P3311" t="str">
        <f>HYPERLINK("http://vk.com/club22935147")</f>
        <v>http://vk.com/club22935147</v>
      </c>
      <c r="Q3311">
        <v>8943</v>
      </c>
      <c r="R3311" t="s">
        <v>124</v>
      </c>
      <c r="S3311" t="s">
        <v>125</v>
      </c>
      <c r="T3311" t="s">
        <v>523</v>
      </c>
      <c r="U3311" t="s">
        <v>11268</v>
      </c>
      <c r="W3311">
        <v>0</v>
      </c>
      <c r="X3311">
        <v>0</v>
      </c>
      <c r="AM3311" t="s">
        <v>129</v>
      </c>
      <c r="AN3311" t="s">
        <v>130</v>
      </c>
      <c r="AP3311" t="s">
        <v>41</v>
      </c>
      <c r="AY3311" t="s">
        <v>50</v>
      </c>
      <c r="AZ3311" t="s">
        <v>51</v>
      </c>
      <c r="BA3311" t="s">
        <v>52</v>
      </c>
    </row>
    <row r="3312" spans="1:69" x14ac:dyDescent="0.2">
      <c r="A3312" t="s">
        <v>11060</v>
      </c>
      <c r="B3312" t="s">
        <v>614</v>
      </c>
      <c r="C3312" t="s">
        <v>11260</v>
      </c>
      <c r="D3312" t="s">
        <v>10250</v>
      </c>
      <c r="E3312" t="s">
        <v>11269</v>
      </c>
      <c r="F3312" t="s">
        <v>118</v>
      </c>
      <c r="G3312" t="str">
        <f>HYPERLINK("https://ok.ru/group/51085510115462/topic/153363912107398#MTYyNTM4NTc0NzExMjotMTQ1MTM6MTYyNTM4NTc0NzExMjoxNTMzNjM5MTIxMDczOTg6MQ==")</f>
        <v>https://ok.ru/group/51085510115462/topic/153363912107398#MTYyNTM4NTc0NzExMjotMTQ1MTM6MTYyNTM4NTc0NzExMjoxNTMzNjM5MTIxMDczOTg6MQ==</v>
      </c>
      <c r="H3312" t="s">
        <v>228</v>
      </c>
      <c r="I3312" t="s">
        <v>11270</v>
      </c>
      <c r="J3312" t="str">
        <f>HYPERLINK("https://ok.ru/profile/526458088167")</f>
        <v>https://ok.ru/profile/526458088167</v>
      </c>
      <c r="K3312">
        <v>113</v>
      </c>
      <c r="L3312" t="s">
        <v>121</v>
      </c>
      <c r="M3312">
        <v>40</v>
      </c>
      <c r="N3312" t="s">
        <v>347</v>
      </c>
      <c r="O3312" t="s">
        <v>175</v>
      </c>
      <c r="P3312" t="str">
        <f>HYPERLINK("https://ok.ru/group/51085510115462")</f>
        <v>https://ok.ru/group/51085510115462</v>
      </c>
      <c r="Q3312">
        <v>94768</v>
      </c>
      <c r="R3312" t="s">
        <v>124</v>
      </c>
      <c r="S3312" t="s">
        <v>125</v>
      </c>
      <c r="W3312">
        <v>0</v>
      </c>
      <c r="X3312">
        <v>0</v>
      </c>
      <c r="AM3312" t="s">
        <v>129</v>
      </c>
      <c r="AN3312" t="s">
        <v>130</v>
      </c>
      <c r="AP3312" t="s">
        <v>41</v>
      </c>
      <c r="AU3312" t="s">
        <v>46</v>
      </c>
      <c r="AZ3312" t="s">
        <v>51</v>
      </c>
      <c r="BA3312" t="s">
        <v>52</v>
      </c>
    </row>
    <row r="3313" spans="1:69" x14ac:dyDescent="0.2">
      <c r="A3313" t="s">
        <v>11060</v>
      </c>
      <c r="B3313" t="s">
        <v>2739</v>
      </c>
      <c r="C3313" t="s">
        <v>11271</v>
      </c>
      <c r="D3313" t="s">
        <v>11200</v>
      </c>
      <c r="E3313" t="s">
        <v>11272</v>
      </c>
      <c r="F3313" t="s">
        <v>118</v>
      </c>
      <c r="G3313" t="str">
        <f>HYPERLINK("https://vk.com/wall-22935147_368133?reply=368134")</f>
        <v>https://vk.com/wall-22935147_368133?reply=368134</v>
      </c>
      <c r="H3313" t="s">
        <v>119</v>
      </c>
      <c r="I3313" t="s">
        <v>11273</v>
      </c>
      <c r="J3313" t="str">
        <f>HYPERLINK("http://vk.com/id136021032")</f>
        <v>http://vk.com/id136021032</v>
      </c>
      <c r="K3313">
        <v>119</v>
      </c>
      <c r="L3313" t="s">
        <v>121</v>
      </c>
      <c r="M3313">
        <v>47</v>
      </c>
      <c r="N3313" t="s">
        <v>122</v>
      </c>
      <c r="O3313" t="s">
        <v>1093</v>
      </c>
      <c r="P3313" t="str">
        <f>HYPERLINK("http://vk.com/club22935147")</f>
        <v>http://vk.com/club22935147</v>
      </c>
      <c r="Q3313">
        <v>8943</v>
      </c>
      <c r="R3313" t="s">
        <v>124</v>
      </c>
      <c r="S3313" t="s">
        <v>125</v>
      </c>
      <c r="T3313" t="s">
        <v>612</v>
      </c>
      <c r="U3313" t="s">
        <v>5651</v>
      </c>
      <c r="W3313">
        <v>0</v>
      </c>
      <c r="X3313">
        <v>0</v>
      </c>
      <c r="AM3313" t="s">
        <v>129</v>
      </c>
      <c r="AN3313" t="s">
        <v>130</v>
      </c>
      <c r="AP3313" t="s">
        <v>41</v>
      </c>
      <c r="AZ3313" t="s">
        <v>51</v>
      </c>
      <c r="BA3313" t="s">
        <v>52</v>
      </c>
      <c r="BL3313" t="s">
        <v>63</v>
      </c>
    </row>
    <row r="3314" spans="1:69" x14ac:dyDescent="0.2">
      <c r="A3314" t="s">
        <v>11060</v>
      </c>
      <c r="B3314" t="s">
        <v>2743</v>
      </c>
      <c r="C3314" t="s">
        <v>11274</v>
      </c>
      <c r="D3314" t="s">
        <v>2326</v>
      </c>
      <c r="E3314" t="s">
        <v>11275</v>
      </c>
      <c r="F3314" t="s">
        <v>118</v>
      </c>
      <c r="G3314" t="str">
        <f>HYPERLINK("https://vk.com/topic-27863223_35421989?post=115810")</f>
        <v>https://vk.com/topic-27863223_35421989?post=115810</v>
      </c>
      <c r="H3314" t="s">
        <v>119</v>
      </c>
      <c r="I3314" t="s">
        <v>6749</v>
      </c>
      <c r="J3314" t="str">
        <f>HYPERLINK("http://vk.com/id488082610")</f>
        <v>http://vk.com/id488082610</v>
      </c>
      <c r="K3314">
        <v>10</v>
      </c>
      <c r="L3314" t="s">
        <v>121</v>
      </c>
      <c r="M3314">
        <v>31</v>
      </c>
      <c r="N3314" t="s">
        <v>122</v>
      </c>
      <c r="O3314" t="s">
        <v>175</v>
      </c>
      <c r="P3314" t="str">
        <f>HYPERLINK("http://vk.com/club27863223")</f>
        <v>http://vk.com/club27863223</v>
      </c>
      <c r="Q3314">
        <v>134698</v>
      </c>
      <c r="R3314" t="s">
        <v>124</v>
      </c>
      <c r="S3314" t="s">
        <v>125</v>
      </c>
      <c r="T3314" t="s">
        <v>494</v>
      </c>
      <c r="U3314" t="s">
        <v>6750</v>
      </c>
      <c r="AM3314" t="s">
        <v>129</v>
      </c>
      <c r="AN3314" t="s">
        <v>130</v>
      </c>
      <c r="AP3314" t="s">
        <v>41</v>
      </c>
      <c r="AU3314" t="s">
        <v>46</v>
      </c>
      <c r="AZ3314" t="s">
        <v>51</v>
      </c>
      <c r="BA3314" t="s">
        <v>52</v>
      </c>
    </row>
    <row r="3315" spans="1:69" x14ac:dyDescent="0.2">
      <c r="A3315" t="s">
        <v>11060</v>
      </c>
      <c r="B3315" t="s">
        <v>2743</v>
      </c>
      <c r="C3315" t="s">
        <v>11276</v>
      </c>
      <c r="D3315" t="s">
        <v>986</v>
      </c>
      <c r="E3315" t="s">
        <v>11277</v>
      </c>
      <c r="F3315" t="s">
        <v>118</v>
      </c>
      <c r="G3315" t="str">
        <f>HYPERLINK("https://vk.com/wall-27863223_291396?w=wall-27863223_291396_r291408")</f>
        <v>https://vk.com/wall-27863223_291396?w=wall-27863223_291396_r291408</v>
      </c>
      <c r="H3315" t="s">
        <v>119</v>
      </c>
      <c r="I3315" t="s">
        <v>254</v>
      </c>
      <c r="J3315" t="str">
        <f>HYPERLINK("http://vk.com/id286061518")</f>
        <v>http://vk.com/id286061518</v>
      </c>
      <c r="K3315">
        <v>5170</v>
      </c>
      <c r="L3315" t="s">
        <v>121</v>
      </c>
      <c r="M3315">
        <v>34</v>
      </c>
      <c r="N3315" t="s">
        <v>122</v>
      </c>
      <c r="O3315" t="s">
        <v>175</v>
      </c>
      <c r="P3315" t="str">
        <f>HYPERLINK("http://vk.com/club27863223")</f>
        <v>http://vk.com/club27863223</v>
      </c>
      <c r="Q3315">
        <v>134698</v>
      </c>
      <c r="R3315" t="s">
        <v>124</v>
      </c>
      <c r="S3315" t="s">
        <v>125</v>
      </c>
      <c r="T3315" t="s">
        <v>256</v>
      </c>
      <c r="U3315" t="s">
        <v>257</v>
      </c>
      <c r="W3315">
        <v>0</v>
      </c>
      <c r="X3315">
        <v>0</v>
      </c>
      <c r="AM3315" t="s">
        <v>129</v>
      </c>
      <c r="AN3315" t="s">
        <v>130</v>
      </c>
      <c r="AP3315" t="s">
        <v>41</v>
      </c>
      <c r="AU3315" t="s">
        <v>46</v>
      </c>
      <c r="AZ3315" t="s">
        <v>51</v>
      </c>
      <c r="BA3315" t="s">
        <v>52</v>
      </c>
    </row>
    <row r="3316" spans="1:69" x14ac:dyDescent="0.2">
      <c r="A3316" t="s">
        <v>11060</v>
      </c>
      <c r="B3316" t="s">
        <v>2743</v>
      </c>
      <c r="C3316" t="s">
        <v>11276</v>
      </c>
      <c r="D3316" t="s">
        <v>129</v>
      </c>
      <c r="E3316" t="s">
        <v>11200</v>
      </c>
      <c r="F3316" t="s">
        <v>180</v>
      </c>
      <c r="G3316" t="str">
        <f>HYPERLINK("https://vk.com/wall-22935147_368133")</f>
        <v>https://vk.com/wall-22935147_368133</v>
      </c>
      <c r="H3316" t="s">
        <v>119</v>
      </c>
      <c r="I3316" t="s">
        <v>11278</v>
      </c>
      <c r="J3316" t="str">
        <f>HYPERLINK("http://vk.com/id211796373")</f>
        <v>http://vk.com/id211796373</v>
      </c>
      <c r="K3316">
        <v>175</v>
      </c>
      <c r="L3316" t="s">
        <v>151</v>
      </c>
      <c r="N3316" t="s">
        <v>122</v>
      </c>
      <c r="O3316" t="s">
        <v>1093</v>
      </c>
      <c r="P3316" t="str">
        <f>HYPERLINK("http://vk.com/club22935147")</f>
        <v>http://vk.com/club22935147</v>
      </c>
      <c r="Q3316">
        <v>8943</v>
      </c>
      <c r="R3316" t="s">
        <v>124</v>
      </c>
      <c r="S3316" t="s">
        <v>125</v>
      </c>
      <c r="T3316" t="s">
        <v>169</v>
      </c>
      <c r="U3316" t="s">
        <v>169</v>
      </c>
      <c r="W3316">
        <v>7</v>
      </c>
      <c r="X3316">
        <v>7</v>
      </c>
      <c r="AE3316">
        <v>8</v>
      </c>
      <c r="AF3316">
        <v>0</v>
      </c>
      <c r="AG3316">
        <v>1960</v>
      </c>
      <c r="AM3316" t="s">
        <v>129</v>
      </c>
      <c r="AN3316" t="s">
        <v>130</v>
      </c>
      <c r="AP3316" t="s">
        <v>41</v>
      </c>
      <c r="AU3316" t="s">
        <v>46</v>
      </c>
      <c r="AY3316" t="s">
        <v>50</v>
      </c>
      <c r="AZ3316" t="s">
        <v>51</v>
      </c>
      <c r="BA3316" t="s">
        <v>52</v>
      </c>
    </row>
    <row r="3317" spans="1:69" x14ac:dyDescent="0.2">
      <c r="A3317" t="s">
        <v>11060</v>
      </c>
      <c r="B3317" t="s">
        <v>2744</v>
      </c>
      <c r="C3317" t="s">
        <v>11276</v>
      </c>
      <c r="D3317" t="s">
        <v>986</v>
      </c>
      <c r="E3317" t="s">
        <v>11279</v>
      </c>
      <c r="F3317" t="s">
        <v>118</v>
      </c>
      <c r="G3317" t="str">
        <f>HYPERLINK("https://vk.com/wall-27863223_291396?reply=291405")</f>
        <v>https://vk.com/wall-27863223_291396?reply=291405</v>
      </c>
      <c r="H3317" t="s">
        <v>119</v>
      </c>
      <c r="I3317" t="s">
        <v>254</v>
      </c>
      <c r="J3317" t="str">
        <f>HYPERLINK("http://vk.com/id286061518")</f>
        <v>http://vk.com/id286061518</v>
      </c>
      <c r="K3317">
        <v>5170</v>
      </c>
      <c r="L3317" t="s">
        <v>121</v>
      </c>
      <c r="M3317">
        <v>34</v>
      </c>
      <c r="N3317" t="s">
        <v>122</v>
      </c>
      <c r="O3317" t="s">
        <v>175</v>
      </c>
      <c r="P3317" t="str">
        <f>HYPERLINK("http://vk.com/club27863223")</f>
        <v>http://vk.com/club27863223</v>
      </c>
      <c r="Q3317">
        <v>134698</v>
      </c>
      <c r="R3317" t="s">
        <v>124</v>
      </c>
      <c r="S3317" t="s">
        <v>125</v>
      </c>
      <c r="T3317" t="s">
        <v>256</v>
      </c>
      <c r="U3317" t="s">
        <v>257</v>
      </c>
      <c r="W3317">
        <v>0</v>
      </c>
      <c r="X3317">
        <v>0</v>
      </c>
      <c r="AM3317" t="s">
        <v>129</v>
      </c>
      <c r="AN3317" t="s">
        <v>130</v>
      </c>
      <c r="AP3317" t="s">
        <v>41</v>
      </c>
      <c r="AU3317" t="s">
        <v>46</v>
      </c>
      <c r="AZ3317" t="s">
        <v>51</v>
      </c>
      <c r="BB3317" t="s">
        <v>53</v>
      </c>
    </row>
    <row r="3318" spans="1:69" x14ac:dyDescent="0.2">
      <c r="A3318" t="s">
        <v>11060</v>
      </c>
      <c r="B3318" t="s">
        <v>629</v>
      </c>
      <c r="C3318" t="s">
        <v>11276</v>
      </c>
      <c r="D3318" t="s">
        <v>986</v>
      </c>
      <c r="E3318" t="s">
        <v>11280</v>
      </c>
      <c r="F3318" t="s">
        <v>118</v>
      </c>
      <c r="G3318" t="str">
        <f>HYPERLINK("https://vk.com/wall-27863223_291396?reply=291404")</f>
        <v>https://vk.com/wall-27863223_291396?reply=291404</v>
      </c>
      <c r="H3318" t="s">
        <v>119</v>
      </c>
      <c r="I3318" t="s">
        <v>254</v>
      </c>
      <c r="J3318" t="str">
        <f>HYPERLINK("http://vk.com/id286061518")</f>
        <v>http://vk.com/id286061518</v>
      </c>
      <c r="K3318">
        <v>5170</v>
      </c>
      <c r="L3318" t="s">
        <v>121</v>
      </c>
      <c r="M3318">
        <v>34</v>
      </c>
      <c r="N3318" t="s">
        <v>122</v>
      </c>
      <c r="O3318" t="s">
        <v>175</v>
      </c>
      <c r="P3318" t="str">
        <f>HYPERLINK("http://vk.com/club27863223")</f>
        <v>http://vk.com/club27863223</v>
      </c>
      <c r="Q3318">
        <v>134698</v>
      </c>
      <c r="R3318" t="s">
        <v>124</v>
      </c>
      <c r="S3318" t="s">
        <v>125</v>
      </c>
      <c r="T3318" t="s">
        <v>256</v>
      </c>
      <c r="U3318" t="s">
        <v>257</v>
      </c>
      <c r="W3318">
        <v>0</v>
      </c>
      <c r="X3318">
        <v>0</v>
      </c>
      <c r="AM3318" t="s">
        <v>129</v>
      </c>
      <c r="AN3318" t="s">
        <v>130</v>
      </c>
      <c r="AP3318" t="s">
        <v>41</v>
      </c>
      <c r="AU3318" t="s">
        <v>46</v>
      </c>
      <c r="AZ3318" t="s">
        <v>51</v>
      </c>
      <c r="BA3318" t="s">
        <v>52</v>
      </c>
    </row>
    <row r="3319" spans="1:69" x14ac:dyDescent="0.2">
      <c r="A3319" t="s">
        <v>11060</v>
      </c>
      <c r="B3319" t="s">
        <v>629</v>
      </c>
      <c r="C3319" t="s">
        <v>11276</v>
      </c>
      <c r="D3319" t="s">
        <v>986</v>
      </c>
      <c r="E3319" t="s">
        <v>11281</v>
      </c>
      <c r="F3319" t="s">
        <v>118</v>
      </c>
      <c r="G3319" t="str">
        <f>HYPERLINK("https://vk.com/wall-27863223_291396?reply=291403")</f>
        <v>https://vk.com/wall-27863223_291396?reply=291403</v>
      </c>
      <c r="H3319" t="s">
        <v>119</v>
      </c>
      <c r="I3319" t="s">
        <v>254</v>
      </c>
      <c r="J3319" t="str">
        <f>HYPERLINK("http://vk.com/id286061518")</f>
        <v>http://vk.com/id286061518</v>
      </c>
      <c r="K3319">
        <v>5170</v>
      </c>
      <c r="L3319" t="s">
        <v>121</v>
      </c>
      <c r="M3319">
        <v>34</v>
      </c>
      <c r="N3319" t="s">
        <v>122</v>
      </c>
      <c r="O3319" t="s">
        <v>175</v>
      </c>
      <c r="P3319" t="str">
        <f>HYPERLINK("http://vk.com/club27863223")</f>
        <v>http://vk.com/club27863223</v>
      </c>
      <c r="Q3319">
        <v>134698</v>
      </c>
      <c r="R3319" t="s">
        <v>124</v>
      </c>
      <c r="S3319" t="s">
        <v>125</v>
      </c>
      <c r="T3319" t="s">
        <v>256</v>
      </c>
      <c r="U3319" t="s">
        <v>257</v>
      </c>
      <c r="W3319">
        <v>0</v>
      </c>
      <c r="X3319">
        <v>0</v>
      </c>
      <c r="AM3319" t="s">
        <v>129</v>
      </c>
      <c r="AN3319" t="s">
        <v>130</v>
      </c>
      <c r="AP3319" t="s">
        <v>41</v>
      </c>
      <c r="AU3319" t="s">
        <v>46</v>
      </c>
      <c r="AZ3319" t="s">
        <v>51</v>
      </c>
      <c r="BA3319" t="s">
        <v>52</v>
      </c>
    </row>
    <row r="3320" spans="1:69" x14ac:dyDescent="0.2">
      <c r="A3320" t="s">
        <v>11060</v>
      </c>
      <c r="B3320" t="s">
        <v>2746</v>
      </c>
      <c r="C3320" t="s">
        <v>11276</v>
      </c>
      <c r="D3320" t="s">
        <v>9466</v>
      </c>
      <c r="E3320" t="s">
        <v>11282</v>
      </c>
      <c r="F3320" t="s">
        <v>118</v>
      </c>
      <c r="G3320" t="str">
        <f>HYPERLINK("https://vk.com/wall-27863223_291374?reply=291400")</f>
        <v>https://vk.com/wall-27863223_291374?reply=291400</v>
      </c>
      <c r="H3320" t="s">
        <v>119</v>
      </c>
      <c r="I3320" t="s">
        <v>11283</v>
      </c>
      <c r="J3320" t="str">
        <f>HYPERLINK("http://vk.com/id89950773")</f>
        <v>http://vk.com/id89950773</v>
      </c>
      <c r="K3320">
        <v>675</v>
      </c>
      <c r="L3320" t="s">
        <v>121</v>
      </c>
      <c r="N3320" t="s">
        <v>122</v>
      </c>
      <c r="O3320" t="s">
        <v>175</v>
      </c>
      <c r="P3320" t="str">
        <f>HYPERLINK("http://vk.com/club27863223")</f>
        <v>http://vk.com/club27863223</v>
      </c>
      <c r="Q3320">
        <v>134698</v>
      </c>
      <c r="R3320" t="s">
        <v>124</v>
      </c>
      <c r="S3320" t="s">
        <v>125</v>
      </c>
      <c r="T3320" t="s">
        <v>169</v>
      </c>
      <c r="U3320" t="s">
        <v>169</v>
      </c>
      <c r="W3320">
        <v>0</v>
      </c>
      <c r="X3320">
        <v>0</v>
      </c>
      <c r="AJ3320" t="s">
        <v>11284</v>
      </c>
      <c r="AK3320" t="s">
        <v>129</v>
      </c>
      <c r="AL3320" t="str">
        <f>HYPERLINK("https://sun9-21.userapi.com/impg/pfzdY31kSzY10ZfQYpNtTkv2ezbxW2jbEVIr9A/hvhD7QmBO28.jpg?size=320x320&amp;quality=96&amp;sign=bb8be16929c0241338c69b98ffcdb348&amp;c_uniq_tag=ZCUL4c-0WaGINlj-TKf2aDoiz8AL0_lddxCdNlN8mc4&amp;type=album")</f>
        <v>https://sun9-21.userapi.com/impg/pfzdY31kSzY10ZfQYpNtTkv2ezbxW2jbEVIr9A/hvhD7QmBO28.jpg?size=320x320&amp;quality=96&amp;sign=bb8be16929c0241338c69b98ffcdb348&amp;c_uniq_tag=ZCUL4c-0WaGINlj-TKf2aDoiz8AL0_lddxCdNlN8mc4&amp;type=album</v>
      </c>
      <c r="AM3320" t="s">
        <v>129</v>
      </c>
      <c r="AN3320" t="s">
        <v>130</v>
      </c>
      <c r="AP3320" t="s">
        <v>41</v>
      </c>
      <c r="AU3320" t="s">
        <v>46</v>
      </c>
      <c r="AZ3320" t="s">
        <v>51</v>
      </c>
      <c r="BA3320" t="s">
        <v>52</v>
      </c>
    </row>
    <row r="3321" spans="1:69" x14ac:dyDescent="0.2">
      <c r="A3321" t="s">
        <v>11060</v>
      </c>
      <c r="B3321" t="s">
        <v>3536</v>
      </c>
      <c r="C3321" t="s">
        <v>11285</v>
      </c>
      <c r="D3321" t="s">
        <v>204</v>
      </c>
      <c r="E3321" t="s">
        <v>11286</v>
      </c>
      <c r="F3321" t="s">
        <v>180</v>
      </c>
      <c r="G3321" t="str">
        <f>HYPERLINK("https://play.google.com/store/apps/details?id=ru.iflex.android.a3colortv&amp;reviewId=gp:AOqpTOHkscya516kIlzFtybtEqJeiW00nhZP9ecNKChEyF5KVS5aUKkIOo5G2DxBT3KygN_tNdvWhi0iGy44zw")</f>
        <v>https://play.google.com/store/apps/details?id=ru.iflex.android.a3colortv&amp;reviewId=gp:AOqpTOHkscya516kIlzFtybtEqJeiW00nhZP9ecNKChEyF5KVS5aUKkIOo5G2DxBT3KygN_tNdvWhi0iGy44zw</v>
      </c>
      <c r="H3321" t="s">
        <v>228</v>
      </c>
      <c r="I3321" t="s">
        <v>11287</v>
      </c>
      <c r="J3321" t="str">
        <f>HYPERLINK("https://plus.google.com/106438579835304897198")</f>
        <v>https://plus.google.com/106438579835304897198</v>
      </c>
      <c r="L3321" t="s">
        <v>151</v>
      </c>
      <c r="N3321" t="s">
        <v>207</v>
      </c>
      <c r="O3321" t="s">
        <v>204</v>
      </c>
      <c r="P3321" t="str">
        <f>HYPERLINK("https://play.google.com/store/apps/details?id=ru.iflex.android.a3colortv&amp;hl=ru")</f>
        <v>https://play.google.com/store/apps/details?id=ru.iflex.android.a3colortv&amp;hl=ru</v>
      </c>
      <c r="R3321" t="s">
        <v>184</v>
      </c>
      <c r="S3321" t="s">
        <v>125</v>
      </c>
      <c r="W3321">
        <v>0</v>
      </c>
      <c r="X3321">
        <v>0</v>
      </c>
      <c r="AH3321">
        <v>1</v>
      </c>
      <c r="AM3321" t="s">
        <v>129</v>
      </c>
      <c r="AN3321" t="s">
        <v>130</v>
      </c>
      <c r="AP3321" t="s">
        <v>41</v>
      </c>
      <c r="AW3321" t="s">
        <v>48</v>
      </c>
      <c r="AZ3321" t="s">
        <v>51</v>
      </c>
      <c r="BA3321" t="s">
        <v>52</v>
      </c>
      <c r="BQ3321" t="s">
        <v>68</v>
      </c>
    </row>
    <row r="3322" spans="1:69" x14ac:dyDescent="0.2">
      <c r="A3322" t="s">
        <v>11060</v>
      </c>
      <c r="B3322" t="s">
        <v>3540</v>
      </c>
      <c r="C3322" t="s">
        <v>11288</v>
      </c>
      <c r="D3322" t="s">
        <v>10910</v>
      </c>
      <c r="E3322" t="s">
        <v>11289</v>
      </c>
      <c r="F3322" t="s">
        <v>118</v>
      </c>
      <c r="G3322" t="str">
        <f>HYPERLINK("https://vk.com/wall-74441888_895523?reply=897724")</f>
        <v>https://vk.com/wall-74441888_895523?reply=897724</v>
      </c>
      <c r="H3322" t="s">
        <v>228</v>
      </c>
      <c r="I3322" t="s">
        <v>10912</v>
      </c>
      <c r="J3322" t="str">
        <f>HYPERLINK("http://vk.com/id639272630")</f>
        <v>http://vk.com/id639272630</v>
      </c>
      <c r="K3322">
        <v>6</v>
      </c>
      <c r="L3322" t="s">
        <v>121</v>
      </c>
      <c r="M3322">
        <v>35</v>
      </c>
      <c r="N3322" t="s">
        <v>122</v>
      </c>
      <c r="O3322" t="s">
        <v>10913</v>
      </c>
      <c r="P3322" t="str">
        <f>HYPERLINK("http://vk.com/club74441888")</f>
        <v>http://vk.com/club74441888</v>
      </c>
      <c r="Q3322">
        <v>71838</v>
      </c>
      <c r="R3322" t="s">
        <v>124</v>
      </c>
      <c r="S3322" t="s">
        <v>125</v>
      </c>
      <c r="T3322" t="s">
        <v>161</v>
      </c>
      <c r="U3322" t="s">
        <v>10914</v>
      </c>
      <c r="AM3322" t="s">
        <v>129</v>
      </c>
      <c r="AN3322" t="s">
        <v>130</v>
      </c>
      <c r="AP3322" t="s">
        <v>41</v>
      </c>
      <c r="AW3322" t="s">
        <v>48</v>
      </c>
      <c r="AZ3322" t="s">
        <v>51</v>
      </c>
      <c r="BB3322" t="s">
        <v>53</v>
      </c>
      <c r="BM3322" t="s">
        <v>64</v>
      </c>
    </row>
    <row r="3323" spans="1:69" x14ac:dyDescent="0.2">
      <c r="A3323" t="s">
        <v>11060</v>
      </c>
      <c r="B3323" t="s">
        <v>1136</v>
      </c>
      <c r="C3323" t="s">
        <v>11290</v>
      </c>
      <c r="D3323" t="s">
        <v>10561</v>
      </c>
      <c r="E3323" t="s">
        <v>11291</v>
      </c>
      <c r="F3323" t="s">
        <v>180</v>
      </c>
      <c r="G3323" t="str">
        <f>HYPERLINK("https://ok.ru/group/51085510115462/topic/153405329876358")</f>
        <v>https://ok.ru/group/51085510115462/topic/153405329876358</v>
      </c>
      <c r="H3323" t="s">
        <v>119</v>
      </c>
      <c r="I3323" t="s">
        <v>175</v>
      </c>
      <c r="J3323" t="str">
        <f>HYPERLINK("https://ok.ru/group/51085510115462")</f>
        <v>https://ok.ru/group/51085510115462</v>
      </c>
      <c r="K3323">
        <v>94768</v>
      </c>
      <c r="L3323" t="s">
        <v>340</v>
      </c>
      <c r="N3323" t="s">
        <v>347</v>
      </c>
      <c r="O3323" t="s">
        <v>175</v>
      </c>
      <c r="P3323" t="str">
        <f>HYPERLINK("https://ok.ru/group/51085510115462")</f>
        <v>https://ok.ru/group/51085510115462</v>
      </c>
      <c r="Q3323">
        <v>94768</v>
      </c>
      <c r="R3323" t="s">
        <v>124</v>
      </c>
      <c r="W3323">
        <v>18</v>
      </c>
      <c r="X3323">
        <v>18</v>
      </c>
      <c r="Y3323">
        <v>0</v>
      </c>
      <c r="Z3323">
        <v>0</v>
      </c>
      <c r="AA3323">
        <v>0</v>
      </c>
      <c r="AB3323">
        <v>0</v>
      </c>
      <c r="AE3323">
        <v>0</v>
      </c>
      <c r="AF3323">
        <v>0</v>
      </c>
      <c r="AJ3323" t="s">
        <v>11292</v>
      </c>
      <c r="AK3323" t="s">
        <v>129</v>
      </c>
      <c r="AL3323" t="str">
        <f>HYPERLINK("https://i.mycdn.me/image?id=918053319046&amp;t=20&amp;plc=API&amp;aid=1131601408&amp;tkn=*hK0h1gFTP4249aBdFqzAZGervHI")</f>
        <v>https://i.mycdn.me/image?id=918053319046&amp;t=20&amp;plc=API&amp;aid=1131601408&amp;tkn=*hK0h1gFTP4249aBdFqzAZGervHI</v>
      </c>
      <c r="AM3323" t="s">
        <v>129</v>
      </c>
      <c r="AN3323" t="s">
        <v>130</v>
      </c>
      <c r="BI3323" t="s">
        <v>60</v>
      </c>
    </row>
    <row r="3324" spans="1:69" x14ac:dyDescent="0.2">
      <c r="A3324" t="s">
        <v>11060</v>
      </c>
      <c r="B3324" t="s">
        <v>1136</v>
      </c>
      <c r="C3324" t="s">
        <v>11293</v>
      </c>
      <c r="D3324" t="s">
        <v>129</v>
      </c>
      <c r="E3324" t="s">
        <v>11294</v>
      </c>
      <c r="F3324" t="s">
        <v>180</v>
      </c>
      <c r="G3324" t="str">
        <f>HYPERLINK("https://www.facebook.com/tricolortv/posts/4051331501587756")</f>
        <v>https://www.facebook.com/tricolortv/posts/4051331501587756</v>
      </c>
      <c r="H3324" t="s">
        <v>119</v>
      </c>
      <c r="I3324" t="s">
        <v>175</v>
      </c>
      <c r="J3324" t="str">
        <f>HYPERLINK("https://www.facebook.com/206198386101106")</f>
        <v>https://www.facebook.com/206198386101106</v>
      </c>
      <c r="K3324">
        <v>16432</v>
      </c>
      <c r="L3324" t="s">
        <v>340</v>
      </c>
      <c r="N3324" t="s">
        <v>305</v>
      </c>
      <c r="O3324" t="s">
        <v>175</v>
      </c>
      <c r="P3324" t="str">
        <f>HYPERLINK("https://www.facebook.com/206198386101106")</f>
        <v>https://www.facebook.com/206198386101106</v>
      </c>
      <c r="Q3324">
        <v>16432</v>
      </c>
      <c r="R3324" t="s">
        <v>124</v>
      </c>
      <c r="W3324">
        <v>0</v>
      </c>
      <c r="X3324">
        <v>0</v>
      </c>
      <c r="Y3324">
        <v>0</v>
      </c>
      <c r="Z3324">
        <v>0</v>
      </c>
      <c r="AA3324">
        <v>0</v>
      </c>
      <c r="AB3324">
        <v>0</v>
      </c>
      <c r="AC3324">
        <v>0</v>
      </c>
      <c r="AE3324">
        <v>0</v>
      </c>
      <c r="AF3324">
        <v>0</v>
      </c>
      <c r="AJ3324" t="s">
        <v>11292</v>
      </c>
      <c r="AK3324" t="s">
        <v>129</v>
      </c>
      <c r="AL3324" t="s">
        <v>11295</v>
      </c>
      <c r="AM3324" t="s">
        <v>129</v>
      </c>
      <c r="AN3324" t="s">
        <v>130</v>
      </c>
      <c r="BI3324" t="s">
        <v>60</v>
      </c>
    </row>
    <row r="3325" spans="1:69" x14ac:dyDescent="0.2">
      <c r="A3325" t="s">
        <v>11060</v>
      </c>
      <c r="B3325" t="s">
        <v>1136</v>
      </c>
      <c r="C3325" t="s">
        <v>11296</v>
      </c>
      <c r="D3325" t="s">
        <v>129</v>
      </c>
      <c r="E3325" t="s">
        <v>11297</v>
      </c>
      <c r="F3325" t="s">
        <v>180</v>
      </c>
      <c r="G3325" t="str">
        <f>HYPERLINK("https://twitter.com/360582757/status/1411580540419862532")</f>
        <v>https://twitter.com/360582757/status/1411580540419862532</v>
      </c>
      <c r="H3325" t="s">
        <v>119</v>
      </c>
      <c r="I3325" t="s">
        <v>175</v>
      </c>
      <c r="J3325" t="str">
        <f>HYPERLINK("http://twitter.com/tricolortv")</f>
        <v>http://twitter.com/tricolortv</v>
      </c>
      <c r="K3325">
        <v>5663</v>
      </c>
      <c r="N3325" t="s">
        <v>350</v>
      </c>
      <c r="R3325" t="s">
        <v>124</v>
      </c>
      <c r="S3325" t="s">
        <v>125</v>
      </c>
      <c r="T3325" t="s">
        <v>137</v>
      </c>
      <c r="U3325" t="s">
        <v>137</v>
      </c>
      <c r="W3325">
        <v>1</v>
      </c>
      <c r="X3325">
        <v>1</v>
      </c>
      <c r="AE3325">
        <v>0</v>
      </c>
      <c r="AF3325">
        <v>0</v>
      </c>
      <c r="AJ3325" t="s">
        <v>2424</v>
      </c>
      <c r="AK3325" t="s">
        <v>11298</v>
      </c>
      <c r="AL3325" t="str">
        <f>HYPERLINK("https://pbs.twimg.com/media/E5TlqBIXEAMisNd.jpg")</f>
        <v>https://pbs.twimg.com/media/E5TlqBIXEAMisNd.jpg</v>
      </c>
      <c r="AM3325" t="s">
        <v>129</v>
      </c>
      <c r="AN3325" t="s">
        <v>130</v>
      </c>
      <c r="BI3325" t="s">
        <v>60</v>
      </c>
    </row>
    <row r="3326" spans="1:69" x14ac:dyDescent="0.2">
      <c r="A3326" t="s">
        <v>11060</v>
      </c>
      <c r="B3326" t="s">
        <v>2184</v>
      </c>
      <c r="C3326" t="s">
        <v>11299</v>
      </c>
      <c r="D3326" t="s">
        <v>11300</v>
      </c>
      <c r="E3326" t="s">
        <v>11301</v>
      </c>
      <c r="F3326" t="s">
        <v>118</v>
      </c>
      <c r="G3326" t="str">
        <f>HYPERLINK("https://congregatio.livejournal.com/4477504.html?thread=203266880#t203266880")</f>
        <v>https://congregatio.livejournal.com/4477504.html?thread=203266880#t203266880</v>
      </c>
      <c r="H3326" t="s">
        <v>119</v>
      </c>
      <c r="I3326" t="s">
        <v>11302</v>
      </c>
      <c r="J3326" t="str">
        <f>HYPERLINK("http://sevich.livejournal.com/")</f>
        <v>http://sevich.livejournal.com/</v>
      </c>
      <c r="K3326">
        <v>663</v>
      </c>
      <c r="L3326" t="s">
        <v>121</v>
      </c>
      <c r="M3326">
        <v>49</v>
      </c>
      <c r="N3326" t="s">
        <v>4340</v>
      </c>
      <c r="O3326" t="s">
        <v>11303</v>
      </c>
      <c r="P3326" t="str">
        <f>HYPERLINK("http://congregatio.livejournal.com/")</f>
        <v>http://congregatio.livejournal.com/</v>
      </c>
      <c r="Q3326">
        <v>2500</v>
      </c>
      <c r="R3326" t="s">
        <v>404</v>
      </c>
      <c r="S3326" t="s">
        <v>125</v>
      </c>
      <c r="T3326" t="s">
        <v>137</v>
      </c>
      <c r="U3326" t="s">
        <v>137</v>
      </c>
      <c r="AM3326" t="s">
        <v>129</v>
      </c>
      <c r="AN3326" t="s">
        <v>130</v>
      </c>
      <c r="AP3326" t="s">
        <v>41</v>
      </c>
      <c r="AZ3326" t="s">
        <v>51</v>
      </c>
      <c r="BA3326" t="s">
        <v>52</v>
      </c>
      <c r="BM3326" t="s">
        <v>64</v>
      </c>
    </row>
    <row r="3327" spans="1:69" x14ac:dyDescent="0.2">
      <c r="A3327" t="s">
        <v>11060</v>
      </c>
      <c r="B3327" t="s">
        <v>10666</v>
      </c>
      <c r="C3327" t="s">
        <v>11241</v>
      </c>
      <c r="D3327" t="s">
        <v>3210</v>
      </c>
      <c r="E3327" t="s">
        <v>11304</v>
      </c>
      <c r="F3327" t="s">
        <v>180</v>
      </c>
      <c r="G3327" t="str">
        <f>HYPERLINK("https://telesputnik.ru/forum/viewtopic.php?f=36&amp;t=75646&amp;start=2060#p2479254")</f>
        <v>https://telesputnik.ru/forum/viewtopic.php?f=36&amp;t=75646&amp;start=2060#p2479254</v>
      </c>
      <c r="H3327" t="s">
        <v>119</v>
      </c>
      <c r="I3327" t="s">
        <v>2778</v>
      </c>
      <c r="J3327" t="str">
        <f>HYPERLINK("https://telesputnik.ru/forum/memberlist.php?mode=viewprofile&amp;u=47818")</f>
        <v>https://telesputnik.ru/forum/memberlist.php?mode=viewprofile&amp;u=47818</v>
      </c>
      <c r="N3327" t="s">
        <v>335</v>
      </c>
      <c r="O3327" t="s">
        <v>909</v>
      </c>
      <c r="P3327" t="str">
        <f>HYPERLINK("https://telesputnik.ru/forum/viewforum.php?f=36")</f>
        <v>https://telesputnik.ru/forum/viewforum.php?f=36</v>
      </c>
      <c r="R3327" t="s">
        <v>295</v>
      </c>
      <c r="S3327" t="s">
        <v>125</v>
      </c>
      <c r="T3327" t="s">
        <v>2779</v>
      </c>
      <c r="U3327" t="s">
        <v>2780</v>
      </c>
      <c r="AM3327" t="s">
        <v>129</v>
      </c>
      <c r="AN3327" t="s">
        <v>130</v>
      </c>
      <c r="AP3327" t="s">
        <v>41</v>
      </c>
      <c r="AU3327" t="s">
        <v>46</v>
      </c>
      <c r="AY3327" t="s">
        <v>50</v>
      </c>
      <c r="AZ3327" t="s">
        <v>51</v>
      </c>
      <c r="BA3327" t="s">
        <v>52</v>
      </c>
    </row>
    <row r="3328" spans="1:69" x14ac:dyDescent="0.2">
      <c r="A3328" t="s">
        <v>11060</v>
      </c>
      <c r="B3328" t="s">
        <v>9737</v>
      </c>
      <c r="C3328" t="s">
        <v>6116</v>
      </c>
      <c r="D3328" t="s">
        <v>6117</v>
      </c>
      <c r="E3328" t="s">
        <v>11305</v>
      </c>
      <c r="F3328" t="s">
        <v>180</v>
      </c>
      <c r="G3328" t="str">
        <f>HYPERLINK("https://www.ozon.ru/context/detail/id/216273320/#57082809")</f>
        <v>https://www.ozon.ru/context/detail/id/216273320/#57082809</v>
      </c>
      <c r="H3328" t="s">
        <v>181</v>
      </c>
      <c r="I3328" t="s">
        <v>512</v>
      </c>
      <c r="J3328" t="str">
        <f>HYPERLINK("https://www.ozon.ru/context/client_opinion/ClientGuid//")</f>
        <v>https://www.ozon.ru/context/client_opinion/ClientGuid//</v>
      </c>
      <c r="N3328" t="s">
        <v>183</v>
      </c>
      <c r="O3328" t="s">
        <v>6117</v>
      </c>
      <c r="P3328" t="str">
        <f>HYPERLINK("https://www.ozon.ru/context/detail/id/216273320/")</f>
        <v>https://www.ozon.ru/context/detail/id/216273320/</v>
      </c>
      <c r="R3328" t="s">
        <v>184</v>
      </c>
      <c r="S3328" t="s">
        <v>125</v>
      </c>
      <c r="W3328">
        <v>0</v>
      </c>
      <c r="X3328">
        <v>0</v>
      </c>
      <c r="AH3328">
        <v>5</v>
      </c>
      <c r="AM3328" t="s">
        <v>129</v>
      </c>
      <c r="AN3328" t="s">
        <v>130</v>
      </c>
      <c r="AP3328" t="s">
        <v>41</v>
      </c>
      <c r="AT3328" t="s">
        <v>45</v>
      </c>
      <c r="AZ3328" t="s">
        <v>51</v>
      </c>
      <c r="BA3328" t="s">
        <v>52</v>
      </c>
    </row>
    <row r="3329" spans="1:69" x14ac:dyDescent="0.2">
      <c r="A3329" t="s">
        <v>11060</v>
      </c>
      <c r="B3329" t="s">
        <v>8334</v>
      </c>
      <c r="C3329" t="s">
        <v>11306</v>
      </c>
      <c r="D3329" t="s">
        <v>11307</v>
      </c>
      <c r="E3329" t="s">
        <v>11308</v>
      </c>
      <c r="F3329" t="s">
        <v>118</v>
      </c>
      <c r="G3329" t="str">
        <f>HYPERLINK("https://vk.com/wall-14098618_8616?reply=8642")</f>
        <v>https://vk.com/wall-14098618_8616?reply=8642</v>
      </c>
      <c r="H3329" t="s">
        <v>119</v>
      </c>
      <c r="I3329" t="s">
        <v>11309</v>
      </c>
      <c r="J3329" t="str">
        <f>HYPERLINK("http://vk.com/id522665647")</f>
        <v>http://vk.com/id522665647</v>
      </c>
      <c r="K3329">
        <v>2</v>
      </c>
      <c r="M3329">
        <v>47</v>
      </c>
      <c r="N3329" t="s">
        <v>122</v>
      </c>
      <c r="O3329" t="s">
        <v>1663</v>
      </c>
      <c r="P3329" t="str">
        <f>HYPERLINK("http://vk.com/club14098618")</f>
        <v>http://vk.com/club14098618</v>
      </c>
      <c r="Q3329">
        <v>4681</v>
      </c>
      <c r="R3329" t="s">
        <v>124</v>
      </c>
      <c r="W3329">
        <v>0</v>
      </c>
      <c r="X3329">
        <v>0</v>
      </c>
      <c r="AM3329" t="s">
        <v>129</v>
      </c>
      <c r="AN3329" t="s">
        <v>130</v>
      </c>
      <c r="AP3329" t="s">
        <v>41</v>
      </c>
      <c r="AU3329" t="s">
        <v>46</v>
      </c>
      <c r="AY3329" t="s">
        <v>50</v>
      </c>
      <c r="AZ3329" t="s">
        <v>51</v>
      </c>
      <c r="BA3329" t="s">
        <v>52</v>
      </c>
    </row>
    <row r="3330" spans="1:69" x14ac:dyDescent="0.2">
      <c r="A3330" t="s">
        <v>11060</v>
      </c>
      <c r="B3330" t="s">
        <v>5382</v>
      </c>
      <c r="C3330" t="s">
        <v>11310</v>
      </c>
      <c r="D3330" t="s">
        <v>11311</v>
      </c>
      <c r="E3330" t="s">
        <v>11312</v>
      </c>
      <c r="F3330" t="s">
        <v>118</v>
      </c>
      <c r="G3330" t="str">
        <f>HYPERLINK("https://vk.com/wall-14098618_8558?reply=8640")</f>
        <v>https://vk.com/wall-14098618_8558?reply=8640</v>
      </c>
      <c r="H3330" t="s">
        <v>119</v>
      </c>
      <c r="I3330" t="s">
        <v>11309</v>
      </c>
      <c r="J3330" t="str">
        <f>HYPERLINK("http://vk.com/id522665647")</f>
        <v>http://vk.com/id522665647</v>
      </c>
      <c r="K3330">
        <v>2</v>
      </c>
      <c r="L3330" t="s">
        <v>151</v>
      </c>
      <c r="M3330">
        <v>47</v>
      </c>
      <c r="N3330" t="s">
        <v>122</v>
      </c>
      <c r="O3330" t="s">
        <v>1663</v>
      </c>
      <c r="P3330" t="str">
        <f>HYPERLINK("http://vk.com/club14098618")</f>
        <v>http://vk.com/club14098618</v>
      </c>
      <c r="Q3330">
        <v>4681</v>
      </c>
      <c r="R3330" t="s">
        <v>124</v>
      </c>
      <c r="AM3330" t="s">
        <v>129</v>
      </c>
      <c r="AN3330" t="s">
        <v>130</v>
      </c>
      <c r="AP3330" t="s">
        <v>41</v>
      </c>
      <c r="AU3330" t="s">
        <v>46</v>
      </c>
      <c r="AZ3330" t="s">
        <v>51</v>
      </c>
      <c r="BA3330" t="s">
        <v>52</v>
      </c>
    </row>
    <row r="3331" spans="1:69" x14ac:dyDescent="0.2">
      <c r="A3331" t="s">
        <v>11060</v>
      </c>
      <c r="B3331" t="s">
        <v>4471</v>
      </c>
      <c r="C3331" t="s">
        <v>5594</v>
      </c>
      <c r="D3331" t="s">
        <v>7284</v>
      </c>
      <c r="E3331" t="s">
        <v>11313</v>
      </c>
      <c r="F3331" t="s">
        <v>180</v>
      </c>
      <c r="G3331" t="str">
        <f>HYPERLINK("https://www.ozon.ru/context/detail/id/223364699/#57078792")</f>
        <v>https://www.ozon.ru/context/detail/id/223364699/#57078792</v>
      </c>
      <c r="H3331" t="s">
        <v>181</v>
      </c>
      <c r="I3331" t="s">
        <v>11314</v>
      </c>
      <c r="J3331" t="str">
        <f>HYPERLINK("https://www.ozon.ru/context/client_opinion/ClientGuid/a059c81d-4c3e-4f62-9343-07498e4fc365/")</f>
        <v>https://www.ozon.ru/context/client_opinion/ClientGuid/a059c81d-4c3e-4f62-9343-07498e4fc365/</v>
      </c>
      <c r="L3331" t="s">
        <v>151</v>
      </c>
      <c r="N3331" t="s">
        <v>183</v>
      </c>
      <c r="O3331" t="s">
        <v>7287</v>
      </c>
      <c r="P3331" t="str">
        <f>HYPERLINK("https://www.ozon.ru/context/detail/id/223364699/")</f>
        <v>https://www.ozon.ru/context/detail/id/223364699/</v>
      </c>
      <c r="R3331" t="s">
        <v>184</v>
      </c>
      <c r="S3331" t="s">
        <v>125</v>
      </c>
      <c r="W3331">
        <v>1</v>
      </c>
      <c r="X3331">
        <v>1</v>
      </c>
      <c r="AH3331">
        <v>5</v>
      </c>
      <c r="AM3331" t="s">
        <v>129</v>
      </c>
      <c r="AN3331" t="s">
        <v>130</v>
      </c>
      <c r="AP3331" t="s">
        <v>41</v>
      </c>
      <c r="AT3331" t="s">
        <v>45</v>
      </c>
      <c r="AW3331" t="s">
        <v>48</v>
      </c>
      <c r="AZ3331" t="s">
        <v>51</v>
      </c>
      <c r="BA3331" t="s">
        <v>52</v>
      </c>
    </row>
    <row r="3332" spans="1:69" x14ac:dyDescent="0.2">
      <c r="A3332" t="s">
        <v>11060</v>
      </c>
      <c r="B3332" t="s">
        <v>4471</v>
      </c>
      <c r="C3332" t="s">
        <v>11315</v>
      </c>
      <c r="D3332" t="s">
        <v>11316</v>
      </c>
      <c r="E3332" t="s">
        <v>11317</v>
      </c>
      <c r="F3332" t="s">
        <v>180</v>
      </c>
      <c r="G3332" t="str">
        <f>HYPERLINK("https://www.wildberries.ru/catalog/12606945/detail.aspx?targetUrl=ES#Comments")</f>
        <v>https://www.wildberries.ru/catalog/12606945/detail.aspx?targetUrl=ES#Comments</v>
      </c>
      <c r="H3332" t="s">
        <v>181</v>
      </c>
      <c r="I3332" t="s">
        <v>11318</v>
      </c>
      <c r="J3332" t="str">
        <f>HYPERLINK("https://www.wildberries.ru/profile/w7TDssOkw7PCu8K5wrPCtMK0wrbCscK4")</f>
        <v>https://www.wildberries.ru/profile/w7TDssOkw7PCu8K5wrPCtMK0wrbCscK4</v>
      </c>
      <c r="L3332" t="s">
        <v>151</v>
      </c>
      <c r="N3332" t="s">
        <v>534</v>
      </c>
      <c r="O3332" t="s">
        <v>11316</v>
      </c>
      <c r="P3332" t="str">
        <f>HYPERLINK("https://www.wildberries.ru/catalog/9461515/detail.aspx")</f>
        <v>https://www.wildberries.ru/catalog/9461515/detail.aspx</v>
      </c>
      <c r="R3332" t="s">
        <v>184</v>
      </c>
      <c r="S3332" t="s">
        <v>125</v>
      </c>
      <c r="W3332">
        <v>0</v>
      </c>
      <c r="X3332">
        <v>0</v>
      </c>
      <c r="AH3332">
        <v>5</v>
      </c>
      <c r="AM3332" t="s">
        <v>129</v>
      </c>
      <c r="AN3332" t="s">
        <v>130</v>
      </c>
      <c r="AP3332" t="s">
        <v>41</v>
      </c>
      <c r="AZ3332" t="s">
        <v>51</v>
      </c>
      <c r="BA3332" t="s">
        <v>52</v>
      </c>
      <c r="BK3332" t="s">
        <v>62</v>
      </c>
      <c r="BL3332" t="s">
        <v>63</v>
      </c>
    </row>
    <row r="3333" spans="1:69" x14ac:dyDescent="0.2">
      <c r="A3333" t="s">
        <v>11060</v>
      </c>
      <c r="B3333" t="s">
        <v>11019</v>
      </c>
      <c r="C3333" t="s">
        <v>11319</v>
      </c>
      <c r="D3333" t="s">
        <v>129</v>
      </c>
      <c r="E3333" t="s">
        <v>11320</v>
      </c>
      <c r="F3333" t="s">
        <v>2808</v>
      </c>
      <c r="G3333" t="str">
        <f>HYPERLINK("https://telegram.me/SputnikN1/60877")</f>
        <v>https://telegram.me/SputnikN1/60877</v>
      </c>
      <c r="H3333" t="s">
        <v>119</v>
      </c>
      <c r="I3333" t="s">
        <v>11321</v>
      </c>
      <c r="J3333" t="str">
        <f>HYPERLINK("https://telegram.me/staf90")</f>
        <v>https://telegram.me/staf90</v>
      </c>
      <c r="N3333" t="s">
        <v>143</v>
      </c>
      <c r="O3333" t="s">
        <v>11322</v>
      </c>
      <c r="P3333" t="str">
        <f>HYPERLINK("https://telegram.me/sputnikn1")</f>
        <v>https://telegram.me/sputnikn1</v>
      </c>
      <c r="Q3333">
        <v>590</v>
      </c>
      <c r="R3333" t="s">
        <v>145</v>
      </c>
      <c r="AM3333" t="s">
        <v>129</v>
      </c>
      <c r="AN3333" t="s">
        <v>130</v>
      </c>
      <c r="AP3333" t="s">
        <v>41</v>
      </c>
      <c r="AU3333" t="s">
        <v>46</v>
      </c>
      <c r="AZ3333" t="s">
        <v>51</v>
      </c>
      <c r="BA3333" t="s">
        <v>52</v>
      </c>
    </row>
    <row r="3334" spans="1:69" x14ac:dyDescent="0.2">
      <c r="A3334" t="s">
        <v>11060</v>
      </c>
      <c r="B3334" t="s">
        <v>6906</v>
      </c>
      <c r="C3334" t="s">
        <v>11186</v>
      </c>
      <c r="D3334" t="s">
        <v>1336</v>
      </c>
      <c r="E3334" t="s">
        <v>11323</v>
      </c>
      <c r="F3334" t="s">
        <v>118</v>
      </c>
      <c r="G3334" t="str">
        <f>HYPERLINK("https://www.youtube.com/watch?v=XSvUHFcHCNU&amp;lc=Ugy338SImZ7WAqhbpx14AaABAg.9PMYinNlJSW9PMevQhcxMg")</f>
        <v>https://www.youtube.com/watch?v=XSvUHFcHCNU&amp;lc=Ugy338SImZ7WAqhbpx14AaABAg.9PMYinNlJSW9PMevQhcxMg</v>
      </c>
      <c r="H3334" t="s">
        <v>119</v>
      </c>
      <c r="I3334" t="s">
        <v>11324</v>
      </c>
      <c r="J3334" t="str">
        <f>HYPERLINK("https://www.youtube.com/channel/UCZRm9RcXSJfNF_Q-NNF6nDw")</f>
        <v>https://www.youtube.com/channel/UCZRm9RcXSJfNF_Q-NNF6nDw</v>
      </c>
      <c r="K3334">
        <v>118</v>
      </c>
      <c r="N3334" t="s">
        <v>248</v>
      </c>
      <c r="O3334" t="s">
        <v>1338</v>
      </c>
      <c r="P3334" t="str">
        <f>HYPERLINK("https://www.youtube.com/channel/UCbGvxMcJgZWpeT0ymfG7-RQ")</f>
        <v>https://www.youtube.com/channel/UCbGvxMcJgZWpeT0ymfG7-RQ</v>
      </c>
      <c r="Q3334">
        <v>818</v>
      </c>
      <c r="R3334" t="s">
        <v>124</v>
      </c>
      <c r="W3334">
        <v>0</v>
      </c>
      <c r="X3334">
        <v>0</v>
      </c>
      <c r="AM3334" t="s">
        <v>129</v>
      </c>
      <c r="AN3334" t="s">
        <v>130</v>
      </c>
      <c r="AP3334" t="s">
        <v>41</v>
      </c>
      <c r="AY3334" t="s">
        <v>50</v>
      </c>
      <c r="AZ3334" t="s">
        <v>51</v>
      </c>
      <c r="BA3334" t="s">
        <v>52</v>
      </c>
      <c r="BL3334" t="s">
        <v>63</v>
      </c>
    </row>
    <row r="3335" spans="1:69" x14ac:dyDescent="0.2">
      <c r="A3335" t="s">
        <v>11060</v>
      </c>
      <c r="B3335" t="s">
        <v>3259</v>
      </c>
      <c r="C3335" t="s">
        <v>11186</v>
      </c>
      <c r="D3335" t="s">
        <v>1336</v>
      </c>
      <c r="E3335" t="s">
        <v>11325</v>
      </c>
      <c r="F3335" t="s">
        <v>118</v>
      </c>
      <c r="G3335" t="str">
        <f>HYPERLINK("https://www.youtube.com/watch?v=XSvUHFcHCNU&amp;lc=Ugy338SImZ7WAqhbpx14AaABAg.9PMYinNlJSW9PMekzFoMph")</f>
        <v>https://www.youtube.com/watch?v=XSvUHFcHCNU&amp;lc=Ugy338SImZ7WAqhbpx14AaABAg.9PMYinNlJSW9PMekzFoMph</v>
      </c>
      <c r="H3335" t="s">
        <v>119</v>
      </c>
      <c r="I3335" t="s">
        <v>11324</v>
      </c>
      <c r="J3335" t="str">
        <f>HYPERLINK("https://www.youtube.com/channel/UCZRm9RcXSJfNF_Q-NNF6nDw")</f>
        <v>https://www.youtube.com/channel/UCZRm9RcXSJfNF_Q-NNF6nDw</v>
      </c>
      <c r="K3335">
        <v>118</v>
      </c>
      <c r="N3335" t="s">
        <v>248</v>
      </c>
      <c r="O3335" t="s">
        <v>1338</v>
      </c>
      <c r="P3335" t="str">
        <f>HYPERLINK("https://www.youtube.com/channel/UCbGvxMcJgZWpeT0ymfG7-RQ")</f>
        <v>https://www.youtube.com/channel/UCbGvxMcJgZWpeT0ymfG7-RQ</v>
      </c>
      <c r="Q3335">
        <v>818</v>
      </c>
      <c r="R3335" t="s">
        <v>124</v>
      </c>
      <c r="W3335">
        <v>0</v>
      </c>
      <c r="X3335">
        <v>0</v>
      </c>
      <c r="AM3335" t="s">
        <v>129</v>
      </c>
      <c r="AN3335" t="s">
        <v>130</v>
      </c>
      <c r="AP3335" t="s">
        <v>41</v>
      </c>
      <c r="AZ3335" t="s">
        <v>51</v>
      </c>
      <c r="BA3335" t="s">
        <v>52</v>
      </c>
      <c r="BL3335" t="s">
        <v>63</v>
      </c>
    </row>
    <row r="3336" spans="1:69" x14ac:dyDescent="0.2">
      <c r="A3336" t="s">
        <v>11060</v>
      </c>
      <c r="B3336" t="s">
        <v>10362</v>
      </c>
      <c r="C3336" t="s">
        <v>11186</v>
      </c>
      <c r="D3336" t="s">
        <v>1336</v>
      </c>
      <c r="E3336" t="s">
        <v>11326</v>
      </c>
      <c r="F3336" t="s">
        <v>118</v>
      </c>
      <c r="G3336" t="str">
        <f>HYPERLINK("https://www.youtube.com/watch?v=XSvUHFcHCNU&amp;lc=Ugy338SImZ7WAqhbpx14AaABAg.9PMYinNlJSW9PMdwiFzQ7Y")</f>
        <v>https://www.youtube.com/watch?v=XSvUHFcHCNU&amp;lc=Ugy338SImZ7WAqhbpx14AaABAg.9PMYinNlJSW9PMdwiFzQ7Y</v>
      </c>
      <c r="H3336" t="s">
        <v>119</v>
      </c>
      <c r="I3336" t="s">
        <v>1338</v>
      </c>
      <c r="J3336" t="str">
        <f>HYPERLINK("https://www.youtube.com/channel/UCbGvxMcJgZWpeT0ymfG7-RQ")</f>
        <v>https://www.youtube.com/channel/UCbGvxMcJgZWpeT0ymfG7-RQ</v>
      </c>
      <c r="K3336">
        <v>818</v>
      </c>
      <c r="N3336" t="s">
        <v>248</v>
      </c>
      <c r="O3336" t="s">
        <v>1338</v>
      </c>
      <c r="P3336" t="str">
        <f>HYPERLINK("https://www.youtube.com/channel/UCbGvxMcJgZWpeT0ymfG7-RQ")</f>
        <v>https://www.youtube.com/channel/UCbGvxMcJgZWpeT0ymfG7-RQ</v>
      </c>
      <c r="Q3336">
        <v>818</v>
      </c>
      <c r="R3336" t="s">
        <v>124</v>
      </c>
      <c r="W3336">
        <v>0</v>
      </c>
      <c r="X3336">
        <v>0</v>
      </c>
      <c r="AM3336" t="s">
        <v>129</v>
      </c>
      <c r="AN3336" t="s">
        <v>130</v>
      </c>
      <c r="AP3336" t="s">
        <v>41</v>
      </c>
      <c r="AZ3336" t="s">
        <v>51</v>
      </c>
      <c r="BA3336" t="s">
        <v>52</v>
      </c>
      <c r="BL3336" t="s">
        <v>63</v>
      </c>
    </row>
    <row r="3337" spans="1:69" x14ac:dyDescent="0.2">
      <c r="A3337" t="s">
        <v>11060</v>
      </c>
      <c r="B3337" t="s">
        <v>7934</v>
      </c>
      <c r="C3337" t="s">
        <v>11186</v>
      </c>
      <c r="D3337" t="s">
        <v>1336</v>
      </c>
      <c r="E3337" t="s">
        <v>11327</v>
      </c>
      <c r="F3337" t="s">
        <v>118</v>
      </c>
      <c r="G3337" t="str">
        <f>HYPERLINK("https://www.youtube.com/watch?v=XSvUHFcHCNU&amp;lc=Ugy338SImZ7WAqhbpx14AaABAg")</f>
        <v>https://www.youtube.com/watch?v=XSvUHFcHCNU&amp;lc=Ugy338SImZ7WAqhbpx14AaABAg</v>
      </c>
      <c r="H3337" t="s">
        <v>119</v>
      </c>
      <c r="I3337" t="s">
        <v>11324</v>
      </c>
      <c r="J3337" t="str">
        <f>HYPERLINK("https://www.youtube.com/channel/UCZRm9RcXSJfNF_Q-NNF6nDw")</f>
        <v>https://www.youtube.com/channel/UCZRm9RcXSJfNF_Q-NNF6nDw</v>
      </c>
      <c r="K3337">
        <v>118</v>
      </c>
      <c r="N3337" t="s">
        <v>248</v>
      </c>
      <c r="O3337" t="s">
        <v>1338</v>
      </c>
      <c r="P3337" t="str">
        <f>HYPERLINK("https://www.youtube.com/channel/UCbGvxMcJgZWpeT0ymfG7-RQ")</f>
        <v>https://www.youtube.com/channel/UCbGvxMcJgZWpeT0ymfG7-RQ</v>
      </c>
      <c r="Q3337">
        <v>818</v>
      </c>
      <c r="R3337" t="s">
        <v>124</v>
      </c>
      <c r="W3337">
        <v>0</v>
      </c>
      <c r="X3337">
        <v>0</v>
      </c>
      <c r="AE3337">
        <v>6</v>
      </c>
      <c r="AM3337" t="s">
        <v>129</v>
      </c>
      <c r="AN3337" t="s">
        <v>130</v>
      </c>
      <c r="AP3337" t="s">
        <v>41</v>
      </c>
      <c r="AW3337" t="s">
        <v>48</v>
      </c>
      <c r="AZ3337" t="s">
        <v>51</v>
      </c>
      <c r="BA3337" t="s">
        <v>52</v>
      </c>
    </row>
    <row r="3338" spans="1:69" x14ac:dyDescent="0.2">
      <c r="A3338" t="s">
        <v>11060</v>
      </c>
      <c r="B3338" t="s">
        <v>11328</v>
      </c>
      <c r="C3338" t="s">
        <v>11329</v>
      </c>
      <c r="D3338" t="s">
        <v>5461</v>
      </c>
      <c r="E3338" t="s">
        <v>11330</v>
      </c>
      <c r="F3338" t="s">
        <v>118</v>
      </c>
      <c r="G3338" t="str">
        <f>HYPERLINK("https://vk.com/wall-22935147_368066?w=wall-22935147_368066_r368132")</f>
        <v>https://vk.com/wall-22935147_368066?w=wall-22935147_368066_r368132</v>
      </c>
      <c r="H3338" t="s">
        <v>119</v>
      </c>
      <c r="I3338" t="s">
        <v>3125</v>
      </c>
      <c r="J3338" t="str">
        <f>HYPERLINK("http://vk.com/id163176940")</f>
        <v>http://vk.com/id163176940</v>
      </c>
      <c r="K3338">
        <v>20</v>
      </c>
      <c r="L3338" t="s">
        <v>121</v>
      </c>
      <c r="N3338" t="s">
        <v>122</v>
      </c>
      <c r="O3338" t="s">
        <v>1093</v>
      </c>
      <c r="P3338" t="str">
        <f>HYPERLINK("http://vk.com/club22935147")</f>
        <v>http://vk.com/club22935147</v>
      </c>
      <c r="Q3338">
        <v>8943</v>
      </c>
      <c r="R3338" t="s">
        <v>124</v>
      </c>
      <c r="S3338" t="s">
        <v>125</v>
      </c>
      <c r="T3338" t="s">
        <v>1103</v>
      </c>
      <c r="U3338" t="s">
        <v>1104</v>
      </c>
      <c r="W3338">
        <v>0</v>
      </c>
      <c r="X3338">
        <v>0</v>
      </c>
      <c r="AM3338" t="s">
        <v>129</v>
      </c>
      <c r="AN3338" t="s">
        <v>130</v>
      </c>
      <c r="AP3338" t="s">
        <v>41</v>
      </c>
      <c r="AU3338" t="s">
        <v>46</v>
      </c>
      <c r="AZ3338" t="s">
        <v>51</v>
      </c>
      <c r="BA3338" t="s">
        <v>52</v>
      </c>
    </row>
    <row r="3339" spans="1:69" x14ac:dyDescent="0.2">
      <c r="A3339" t="s">
        <v>11060</v>
      </c>
      <c r="B3339" t="s">
        <v>11331</v>
      </c>
      <c r="C3339" t="s">
        <v>11332</v>
      </c>
      <c r="D3339" t="s">
        <v>5461</v>
      </c>
      <c r="E3339" t="s">
        <v>11333</v>
      </c>
      <c r="F3339" t="s">
        <v>118</v>
      </c>
      <c r="G3339" t="str">
        <f>HYPERLINK("https://vk.com/wall-22935147_368066?w=wall-22935147_368066_r368130")</f>
        <v>https://vk.com/wall-22935147_368066?w=wall-22935147_368066_r368130</v>
      </c>
      <c r="H3339" t="s">
        <v>119</v>
      </c>
      <c r="I3339" t="s">
        <v>3125</v>
      </c>
      <c r="J3339" t="str">
        <f>HYPERLINK("http://vk.com/id163176940")</f>
        <v>http://vk.com/id163176940</v>
      </c>
      <c r="K3339">
        <v>20</v>
      </c>
      <c r="L3339" t="s">
        <v>121</v>
      </c>
      <c r="N3339" t="s">
        <v>122</v>
      </c>
      <c r="O3339" t="s">
        <v>1093</v>
      </c>
      <c r="P3339" t="str">
        <f>HYPERLINK("http://vk.com/club22935147")</f>
        <v>http://vk.com/club22935147</v>
      </c>
      <c r="Q3339">
        <v>8943</v>
      </c>
      <c r="R3339" t="s">
        <v>124</v>
      </c>
      <c r="S3339" t="s">
        <v>125</v>
      </c>
      <c r="T3339" t="s">
        <v>1103</v>
      </c>
      <c r="U3339" t="s">
        <v>1104</v>
      </c>
      <c r="W3339">
        <v>0</v>
      </c>
      <c r="X3339">
        <v>0</v>
      </c>
      <c r="AM3339" t="s">
        <v>129</v>
      </c>
      <c r="AN3339" t="s">
        <v>130</v>
      </c>
      <c r="AP3339" t="s">
        <v>41</v>
      </c>
      <c r="AU3339" t="s">
        <v>46</v>
      </c>
      <c r="AZ3339" t="s">
        <v>51</v>
      </c>
      <c r="BA3339" t="s">
        <v>52</v>
      </c>
    </row>
    <row r="3340" spans="1:69" x14ac:dyDescent="0.2">
      <c r="A3340" t="s">
        <v>11060</v>
      </c>
      <c r="B3340" t="s">
        <v>11334</v>
      </c>
      <c r="C3340" t="s">
        <v>11335</v>
      </c>
      <c r="D3340" t="s">
        <v>11336</v>
      </c>
      <c r="E3340" t="s">
        <v>11337</v>
      </c>
      <c r="F3340" t="s">
        <v>180</v>
      </c>
      <c r="G3340" t="str">
        <f>HYPERLINK("https://www.wildberries.ru/catalog/26122901/detail.aspx?targetUrl=ES#Comments")</f>
        <v>https://www.wildberries.ru/catalog/26122901/detail.aspx?targetUrl=ES#Comments</v>
      </c>
      <c r="H3340" t="s">
        <v>181</v>
      </c>
      <c r="I3340" t="s">
        <v>2198</v>
      </c>
      <c r="J3340" t="str">
        <f>HYPERLINK("https://www.wildberries.ru/profile/w7TDssOkw7PCu8KywrXCscK1wrTCtcK1wrg=")</f>
        <v>https://www.wildberries.ru/profile/w7TDssOkw7PCu8KywrXCscK1wrTCtcK1wrg=</v>
      </c>
      <c r="L3340" t="s">
        <v>151</v>
      </c>
      <c r="N3340" t="s">
        <v>534</v>
      </c>
      <c r="O3340" t="s">
        <v>11336</v>
      </c>
      <c r="P3340" t="str">
        <f>HYPERLINK("https://www.wildberries.ru/catalog/19224397/detail.aspx")</f>
        <v>https://www.wildberries.ru/catalog/19224397/detail.aspx</v>
      </c>
      <c r="R3340" t="s">
        <v>184</v>
      </c>
      <c r="S3340" t="s">
        <v>125</v>
      </c>
      <c r="W3340">
        <v>0</v>
      </c>
      <c r="X3340">
        <v>0</v>
      </c>
      <c r="AH3340">
        <v>5</v>
      </c>
      <c r="AM3340" t="s">
        <v>129</v>
      </c>
      <c r="AN3340" t="s">
        <v>130</v>
      </c>
      <c r="AP3340" t="s">
        <v>41</v>
      </c>
      <c r="AT3340" t="s">
        <v>45</v>
      </c>
      <c r="AZ3340" t="s">
        <v>51</v>
      </c>
      <c r="BA3340" t="s">
        <v>52</v>
      </c>
      <c r="BL3340" t="s">
        <v>63</v>
      </c>
    </row>
    <row r="3341" spans="1:69" x14ac:dyDescent="0.2">
      <c r="A3341" t="s">
        <v>11060</v>
      </c>
      <c r="B3341" t="s">
        <v>3593</v>
      </c>
      <c r="C3341" t="s">
        <v>11338</v>
      </c>
      <c r="D3341" t="s">
        <v>1408</v>
      </c>
      <c r="E3341" t="s">
        <v>11339</v>
      </c>
      <c r="F3341" t="s">
        <v>180</v>
      </c>
      <c r="G3341" t="str">
        <f>HYPERLINK("https://apps.apple.com/ru/app/триколор-кино-и-тв-онлайн/id1412797916#7535902871")</f>
        <v>https://apps.apple.com/ru/app/триколор-кино-и-тв-онлайн/id1412797916#7535902871</v>
      </c>
      <c r="H3341" t="s">
        <v>228</v>
      </c>
      <c r="I3341" t="s">
        <v>11340</v>
      </c>
      <c r="J3341" t="str">
        <f>HYPERLINK("https://itunes.apple.com/reviews?userProfileId=285007691")</f>
        <v>https://itunes.apple.com/reviews?userProfileId=285007691</v>
      </c>
      <c r="N3341" t="s">
        <v>1411</v>
      </c>
      <c r="O3341" t="s">
        <v>1408</v>
      </c>
      <c r="P3341" t="str">
        <f>HYPERLINK("https://apps.apple.com/ru/app/триколор-кино-и-тв-онлайн/id1412797916")</f>
        <v>https://apps.apple.com/ru/app/триколор-кино-и-тв-онлайн/id1412797916</v>
      </c>
      <c r="R3341" t="s">
        <v>184</v>
      </c>
      <c r="S3341" t="s">
        <v>125</v>
      </c>
      <c r="AH3341">
        <v>1</v>
      </c>
      <c r="AM3341" t="s">
        <v>129</v>
      </c>
      <c r="AN3341" t="s">
        <v>130</v>
      </c>
      <c r="AP3341" t="s">
        <v>41</v>
      </c>
      <c r="AZ3341" t="s">
        <v>51</v>
      </c>
      <c r="BA3341" t="s">
        <v>52</v>
      </c>
      <c r="BQ3341" t="s">
        <v>68</v>
      </c>
    </row>
    <row r="3342" spans="1:69" x14ac:dyDescent="0.2">
      <c r="A3342" t="s">
        <v>11341</v>
      </c>
      <c r="B3342" t="s">
        <v>1847</v>
      </c>
      <c r="C3342" t="s">
        <v>11342</v>
      </c>
      <c r="D3342" t="s">
        <v>10944</v>
      </c>
      <c r="E3342" t="s">
        <v>11343</v>
      </c>
      <c r="F3342" t="s">
        <v>118</v>
      </c>
      <c r="G3342" t="str">
        <f>HYPERLINK("https://vk.com/wall-22935147_368103?reply=368128&amp;thread=368106")</f>
        <v>https://vk.com/wall-22935147_368103?reply=368128&amp;thread=368106</v>
      </c>
      <c r="H3342" t="s">
        <v>119</v>
      </c>
      <c r="I3342" t="s">
        <v>7971</v>
      </c>
      <c r="J3342" t="str">
        <f>HYPERLINK("http://vk.com/id4291789")</f>
        <v>http://vk.com/id4291789</v>
      </c>
      <c r="K3342">
        <v>823</v>
      </c>
      <c r="L3342" t="s">
        <v>121</v>
      </c>
      <c r="M3342">
        <v>44</v>
      </c>
      <c r="N3342" t="s">
        <v>122</v>
      </c>
      <c r="O3342" t="s">
        <v>1093</v>
      </c>
      <c r="P3342" t="str">
        <f>HYPERLINK("http://vk.com/club22935147")</f>
        <v>http://vk.com/club22935147</v>
      </c>
      <c r="Q3342">
        <v>8943</v>
      </c>
      <c r="R3342" t="s">
        <v>124</v>
      </c>
      <c r="S3342" t="s">
        <v>125</v>
      </c>
      <c r="T3342" t="s">
        <v>2166</v>
      </c>
      <c r="U3342" t="s">
        <v>7972</v>
      </c>
      <c r="AM3342" t="s">
        <v>129</v>
      </c>
      <c r="AN3342" t="s">
        <v>130</v>
      </c>
      <c r="AP3342" t="s">
        <v>41</v>
      </c>
      <c r="AU3342" t="s">
        <v>46</v>
      </c>
      <c r="AY3342" t="s">
        <v>50</v>
      </c>
      <c r="AZ3342" t="s">
        <v>51</v>
      </c>
      <c r="BA3342" t="s">
        <v>52</v>
      </c>
    </row>
    <row r="3343" spans="1:69" x14ac:dyDescent="0.2">
      <c r="A3343" t="s">
        <v>11341</v>
      </c>
      <c r="B3343" t="s">
        <v>5451</v>
      </c>
      <c r="C3343" t="s">
        <v>11344</v>
      </c>
      <c r="D3343" t="s">
        <v>10944</v>
      </c>
      <c r="E3343" t="s">
        <v>11345</v>
      </c>
      <c r="F3343" t="s">
        <v>118</v>
      </c>
      <c r="G3343" t="str">
        <f>HYPERLINK("https://vk.com/wall-22935147_368103?reply=368127&amp;thread=368113")</f>
        <v>https://vk.com/wall-22935147_368103?reply=368127&amp;thread=368113</v>
      </c>
      <c r="H3343" t="s">
        <v>119</v>
      </c>
      <c r="I3343" t="s">
        <v>7971</v>
      </c>
      <c r="J3343" t="str">
        <f>HYPERLINK("http://vk.com/id4291789")</f>
        <v>http://vk.com/id4291789</v>
      </c>
      <c r="K3343">
        <v>823</v>
      </c>
      <c r="L3343" t="s">
        <v>121</v>
      </c>
      <c r="M3343">
        <v>44</v>
      </c>
      <c r="N3343" t="s">
        <v>122</v>
      </c>
      <c r="O3343" t="s">
        <v>1093</v>
      </c>
      <c r="P3343" t="str">
        <f>HYPERLINK("http://vk.com/club22935147")</f>
        <v>http://vk.com/club22935147</v>
      </c>
      <c r="Q3343">
        <v>8943</v>
      </c>
      <c r="R3343" t="s">
        <v>124</v>
      </c>
      <c r="S3343" t="s">
        <v>125</v>
      </c>
      <c r="T3343" t="s">
        <v>2166</v>
      </c>
      <c r="U3343" t="s">
        <v>7972</v>
      </c>
      <c r="AM3343" t="s">
        <v>129</v>
      </c>
      <c r="AN3343" t="s">
        <v>130</v>
      </c>
      <c r="AP3343" t="s">
        <v>41</v>
      </c>
      <c r="AU3343" t="s">
        <v>46</v>
      </c>
      <c r="AZ3343" t="s">
        <v>51</v>
      </c>
      <c r="BA3343" t="s">
        <v>52</v>
      </c>
    </row>
    <row r="3344" spans="1:69" x14ac:dyDescent="0.2">
      <c r="A3344" t="s">
        <v>11341</v>
      </c>
      <c r="B3344" t="s">
        <v>9147</v>
      </c>
      <c r="C3344" t="s">
        <v>11346</v>
      </c>
      <c r="D3344" t="s">
        <v>11347</v>
      </c>
      <c r="E3344" t="s">
        <v>11348</v>
      </c>
      <c r="F3344" t="s">
        <v>118</v>
      </c>
      <c r="G3344" t="str">
        <f>HYPERLINK("https://vsatman888.livejournal.com/327576.html?thread=11338648#t11338648")</f>
        <v>https://vsatman888.livejournal.com/327576.html?thread=11338648#t11338648</v>
      </c>
      <c r="H3344" t="s">
        <v>119</v>
      </c>
      <c r="I3344" t="s">
        <v>11349</v>
      </c>
      <c r="J3344" t="str">
        <f>HYPERLINK("http://red_army_1917.livejournal.com/")</f>
        <v>http://red_army_1917.livejournal.com/</v>
      </c>
      <c r="K3344">
        <v>120</v>
      </c>
      <c r="N3344" t="s">
        <v>4340</v>
      </c>
      <c r="O3344" t="s">
        <v>11350</v>
      </c>
      <c r="P3344" t="str">
        <f>HYPERLINK("http://vsatman888.livejournal.com/")</f>
        <v>http://vsatman888.livejournal.com/</v>
      </c>
      <c r="Q3344">
        <v>591</v>
      </c>
      <c r="R3344" t="s">
        <v>404</v>
      </c>
      <c r="S3344" t="s">
        <v>125</v>
      </c>
      <c r="T3344" t="s">
        <v>169</v>
      </c>
      <c r="U3344" t="s">
        <v>169</v>
      </c>
      <c r="AM3344" t="s">
        <v>129</v>
      </c>
      <c r="AN3344" t="s">
        <v>130</v>
      </c>
      <c r="AP3344" t="s">
        <v>41</v>
      </c>
      <c r="AU3344" t="s">
        <v>46</v>
      </c>
      <c r="AY3344" t="s">
        <v>50</v>
      </c>
      <c r="AZ3344" t="s">
        <v>51</v>
      </c>
      <c r="BA3344" t="s">
        <v>52</v>
      </c>
    </row>
    <row r="3345" spans="1:69" x14ac:dyDescent="0.2">
      <c r="A3345" t="s">
        <v>11341</v>
      </c>
      <c r="B3345" t="s">
        <v>9147</v>
      </c>
      <c r="C3345" t="s">
        <v>11351</v>
      </c>
      <c r="D3345" t="s">
        <v>129</v>
      </c>
      <c r="E3345" t="s">
        <v>11352</v>
      </c>
      <c r="F3345" t="s">
        <v>118</v>
      </c>
      <c r="G3345" t="str">
        <f>HYPERLINK("https://telegram.me/kod_chat/130144")</f>
        <v>https://telegram.me/kod_chat/130144</v>
      </c>
      <c r="H3345" t="s">
        <v>119</v>
      </c>
      <c r="I3345" t="s">
        <v>11353</v>
      </c>
      <c r="J3345" t="str">
        <f>HYPERLINK("https://telegram.me/sovalevm")</f>
        <v>https://telegram.me/sovalevm</v>
      </c>
      <c r="L3345" t="s">
        <v>121</v>
      </c>
      <c r="N3345" t="s">
        <v>143</v>
      </c>
      <c r="O3345" t="s">
        <v>11354</v>
      </c>
      <c r="P3345" t="str">
        <f>HYPERLINK("https://telegram.me/kod_chat")</f>
        <v>https://telegram.me/kod_chat</v>
      </c>
      <c r="Q3345">
        <v>547</v>
      </c>
      <c r="R3345" t="s">
        <v>145</v>
      </c>
      <c r="AM3345" t="s">
        <v>129</v>
      </c>
      <c r="AN3345" t="s">
        <v>130</v>
      </c>
      <c r="AP3345" t="s">
        <v>41</v>
      </c>
      <c r="AT3345" t="s">
        <v>45</v>
      </c>
      <c r="AY3345" t="s">
        <v>50</v>
      </c>
      <c r="AZ3345" t="s">
        <v>51</v>
      </c>
      <c r="BA3345" t="s">
        <v>52</v>
      </c>
    </row>
    <row r="3346" spans="1:69" x14ac:dyDescent="0.2">
      <c r="A3346" t="s">
        <v>11341</v>
      </c>
      <c r="B3346" t="s">
        <v>10088</v>
      </c>
      <c r="C3346" t="s">
        <v>11355</v>
      </c>
      <c r="D3346" t="s">
        <v>11356</v>
      </c>
      <c r="E3346" t="s">
        <v>11357</v>
      </c>
      <c r="F3346" t="s">
        <v>118</v>
      </c>
      <c r="G3346" t="str">
        <f>HYPERLINK("https://vk.com/wall-40496980_8109980?reply=8110096")</f>
        <v>https://vk.com/wall-40496980_8109980?reply=8110096</v>
      </c>
      <c r="H3346" t="s">
        <v>119</v>
      </c>
      <c r="I3346" t="s">
        <v>11358</v>
      </c>
      <c r="J3346" t="str">
        <f>HYPERLINK("http://vk.com/id30035225")</f>
        <v>http://vk.com/id30035225</v>
      </c>
      <c r="K3346">
        <v>433</v>
      </c>
      <c r="L3346" t="s">
        <v>121</v>
      </c>
      <c r="M3346">
        <v>25</v>
      </c>
      <c r="N3346" t="s">
        <v>122</v>
      </c>
      <c r="O3346" t="s">
        <v>11359</v>
      </c>
      <c r="P3346" t="str">
        <f>HYPERLINK("http://vk.com/club40496980")</f>
        <v>http://vk.com/club40496980</v>
      </c>
      <c r="Q3346">
        <v>237957</v>
      </c>
      <c r="R3346" t="s">
        <v>124</v>
      </c>
      <c r="S3346" t="s">
        <v>125</v>
      </c>
      <c r="AM3346" t="s">
        <v>129</v>
      </c>
      <c r="AN3346" t="s">
        <v>130</v>
      </c>
      <c r="AP3346" t="s">
        <v>41</v>
      </c>
      <c r="AW3346" t="s">
        <v>48</v>
      </c>
      <c r="AZ3346" t="s">
        <v>51</v>
      </c>
      <c r="BA3346" t="s">
        <v>52</v>
      </c>
      <c r="BL3346" t="s">
        <v>63</v>
      </c>
      <c r="BM3346" t="s">
        <v>64</v>
      </c>
    </row>
    <row r="3347" spans="1:69" x14ac:dyDescent="0.2">
      <c r="A3347" t="s">
        <v>11341</v>
      </c>
      <c r="B3347" t="s">
        <v>1871</v>
      </c>
      <c r="C3347" t="s">
        <v>11360</v>
      </c>
      <c r="D3347" t="s">
        <v>11361</v>
      </c>
      <c r="E3347" t="s">
        <v>11362</v>
      </c>
      <c r="F3347" t="s">
        <v>118</v>
      </c>
      <c r="G3347" t="str">
        <f>HYPERLINK("https://bloganten.ru/trikolor-tv-prinuzhdenie-k-obmenu/#comment-79968")</f>
        <v>https://bloganten.ru/trikolor-tv-prinuzhdenie-k-obmenu/#comment-79968</v>
      </c>
      <c r="H3347" t="s">
        <v>119</v>
      </c>
      <c r="I3347" t="s">
        <v>9137</v>
      </c>
      <c r="J3347" t="str">
        <f>HYPERLINK("https://bloganten.ru/trikolor-tv-prinuzhdenie-k-obmenu/#comment-79968")</f>
        <v>https://bloganten.ru/trikolor-tv-prinuzhdenie-k-obmenu/#comment-79968</v>
      </c>
      <c r="L3347" t="s">
        <v>121</v>
      </c>
      <c r="N3347" t="s">
        <v>11363</v>
      </c>
      <c r="R3347" t="s">
        <v>404</v>
      </c>
      <c r="S3347" t="s">
        <v>125</v>
      </c>
      <c r="AM3347" t="s">
        <v>129</v>
      </c>
      <c r="AN3347" t="s">
        <v>130</v>
      </c>
      <c r="AP3347" t="s">
        <v>41</v>
      </c>
      <c r="AU3347" t="s">
        <v>46</v>
      </c>
      <c r="AZ3347" t="s">
        <v>51</v>
      </c>
      <c r="BA3347" t="s">
        <v>52</v>
      </c>
      <c r="BL3347" t="s">
        <v>63</v>
      </c>
    </row>
    <row r="3348" spans="1:69" x14ac:dyDescent="0.2">
      <c r="A3348" t="s">
        <v>11341</v>
      </c>
      <c r="B3348" t="s">
        <v>1261</v>
      </c>
      <c r="C3348" t="s">
        <v>11364</v>
      </c>
      <c r="D3348" t="s">
        <v>11365</v>
      </c>
      <c r="E3348" t="s">
        <v>11366</v>
      </c>
      <c r="F3348" t="s">
        <v>180</v>
      </c>
      <c r="G3348" t="str">
        <f>HYPERLINK("https://obob.tv/txt/obzor-za-nedelyu-s-nashego-telegram-kana/")</f>
        <v>https://obob.tv/txt/obzor-za-nedelyu-s-nashego-telegram-kana/</v>
      </c>
      <c r="H3348" t="s">
        <v>119</v>
      </c>
      <c r="N3348" t="s">
        <v>7197</v>
      </c>
      <c r="R3348" t="s">
        <v>785</v>
      </c>
      <c r="S3348" t="s">
        <v>125</v>
      </c>
      <c r="AJ3348" t="s">
        <v>129</v>
      </c>
      <c r="AK3348" t="s">
        <v>1983</v>
      </c>
      <c r="AL3348" t="str">
        <f>HYPERLINK("https://obob.tv/wp-content/uploads/2021/07/post-75453-0-71011500-1551682202.jpg")</f>
        <v>https://obob.tv/wp-content/uploads/2021/07/post-75453-0-71011500-1551682202.jpg</v>
      </c>
      <c r="AM3348" t="s">
        <v>129</v>
      </c>
      <c r="AN3348" t="s">
        <v>130</v>
      </c>
      <c r="AV3348" t="s">
        <v>47</v>
      </c>
    </row>
    <row r="3349" spans="1:69" x14ac:dyDescent="0.2">
      <c r="A3349" t="s">
        <v>11341</v>
      </c>
      <c r="B3349" t="s">
        <v>11367</v>
      </c>
      <c r="C3349" t="s">
        <v>11368</v>
      </c>
      <c r="D3349" t="s">
        <v>11356</v>
      </c>
      <c r="E3349" t="s">
        <v>11369</v>
      </c>
      <c r="F3349" t="s">
        <v>118</v>
      </c>
      <c r="G3349" t="str">
        <f>HYPERLINK("https://vk.com/wall-40496980_8109980?reply=8110030&amp;thread=8109992")</f>
        <v>https://vk.com/wall-40496980_8109980?reply=8110030&amp;thread=8109992</v>
      </c>
      <c r="H3349" t="s">
        <v>119</v>
      </c>
      <c r="I3349" t="s">
        <v>11370</v>
      </c>
      <c r="J3349" t="str">
        <f>HYPERLINK("http://vk.com/id14536201")</f>
        <v>http://vk.com/id14536201</v>
      </c>
      <c r="K3349">
        <v>208</v>
      </c>
      <c r="L3349" t="s">
        <v>151</v>
      </c>
      <c r="N3349" t="s">
        <v>122</v>
      </c>
      <c r="O3349" t="s">
        <v>11359</v>
      </c>
      <c r="P3349" t="str">
        <f>HYPERLINK("http://vk.com/club40496980")</f>
        <v>http://vk.com/club40496980</v>
      </c>
      <c r="Q3349">
        <v>237957</v>
      </c>
      <c r="R3349" t="s">
        <v>124</v>
      </c>
      <c r="S3349" t="s">
        <v>125</v>
      </c>
      <c r="T3349" t="s">
        <v>1283</v>
      </c>
      <c r="U3349" t="s">
        <v>3811</v>
      </c>
      <c r="AM3349" t="s">
        <v>129</v>
      </c>
      <c r="AN3349" t="s">
        <v>130</v>
      </c>
      <c r="AP3349" t="s">
        <v>41</v>
      </c>
      <c r="AZ3349" t="s">
        <v>51</v>
      </c>
      <c r="BA3349" t="s">
        <v>52</v>
      </c>
      <c r="BL3349" t="s">
        <v>63</v>
      </c>
    </row>
    <row r="3350" spans="1:69" x14ac:dyDescent="0.2">
      <c r="A3350" t="s">
        <v>11341</v>
      </c>
      <c r="B3350" t="s">
        <v>775</v>
      </c>
      <c r="C3350" t="s">
        <v>11371</v>
      </c>
      <c r="D3350" t="s">
        <v>11372</v>
      </c>
      <c r="E3350" t="s">
        <v>11373</v>
      </c>
      <c r="F3350" t="s">
        <v>118</v>
      </c>
      <c r="G3350" t="str">
        <f>HYPERLINK("https://vk.com/wall-53761495_11395?reply=11397")</f>
        <v>https://vk.com/wall-53761495_11395?reply=11397</v>
      </c>
      <c r="H3350" t="s">
        <v>119</v>
      </c>
      <c r="I3350" t="s">
        <v>254</v>
      </c>
      <c r="J3350" t="str">
        <f>HYPERLINK("http://vk.com/id286061518")</f>
        <v>http://vk.com/id286061518</v>
      </c>
      <c r="K3350">
        <v>5170</v>
      </c>
      <c r="L3350" t="s">
        <v>121</v>
      </c>
      <c r="M3350">
        <v>34</v>
      </c>
      <c r="N3350" t="s">
        <v>122</v>
      </c>
      <c r="O3350" t="s">
        <v>11374</v>
      </c>
      <c r="P3350" t="str">
        <f>HYPERLINK("http://vk.com/club53761495")</f>
        <v>http://vk.com/club53761495</v>
      </c>
      <c r="Q3350">
        <v>1670</v>
      </c>
      <c r="R3350" t="s">
        <v>124</v>
      </c>
      <c r="S3350" t="s">
        <v>125</v>
      </c>
      <c r="T3350" t="s">
        <v>256</v>
      </c>
      <c r="U3350" t="s">
        <v>257</v>
      </c>
      <c r="AM3350" t="s">
        <v>129</v>
      </c>
      <c r="AN3350" t="s">
        <v>130</v>
      </c>
      <c r="AP3350" t="s">
        <v>41</v>
      </c>
      <c r="AU3350" t="s">
        <v>46</v>
      </c>
      <c r="AZ3350" t="s">
        <v>51</v>
      </c>
      <c r="BA3350" t="s">
        <v>52</v>
      </c>
    </row>
    <row r="3351" spans="1:69" x14ac:dyDescent="0.2">
      <c r="A3351" t="s">
        <v>11341</v>
      </c>
      <c r="B3351" t="s">
        <v>2309</v>
      </c>
      <c r="C3351" t="s">
        <v>11375</v>
      </c>
      <c r="D3351" t="s">
        <v>11376</v>
      </c>
      <c r="E3351" t="s">
        <v>11377</v>
      </c>
      <c r="F3351" t="s">
        <v>118</v>
      </c>
      <c r="G3351" t="str">
        <f>HYPERLINK("https://vk.com/wall-8665910_1186582?reply=1186623")</f>
        <v>https://vk.com/wall-8665910_1186582?reply=1186623</v>
      </c>
      <c r="H3351" t="s">
        <v>181</v>
      </c>
      <c r="I3351" t="s">
        <v>11378</v>
      </c>
      <c r="J3351" t="str">
        <f>HYPERLINK("http://vk.com/id418204592")</f>
        <v>http://vk.com/id418204592</v>
      </c>
      <c r="K3351">
        <v>37</v>
      </c>
      <c r="L3351" t="s">
        <v>121</v>
      </c>
      <c r="N3351" t="s">
        <v>122</v>
      </c>
      <c r="O3351" t="s">
        <v>1942</v>
      </c>
      <c r="P3351" t="str">
        <f>HYPERLINK("http://vk.com/club8665910")</f>
        <v>http://vk.com/club8665910</v>
      </c>
      <c r="Q3351">
        <v>253332</v>
      </c>
      <c r="R3351" t="s">
        <v>124</v>
      </c>
      <c r="AM3351" t="s">
        <v>129</v>
      </c>
      <c r="AN3351" t="s">
        <v>130</v>
      </c>
      <c r="AP3351" t="s">
        <v>41</v>
      </c>
      <c r="AT3351" t="s">
        <v>45</v>
      </c>
      <c r="AW3351" t="s">
        <v>48</v>
      </c>
      <c r="AZ3351" t="s">
        <v>51</v>
      </c>
      <c r="BA3351" t="s">
        <v>52</v>
      </c>
    </row>
    <row r="3352" spans="1:69" x14ac:dyDescent="0.2">
      <c r="A3352" t="s">
        <v>11341</v>
      </c>
      <c r="B3352" t="s">
        <v>791</v>
      </c>
      <c r="C3352" t="s">
        <v>11379</v>
      </c>
      <c r="D3352" t="s">
        <v>10946</v>
      </c>
      <c r="E3352" t="s">
        <v>11380</v>
      </c>
      <c r="F3352" t="s">
        <v>118</v>
      </c>
      <c r="G3352" t="str">
        <f>HYPERLINK("https://vk.com/wall-22935147_368114?reply=368126")</f>
        <v>https://vk.com/wall-22935147_368114?reply=368126</v>
      </c>
      <c r="H3352" t="s">
        <v>119</v>
      </c>
      <c r="I3352" t="s">
        <v>11278</v>
      </c>
      <c r="J3352" t="str">
        <f>HYPERLINK("http://vk.com/id211796373")</f>
        <v>http://vk.com/id211796373</v>
      </c>
      <c r="K3352">
        <v>175</v>
      </c>
      <c r="L3352" t="s">
        <v>151</v>
      </c>
      <c r="N3352" t="s">
        <v>122</v>
      </c>
      <c r="O3352" t="s">
        <v>1093</v>
      </c>
      <c r="P3352" t="str">
        <f>HYPERLINK("http://vk.com/club22935147")</f>
        <v>http://vk.com/club22935147</v>
      </c>
      <c r="Q3352">
        <v>8943</v>
      </c>
      <c r="R3352" t="s">
        <v>124</v>
      </c>
      <c r="S3352" t="s">
        <v>125</v>
      </c>
      <c r="T3352" t="s">
        <v>169</v>
      </c>
      <c r="U3352" t="s">
        <v>169</v>
      </c>
      <c r="W3352">
        <v>0</v>
      </c>
      <c r="X3352">
        <v>0</v>
      </c>
      <c r="AM3352" t="s">
        <v>129</v>
      </c>
      <c r="AN3352" t="s">
        <v>130</v>
      </c>
      <c r="AP3352" t="s">
        <v>41</v>
      </c>
      <c r="AZ3352" t="s">
        <v>51</v>
      </c>
      <c r="BA3352" t="s">
        <v>52</v>
      </c>
    </row>
    <row r="3353" spans="1:69" x14ac:dyDescent="0.2">
      <c r="A3353" t="s">
        <v>11341</v>
      </c>
      <c r="B3353" t="s">
        <v>2311</v>
      </c>
      <c r="C3353" t="s">
        <v>11381</v>
      </c>
      <c r="D3353" t="s">
        <v>10616</v>
      </c>
      <c r="E3353" t="s">
        <v>11382</v>
      </c>
      <c r="F3353" t="s">
        <v>118</v>
      </c>
      <c r="G3353" t="str">
        <f>HYPERLINK("https://vk.com/wall-175618628_69940?reply=69955&amp;thread=69947")</f>
        <v>https://vk.com/wall-175618628_69940?reply=69955&amp;thread=69947</v>
      </c>
      <c r="H3353" t="s">
        <v>228</v>
      </c>
      <c r="I3353" t="s">
        <v>10618</v>
      </c>
      <c r="J3353" t="str">
        <f>HYPERLINK("http://vk.com/id57039163")</f>
        <v>http://vk.com/id57039163</v>
      </c>
      <c r="K3353">
        <v>1353</v>
      </c>
      <c r="L3353" t="s">
        <v>151</v>
      </c>
      <c r="N3353" t="s">
        <v>122</v>
      </c>
      <c r="O3353" t="s">
        <v>10619</v>
      </c>
      <c r="P3353" t="str">
        <f>HYPERLINK("http://vk.com/club175618628")</f>
        <v>http://vk.com/club175618628</v>
      </c>
      <c r="Q3353">
        <v>11087</v>
      </c>
      <c r="R3353" t="s">
        <v>124</v>
      </c>
      <c r="S3353" t="s">
        <v>125</v>
      </c>
      <c r="T3353" t="s">
        <v>264</v>
      </c>
      <c r="U3353" t="s">
        <v>265</v>
      </c>
      <c r="AM3353" t="s">
        <v>129</v>
      </c>
      <c r="AN3353" t="s">
        <v>130</v>
      </c>
      <c r="AP3353" t="s">
        <v>41</v>
      </c>
      <c r="AT3353" t="s">
        <v>45</v>
      </c>
      <c r="AW3353" t="s">
        <v>48</v>
      </c>
      <c r="AZ3353" t="s">
        <v>51</v>
      </c>
      <c r="BA3353" t="s">
        <v>52</v>
      </c>
    </row>
    <row r="3354" spans="1:69" x14ac:dyDescent="0.2">
      <c r="A3354" t="s">
        <v>11341</v>
      </c>
      <c r="B3354" t="s">
        <v>4084</v>
      </c>
      <c r="C3354" t="s">
        <v>11383</v>
      </c>
      <c r="D3354" t="s">
        <v>1663</v>
      </c>
      <c r="E3354" t="s">
        <v>11384</v>
      </c>
      <c r="F3354" t="s">
        <v>180</v>
      </c>
      <c r="G3354" t="str">
        <f>HYPERLINK("https://www.google.com/maps/reviews/data=!4m5!14m4!1m3!1m2!1s112354989385815685089!2s0x0:0x50d2533cf7df5046?hl=en-NL")</f>
        <v>https://www.google.com/maps/reviews/data=!4m5!14m4!1m3!1m2!1s112354989385815685089!2s0x0:0x50d2533cf7df5046?hl=en-NL</v>
      </c>
      <c r="H3354" t="s">
        <v>119</v>
      </c>
      <c r="I3354" t="s">
        <v>11385</v>
      </c>
      <c r="J3354" t="str">
        <f>HYPERLINK("https://maps.google.com/maps/contrib/112354989385815685089")</f>
        <v>https://maps.google.com/maps/contrib/112354989385815685089</v>
      </c>
      <c r="N3354" t="s">
        <v>673</v>
      </c>
      <c r="O3354" t="s">
        <v>1663</v>
      </c>
      <c r="P3354" t="str">
        <f>HYPERLINK("https://maps.google.com/maps/place/data=!3m1!4b1!4m5!3m4!1s0x0:0x50d2533cf7df5046!8m2!3d54.007470!4d37.520700")</f>
        <v>https://maps.google.com/maps/place/data=!3m1!4b1!4m5!3m4!1s0x0:0x50d2533cf7df5046!8m2!3d54.007470!4d37.520700</v>
      </c>
      <c r="R3354" t="s">
        <v>184</v>
      </c>
      <c r="S3354" t="s">
        <v>125</v>
      </c>
      <c r="T3354" t="s">
        <v>372</v>
      </c>
      <c r="U3354" t="s">
        <v>5807</v>
      </c>
      <c r="W3354">
        <v>0</v>
      </c>
      <c r="X3354">
        <v>0</v>
      </c>
      <c r="AH3354">
        <v>4</v>
      </c>
      <c r="AM3354" t="s">
        <v>129</v>
      </c>
      <c r="AN3354" t="s">
        <v>130</v>
      </c>
      <c r="AP3354" t="s">
        <v>41</v>
      </c>
      <c r="AZ3354" t="s">
        <v>51</v>
      </c>
      <c r="BA3354" t="s">
        <v>52</v>
      </c>
    </row>
    <row r="3355" spans="1:69" x14ac:dyDescent="0.2">
      <c r="A3355" t="s">
        <v>11341</v>
      </c>
      <c r="B3355" t="s">
        <v>4580</v>
      </c>
      <c r="C3355" t="s">
        <v>11153</v>
      </c>
      <c r="D3355" t="s">
        <v>3210</v>
      </c>
      <c r="E3355" t="s">
        <v>11386</v>
      </c>
      <c r="F3355" t="s">
        <v>180</v>
      </c>
      <c r="G3355" t="str">
        <f>HYPERLINK("https://telesputnik.ru/forum/viewtopic.php?f=36&amp;t=75646&amp;start=2060#p2479284")</f>
        <v>https://telesputnik.ru/forum/viewtopic.php?f=36&amp;t=75646&amp;start=2060#p2479284</v>
      </c>
      <c r="H3355" t="s">
        <v>119</v>
      </c>
      <c r="I3355" t="s">
        <v>11387</v>
      </c>
      <c r="J3355" t="str">
        <f>HYPERLINK("https://telesputnik.ru/forum/memberlist.php?mode=viewprofile&amp;u=195322")</f>
        <v>https://telesputnik.ru/forum/memberlist.php?mode=viewprofile&amp;u=195322</v>
      </c>
      <c r="N3355" t="s">
        <v>335</v>
      </c>
      <c r="O3355" t="s">
        <v>909</v>
      </c>
      <c r="P3355" t="str">
        <f>HYPERLINK("https://telesputnik.ru/forum/viewforum.php?f=36")</f>
        <v>https://telesputnik.ru/forum/viewforum.php?f=36</v>
      </c>
      <c r="R3355" t="s">
        <v>295</v>
      </c>
      <c r="S3355" t="s">
        <v>125</v>
      </c>
      <c r="AM3355" t="s">
        <v>129</v>
      </c>
      <c r="AN3355" t="s">
        <v>130</v>
      </c>
      <c r="AP3355" t="s">
        <v>41</v>
      </c>
      <c r="AU3355" t="s">
        <v>46</v>
      </c>
      <c r="AY3355" t="s">
        <v>50</v>
      </c>
      <c r="AZ3355" t="s">
        <v>51</v>
      </c>
      <c r="BA3355" t="s">
        <v>52</v>
      </c>
    </row>
    <row r="3356" spans="1:69" x14ac:dyDescent="0.2">
      <c r="A3356" t="s">
        <v>11341</v>
      </c>
      <c r="B3356" t="s">
        <v>1879</v>
      </c>
      <c r="C3356" t="s">
        <v>11388</v>
      </c>
      <c r="D3356" t="s">
        <v>204</v>
      </c>
      <c r="E3356" t="s">
        <v>11389</v>
      </c>
      <c r="F3356" t="s">
        <v>180</v>
      </c>
      <c r="G3356" t="str">
        <f>HYPERLINK("https://play.google.com/store/apps/details?id=ru.iflex.android.a3colortv&amp;reviewId=gp:AOqpTOHVoNadTzgPFb55FBsdro5h2SBUjwqjMzphzP0PY_XoYv8VIpBQW15mUkAQj5hj8K73qtIHAnHq2I1niA")</f>
        <v>https://play.google.com/store/apps/details?id=ru.iflex.android.a3colortv&amp;reviewId=gp:AOqpTOHVoNadTzgPFb55FBsdro5h2SBUjwqjMzphzP0PY_XoYv8VIpBQW15mUkAQj5hj8K73qtIHAnHq2I1niA</v>
      </c>
      <c r="H3356" t="s">
        <v>181</v>
      </c>
      <c r="I3356" t="s">
        <v>11390</v>
      </c>
      <c r="J3356" t="str">
        <f>HYPERLINK("https://plus.google.com/106117213575296027575")</f>
        <v>https://plus.google.com/106117213575296027575</v>
      </c>
      <c r="K3356">
        <v>0</v>
      </c>
      <c r="L3356" t="s">
        <v>121</v>
      </c>
      <c r="N3356" t="s">
        <v>207</v>
      </c>
      <c r="O3356" t="s">
        <v>204</v>
      </c>
      <c r="P3356" t="str">
        <f>HYPERLINK("https://play.google.com/store/apps/details?id=ru.iflex.android.a3colortv&amp;hl=ru")</f>
        <v>https://play.google.com/store/apps/details?id=ru.iflex.android.a3colortv&amp;hl=ru</v>
      </c>
      <c r="R3356" t="s">
        <v>184</v>
      </c>
      <c r="S3356" t="s">
        <v>125</v>
      </c>
      <c r="W3356">
        <v>0</v>
      </c>
      <c r="X3356">
        <v>0</v>
      </c>
      <c r="AH3356">
        <v>5</v>
      </c>
      <c r="AM3356" t="s">
        <v>129</v>
      </c>
      <c r="AN3356" t="s">
        <v>130</v>
      </c>
      <c r="AP3356" t="s">
        <v>41</v>
      </c>
      <c r="AZ3356" t="s">
        <v>51</v>
      </c>
      <c r="BA3356" t="s">
        <v>52</v>
      </c>
      <c r="BQ3356" t="s">
        <v>68</v>
      </c>
    </row>
    <row r="3357" spans="1:69" x14ac:dyDescent="0.2">
      <c r="A3357" t="s">
        <v>11341</v>
      </c>
      <c r="B3357" t="s">
        <v>1892</v>
      </c>
      <c r="C3357" t="s">
        <v>11391</v>
      </c>
      <c r="D3357" t="s">
        <v>4956</v>
      </c>
      <c r="E3357" t="s">
        <v>11392</v>
      </c>
      <c r="F3357" t="s">
        <v>180</v>
      </c>
      <c r="G3357" t="str">
        <f>HYPERLINK("https://market.yandex.ru/product/254752600/reviews?id=133934105")</f>
        <v>https://market.yandex.ru/product/254752600/reviews?id=133934105</v>
      </c>
      <c r="H3357" t="s">
        <v>119</v>
      </c>
      <c r="I3357" t="s">
        <v>11393</v>
      </c>
      <c r="J3357" t="str">
        <f>HYPERLINK("https://market.yandex.ru/user/nkqdnegjc7aw940tkhzvt55kjr/reviews")</f>
        <v>https://market.yandex.ru/user/nkqdnegjc7aw940tkhzvt55kjr/reviews</v>
      </c>
      <c r="N3357" t="s">
        <v>611</v>
      </c>
      <c r="O3357" t="s">
        <v>4956</v>
      </c>
      <c r="P3357" t="str">
        <f>HYPERLINK("https://market.yandex.ru/product/254752600")</f>
        <v>https://market.yandex.ru/product/254752600</v>
      </c>
      <c r="R3357" t="s">
        <v>184</v>
      </c>
      <c r="S3357" t="s">
        <v>125</v>
      </c>
      <c r="T3357" t="s">
        <v>264</v>
      </c>
      <c r="U3357" t="s">
        <v>265</v>
      </c>
      <c r="W3357">
        <v>0</v>
      </c>
      <c r="X3357">
        <v>0</v>
      </c>
      <c r="AH3357">
        <v>1</v>
      </c>
      <c r="AM3357" t="s">
        <v>129</v>
      </c>
      <c r="AN3357" t="s">
        <v>130</v>
      </c>
      <c r="AP3357" t="s">
        <v>41</v>
      </c>
      <c r="AT3357" t="s">
        <v>45</v>
      </c>
      <c r="AW3357" t="s">
        <v>48</v>
      </c>
      <c r="AZ3357" t="s">
        <v>51</v>
      </c>
      <c r="BA3357" t="s">
        <v>52</v>
      </c>
    </row>
    <row r="3358" spans="1:69" x14ac:dyDescent="0.2">
      <c r="A3358" t="s">
        <v>11341</v>
      </c>
      <c r="B3358" t="s">
        <v>2334</v>
      </c>
      <c r="C3358" t="s">
        <v>11394</v>
      </c>
      <c r="D3358" t="s">
        <v>11395</v>
      </c>
      <c r="E3358" t="s">
        <v>11396</v>
      </c>
      <c r="F3358" t="s">
        <v>118</v>
      </c>
      <c r="G3358" t="str">
        <f>HYPERLINK("https://vk.com/wall-22935147_368046?reply=368124&amp;thread=368088")</f>
        <v>https://vk.com/wall-22935147_368046?reply=368124&amp;thread=368088</v>
      </c>
      <c r="H3358" t="s">
        <v>119</v>
      </c>
      <c r="I3358" t="s">
        <v>11397</v>
      </c>
      <c r="J3358" t="str">
        <f>HYPERLINK("http://vk.com/id110177500")</f>
        <v>http://vk.com/id110177500</v>
      </c>
      <c r="K3358">
        <v>51</v>
      </c>
      <c r="L3358" t="s">
        <v>121</v>
      </c>
      <c r="M3358">
        <v>45</v>
      </c>
      <c r="N3358" t="s">
        <v>122</v>
      </c>
      <c r="O3358" t="s">
        <v>1093</v>
      </c>
      <c r="P3358" t="str">
        <f>HYPERLINK("http://vk.com/club22935147")</f>
        <v>http://vk.com/club22935147</v>
      </c>
      <c r="Q3358">
        <v>8943</v>
      </c>
      <c r="R3358" t="s">
        <v>124</v>
      </c>
      <c r="S3358" t="s">
        <v>125</v>
      </c>
      <c r="T3358" t="s">
        <v>1343</v>
      </c>
      <c r="U3358" t="s">
        <v>1344</v>
      </c>
      <c r="AM3358" t="s">
        <v>129</v>
      </c>
      <c r="AN3358" t="s">
        <v>130</v>
      </c>
      <c r="AP3358" t="s">
        <v>41</v>
      </c>
      <c r="AU3358" t="s">
        <v>46</v>
      </c>
      <c r="AZ3358" t="s">
        <v>51</v>
      </c>
      <c r="BA3358" t="s">
        <v>52</v>
      </c>
      <c r="BL3358" t="s">
        <v>63</v>
      </c>
    </row>
    <row r="3359" spans="1:69" x14ac:dyDescent="0.2">
      <c r="A3359" t="s">
        <v>11341</v>
      </c>
      <c r="B3359" t="s">
        <v>4590</v>
      </c>
      <c r="C3359" t="s">
        <v>11398</v>
      </c>
      <c r="D3359" t="s">
        <v>10944</v>
      </c>
      <c r="E3359" t="s">
        <v>11399</v>
      </c>
      <c r="F3359" t="s">
        <v>118</v>
      </c>
      <c r="G3359" t="str">
        <f>HYPERLINK("https://vk.com/wall-22935147_368103?reply=368123")</f>
        <v>https://vk.com/wall-22935147_368103?reply=368123</v>
      </c>
      <c r="H3359" t="s">
        <v>228</v>
      </c>
      <c r="I3359" t="s">
        <v>11400</v>
      </c>
      <c r="J3359" t="str">
        <f>HYPERLINK("http://vk.com/id87963850")</f>
        <v>http://vk.com/id87963850</v>
      </c>
      <c r="K3359">
        <v>37</v>
      </c>
      <c r="L3359" t="s">
        <v>121</v>
      </c>
      <c r="M3359">
        <v>47</v>
      </c>
      <c r="N3359" t="s">
        <v>122</v>
      </c>
      <c r="O3359" t="s">
        <v>1093</v>
      </c>
      <c r="P3359" t="str">
        <f>HYPERLINK("http://vk.com/club22935147")</f>
        <v>http://vk.com/club22935147</v>
      </c>
      <c r="Q3359">
        <v>8943</v>
      </c>
      <c r="R3359" t="s">
        <v>124</v>
      </c>
      <c r="S3359" t="s">
        <v>125</v>
      </c>
      <c r="T3359" t="s">
        <v>3158</v>
      </c>
      <c r="U3359" t="s">
        <v>11401</v>
      </c>
      <c r="AM3359" t="s">
        <v>129</v>
      </c>
      <c r="AN3359" t="s">
        <v>130</v>
      </c>
      <c r="AP3359" t="s">
        <v>41</v>
      </c>
      <c r="AZ3359" t="s">
        <v>51</v>
      </c>
      <c r="BA3359" t="s">
        <v>52</v>
      </c>
    </row>
    <row r="3360" spans="1:69" x14ac:dyDescent="0.2">
      <c r="A3360" t="s">
        <v>11341</v>
      </c>
      <c r="B3360" t="s">
        <v>4113</v>
      </c>
      <c r="C3360" t="s">
        <v>11402</v>
      </c>
      <c r="D3360" t="s">
        <v>11403</v>
      </c>
      <c r="E3360" t="s">
        <v>11404</v>
      </c>
      <c r="F3360" t="s">
        <v>118</v>
      </c>
      <c r="G3360" t="str">
        <f>HYPERLINK("https://vk.com/topic-49964782_34785991?post=1101")</f>
        <v>https://vk.com/topic-49964782_34785991?post=1101</v>
      </c>
      <c r="H3360" t="s">
        <v>119</v>
      </c>
      <c r="I3360" t="s">
        <v>11405</v>
      </c>
      <c r="J3360" t="str">
        <f>HYPERLINK("http://vk.com/id138740198")</f>
        <v>http://vk.com/id138740198</v>
      </c>
      <c r="K3360">
        <v>113</v>
      </c>
      <c r="L3360" t="s">
        <v>121</v>
      </c>
      <c r="N3360" t="s">
        <v>122</v>
      </c>
      <c r="O3360" t="s">
        <v>11406</v>
      </c>
      <c r="P3360" t="str">
        <f>HYPERLINK("http://vk.com/club49964782")</f>
        <v>http://vk.com/club49964782</v>
      </c>
      <c r="Q3360">
        <v>642</v>
      </c>
      <c r="R3360" t="s">
        <v>124</v>
      </c>
      <c r="S3360" t="s">
        <v>125</v>
      </c>
      <c r="T3360" t="s">
        <v>487</v>
      </c>
      <c r="U3360" t="s">
        <v>1826</v>
      </c>
      <c r="AM3360" t="s">
        <v>129</v>
      </c>
      <c r="AN3360" t="s">
        <v>130</v>
      </c>
      <c r="AP3360" t="s">
        <v>41</v>
      </c>
      <c r="AZ3360" t="s">
        <v>51</v>
      </c>
      <c r="BA3360" t="s">
        <v>52</v>
      </c>
      <c r="BL3360" t="s">
        <v>63</v>
      </c>
    </row>
    <row r="3361" spans="1:100" x14ac:dyDescent="0.2">
      <c r="A3361" t="s">
        <v>11341</v>
      </c>
      <c r="B3361" t="s">
        <v>2354</v>
      </c>
      <c r="C3361" t="s">
        <v>11407</v>
      </c>
      <c r="D3361" t="s">
        <v>11408</v>
      </c>
      <c r="E3361" t="s">
        <v>11409</v>
      </c>
      <c r="F3361" t="s">
        <v>118</v>
      </c>
      <c r="G3361" t="str">
        <f>HYPERLINK("https://vk.com/wall-2224465_73575?reply=73601&amp;thread=73591")</f>
        <v>https://vk.com/wall-2224465_73575?reply=73601&amp;thread=73591</v>
      </c>
      <c r="H3361" t="s">
        <v>181</v>
      </c>
      <c r="I3361" t="s">
        <v>11410</v>
      </c>
      <c r="J3361" t="str">
        <f>HYPERLINK("http://vk.com/id9030685")</f>
        <v>http://vk.com/id9030685</v>
      </c>
      <c r="K3361">
        <v>492</v>
      </c>
      <c r="L3361" t="s">
        <v>121</v>
      </c>
      <c r="N3361" t="s">
        <v>122</v>
      </c>
      <c r="O3361" t="s">
        <v>11411</v>
      </c>
      <c r="P3361" t="str">
        <f>HYPERLINK("http://vk.com/club2224465")</f>
        <v>http://vk.com/club2224465</v>
      </c>
      <c r="Q3361">
        <v>13434</v>
      </c>
      <c r="R3361" t="s">
        <v>124</v>
      </c>
      <c r="S3361" t="s">
        <v>125</v>
      </c>
      <c r="T3361" t="s">
        <v>137</v>
      </c>
      <c r="U3361" t="s">
        <v>137</v>
      </c>
      <c r="AM3361" t="s">
        <v>129</v>
      </c>
      <c r="AN3361" t="s">
        <v>130</v>
      </c>
      <c r="AP3361" t="s">
        <v>41</v>
      </c>
      <c r="AZ3361" t="s">
        <v>51</v>
      </c>
      <c r="BB3361" t="s">
        <v>53</v>
      </c>
      <c r="BM3361" t="s">
        <v>64</v>
      </c>
    </row>
    <row r="3362" spans="1:100" x14ac:dyDescent="0.2">
      <c r="A3362" t="s">
        <v>11341</v>
      </c>
      <c r="B3362" t="s">
        <v>5954</v>
      </c>
      <c r="C3362" t="s">
        <v>11412</v>
      </c>
      <c r="D3362" t="s">
        <v>10922</v>
      </c>
      <c r="E3362" t="s">
        <v>11413</v>
      </c>
      <c r="F3362" t="s">
        <v>118</v>
      </c>
      <c r="G3362" t="str">
        <f>HYPERLINK("https://vk.com/wall-128313794_61585?reply=61651")</f>
        <v>https://vk.com/wall-128313794_61585?reply=61651</v>
      </c>
      <c r="H3362" t="s">
        <v>228</v>
      </c>
      <c r="I3362" t="s">
        <v>11414</v>
      </c>
      <c r="J3362" t="str">
        <f>HYPERLINK("http://vk.com/id450864112")</f>
        <v>http://vk.com/id450864112</v>
      </c>
      <c r="K3362">
        <v>70</v>
      </c>
      <c r="L3362" t="s">
        <v>151</v>
      </c>
      <c r="M3362">
        <v>54</v>
      </c>
      <c r="N3362" t="s">
        <v>122</v>
      </c>
      <c r="O3362" t="s">
        <v>10924</v>
      </c>
      <c r="P3362" t="str">
        <f>HYPERLINK("http://vk.com/club128313794")</f>
        <v>http://vk.com/club128313794</v>
      </c>
      <c r="Q3362">
        <v>6084</v>
      </c>
      <c r="R3362" t="s">
        <v>124</v>
      </c>
      <c r="S3362" t="s">
        <v>125</v>
      </c>
      <c r="T3362" t="s">
        <v>2103</v>
      </c>
      <c r="U3362" t="s">
        <v>11415</v>
      </c>
      <c r="AM3362" t="s">
        <v>129</v>
      </c>
      <c r="AN3362" t="s">
        <v>130</v>
      </c>
      <c r="AP3362" t="s">
        <v>41</v>
      </c>
      <c r="AZ3362" t="s">
        <v>51</v>
      </c>
      <c r="BA3362" t="s">
        <v>52</v>
      </c>
      <c r="BL3362" t="s">
        <v>63</v>
      </c>
      <c r="CV3362" t="s">
        <v>99</v>
      </c>
    </row>
    <row r="3363" spans="1:100" x14ac:dyDescent="0.2">
      <c r="A3363" t="s">
        <v>11341</v>
      </c>
      <c r="B3363" t="s">
        <v>6996</v>
      </c>
      <c r="C3363" t="s">
        <v>11416</v>
      </c>
      <c r="D3363" t="s">
        <v>11417</v>
      </c>
      <c r="E3363" t="s">
        <v>11418</v>
      </c>
      <c r="F3363" t="s">
        <v>180</v>
      </c>
      <c r="G3363" t="str">
        <f>HYPERLINK("https://telesputnik.ru/forum/viewtopic.php?f=39&amp;t=62821&amp;start=60#p2479154")</f>
        <v>https://telesputnik.ru/forum/viewtopic.php?f=39&amp;t=62821&amp;start=60#p2479154</v>
      </c>
      <c r="H3363" t="s">
        <v>119</v>
      </c>
      <c r="I3363" t="s">
        <v>6519</v>
      </c>
      <c r="J3363" t="str">
        <f>HYPERLINK("https://telesputnik.ru/forum/memberlist.php?mode=viewprofile&amp;u=55424")</f>
        <v>https://telesputnik.ru/forum/memberlist.php?mode=viewprofile&amp;u=55424</v>
      </c>
      <c r="N3363" t="s">
        <v>335</v>
      </c>
      <c r="O3363" t="s">
        <v>2553</v>
      </c>
      <c r="P3363" t="str">
        <f>HYPERLINK("https://telesputnik.ru/forum/viewforum.php?f=39")</f>
        <v>https://telesputnik.ru/forum/viewforum.php?f=39</v>
      </c>
      <c r="R3363" t="s">
        <v>295</v>
      </c>
      <c r="S3363" t="s">
        <v>125</v>
      </c>
      <c r="T3363" t="s">
        <v>759</v>
      </c>
      <c r="U3363" t="s">
        <v>2080</v>
      </c>
      <c r="AM3363" t="s">
        <v>129</v>
      </c>
      <c r="AN3363" t="s">
        <v>130</v>
      </c>
      <c r="AP3363" t="s">
        <v>41</v>
      </c>
      <c r="AU3363" t="s">
        <v>46</v>
      </c>
      <c r="AZ3363" t="s">
        <v>51</v>
      </c>
      <c r="BA3363" t="s">
        <v>52</v>
      </c>
    </row>
    <row r="3364" spans="1:100" x14ac:dyDescent="0.2">
      <c r="A3364" t="s">
        <v>11341</v>
      </c>
      <c r="B3364" t="s">
        <v>9811</v>
      </c>
      <c r="C3364" t="s">
        <v>11412</v>
      </c>
      <c r="D3364" t="s">
        <v>204</v>
      </c>
      <c r="E3364" t="s">
        <v>7034</v>
      </c>
      <c r="F3364" t="s">
        <v>180</v>
      </c>
      <c r="G3364" t="str">
        <f>HYPERLINK("https://play.google.com/store/apps/details?id=ru.iflex.android.a3colortv&amp;reviewId=gp:AOqpTOGyaPxyGNrvYkkaSdu12as1WRLlciPHCp1yULbt7TD_1J4nKSkRDSyK-Y1IesI4z5mJBH0HLU8CWSEDhQ")</f>
        <v>https://play.google.com/store/apps/details?id=ru.iflex.android.a3colortv&amp;reviewId=gp:AOqpTOGyaPxyGNrvYkkaSdu12as1WRLlciPHCp1yULbt7TD_1J4nKSkRDSyK-Y1IesI4z5mJBH0HLU8CWSEDhQ</v>
      </c>
      <c r="H3364" t="s">
        <v>181</v>
      </c>
      <c r="I3364" t="s">
        <v>11419</v>
      </c>
      <c r="J3364" t="str">
        <f>HYPERLINK("https://plus.google.com/102840217510287238565")</f>
        <v>https://plus.google.com/102840217510287238565</v>
      </c>
      <c r="L3364" t="s">
        <v>151</v>
      </c>
      <c r="N3364" t="s">
        <v>207</v>
      </c>
      <c r="O3364" t="s">
        <v>204</v>
      </c>
      <c r="P3364" t="str">
        <f>HYPERLINK("https://play.google.com/store/apps/details?id=ru.iflex.android.a3colortv&amp;hl=ru")</f>
        <v>https://play.google.com/store/apps/details?id=ru.iflex.android.a3colortv&amp;hl=ru</v>
      </c>
      <c r="R3364" t="s">
        <v>184</v>
      </c>
      <c r="S3364" t="s">
        <v>125</v>
      </c>
      <c r="W3364">
        <v>0</v>
      </c>
      <c r="X3364">
        <v>0</v>
      </c>
      <c r="AH3364">
        <v>5</v>
      </c>
      <c r="AM3364" t="s">
        <v>129</v>
      </c>
      <c r="AN3364" t="s">
        <v>130</v>
      </c>
      <c r="AP3364" t="s">
        <v>41</v>
      </c>
      <c r="AZ3364" t="s">
        <v>51</v>
      </c>
      <c r="BA3364" t="s">
        <v>52</v>
      </c>
      <c r="BQ3364" t="s">
        <v>68</v>
      </c>
    </row>
    <row r="3365" spans="1:100" x14ac:dyDescent="0.2">
      <c r="A3365" t="s">
        <v>11341</v>
      </c>
      <c r="B3365" t="s">
        <v>7005</v>
      </c>
      <c r="C3365" t="s">
        <v>11420</v>
      </c>
      <c r="D3365" t="s">
        <v>175</v>
      </c>
      <c r="E3365" t="s">
        <v>11421</v>
      </c>
      <c r="F3365" t="s">
        <v>180</v>
      </c>
      <c r="G3365" t="str">
        <f>HYPERLINK("https://yandex.ru/maps/org/184514306742#q_j9KejlLOWF7yup-CuhLv11TYe1HsqRI")</f>
        <v>https://yandex.ru/maps/org/184514306742#q_j9KejlLOWF7yup-CuhLv11TYe1HsqRI</v>
      </c>
      <c r="H3365" t="s">
        <v>228</v>
      </c>
      <c r="I3365" t="s">
        <v>11422</v>
      </c>
      <c r="J3365" t="str">
        <f>HYPERLINK("https://yandex.ru/user/qrb4cwzv6z798f2hukpccxg8vr")</f>
        <v>https://yandex.ru/user/qrb4cwzv6z798f2hukpccxg8vr</v>
      </c>
      <c r="L3365" t="s">
        <v>121</v>
      </c>
      <c r="N3365" t="s">
        <v>236</v>
      </c>
      <c r="O3365" t="s">
        <v>175</v>
      </c>
      <c r="P3365" t="str">
        <f>HYPERLINK("https://yandex.ru/maps/org/184514306742")</f>
        <v>https://yandex.ru/maps/org/184514306742</v>
      </c>
      <c r="R3365" t="s">
        <v>184</v>
      </c>
      <c r="S3365" t="s">
        <v>125</v>
      </c>
      <c r="T3365" t="s">
        <v>153</v>
      </c>
      <c r="U3365" t="s">
        <v>3968</v>
      </c>
      <c r="W3365">
        <v>0</v>
      </c>
      <c r="X3365">
        <v>0</v>
      </c>
      <c r="AH3365">
        <v>1</v>
      </c>
      <c r="AM3365" t="s">
        <v>129</v>
      </c>
      <c r="AN3365" t="s">
        <v>130</v>
      </c>
      <c r="AP3365" t="s">
        <v>41</v>
      </c>
      <c r="AX3365" t="s">
        <v>49</v>
      </c>
      <c r="BD3365" t="s">
        <v>55</v>
      </c>
      <c r="BF3365" t="s">
        <v>57</v>
      </c>
      <c r="CK3365" t="s">
        <v>88</v>
      </c>
    </row>
    <row r="3366" spans="1:100" x14ac:dyDescent="0.2">
      <c r="A3366" t="s">
        <v>11341</v>
      </c>
      <c r="B3366" t="s">
        <v>4141</v>
      </c>
      <c r="C3366" t="s">
        <v>11423</v>
      </c>
      <c r="D3366" t="s">
        <v>129</v>
      </c>
      <c r="E3366" t="s">
        <v>11424</v>
      </c>
      <c r="F3366" t="s">
        <v>180</v>
      </c>
      <c r="G3366" t="str">
        <f>HYPERLINK("https://telegram.me/onoshkochat/375200")</f>
        <v>https://telegram.me/onoshkochat/375200</v>
      </c>
      <c r="H3366" t="s">
        <v>228</v>
      </c>
      <c r="I3366" t="s">
        <v>11425</v>
      </c>
      <c r="J3366" t="str">
        <f>HYPERLINK("https://telegram.me/1704038245")</f>
        <v>https://telegram.me/1704038245</v>
      </c>
      <c r="L3366" t="s">
        <v>121</v>
      </c>
      <c r="N3366" t="s">
        <v>143</v>
      </c>
      <c r="O3366" t="s">
        <v>11426</v>
      </c>
      <c r="P3366" t="str">
        <f>HYPERLINK("https://telegram.me/onoshkochat")</f>
        <v>https://telegram.me/onoshkochat</v>
      </c>
      <c r="Q3366">
        <v>332</v>
      </c>
      <c r="R3366" t="s">
        <v>145</v>
      </c>
      <c r="AM3366" t="s">
        <v>129</v>
      </c>
      <c r="AN3366" t="s">
        <v>130</v>
      </c>
      <c r="AP3366" t="s">
        <v>41</v>
      </c>
      <c r="AT3366" t="s">
        <v>45</v>
      </c>
      <c r="AZ3366" t="s">
        <v>51</v>
      </c>
      <c r="BA3366" t="s">
        <v>52</v>
      </c>
    </row>
    <row r="3367" spans="1:100" x14ac:dyDescent="0.2">
      <c r="A3367" t="s">
        <v>11341</v>
      </c>
      <c r="B3367" t="s">
        <v>11427</v>
      </c>
      <c r="C3367" t="s">
        <v>11428</v>
      </c>
      <c r="D3367" t="s">
        <v>8372</v>
      </c>
      <c r="E3367" t="s">
        <v>11429</v>
      </c>
      <c r="F3367" t="s">
        <v>180</v>
      </c>
      <c r="G3367" t="str">
        <f>HYPERLINK("https://www.wildberries.ru/catalog/25656651/detail.aspx?targetUrl=ES#Comments")</f>
        <v>https://www.wildberries.ru/catalog/25656651/detail.aspx?targetUrl=ES#Comments</v>
      </c>
      <c r="H3367" t="s">
        <v>181</v>
      </c>
      <c r="I3367" t="s">
        <v>6187</v>
      </c>
      <c r="J3367" t="str">
        <f>HYPERLINK("https://www.wildberries.ru/profile/w7TDssOkw7PCu8K1wrTCt8K1wrTCtMK2wrE=")</f>
        <v>https://www.wildberries.ru/profile/w7TDssOkw7PCu8K1wrTCt8K1wrTCtMK2wrE=</v>
      </c>
      <c r="L3367" t="s">
        <v>151</v>
      </c>
      <c r="N3367" t="s">
        <v>534</v>
      </c>
      <c r="O3367" t="s">
        <v>8372</v>
      </c>
      <c r="P3367" t="str">
        <f>HYPERLINK("https://www.wildberries.ru/catalog/18926842/detail.aspx")</f>
        <v>https://www.wildberries.ru/catalog/18926842/detail.aspx</v>
      </c>
      <c r="R3367" t="s">
        <v>184</v>
      </c>
      <c r="S3367" t="s">
        <v>125</v>
      </c>
      <c r="W3367">
        <v>0</v>
      </c>
      <c r="X3367">
        <v>0</v>
      </c>
      <c r="AH3367">
        <v>5</v>
      </c>
      <c r="AM3367" t="s">
        <v>129</v>
      </c>
      <c r="AN3367" t="s">
        <v>130</v>
      </c>
      <c r="AP3367" t="s">
        <v>41</v>
      </c>
      <c r="AT3367" t="s">
        <v>45</v>
      </c>
      <c r="AZ3367" t="s">
        <v>51</v>
      </c>
      <c r="BA3367" t="s">
        <v>52</v>
      </c>
    </row>
    <row r="3368" spans="1:100" x14ac:dyDescent="0.2">
      <c r="A3368" t="s">
        <v>11341</v>
      </c>
      <c r="B3368" t="s">
        <v>3352</v>
      </c>
      <c r="C3368" t="s">
        <v>11153</v>
      </c>
      <c r="D3368" t="s">
        <v>3210</v>
      </c>
      <c r="E3368" t="s">
        <v>11430</v>
      </c>
      <c r="F3368" t="s">
        <v>180</v>
      </c>
      <c r="G3368" t="str">
        <f>HYPERLINK("https://telesputnik.ru/forum/viewtopic.php?f=36&amp;t=75646&amp;start=2060#p2479280")</f>
        <v>https://telesputnik.ru/forum/viewtopic.php?f=36&amp;t=75646&amp;start=2060#p2479280</v>
      </c>
      <c r="H3368" t="s">
        <v>119</v>
      </c>
      <c r="I3368" t="s">
        <v>1160</v>
      </c>
      <c r="J3368" t="str">
        <f>HYPERLINK("https://telesputnik.ru/forum/memberlist.php?mode=viewprofile&amp;u=304630")</f>
        <v>https://telesputnik.ru/forum/memberlist.php?mode=viewprofile&amp;u=304630</v>
      </c>
      <c r="L3368" t="s">
        <v>121</v>
      </c>
      <c r="N3368" t="s">
        <v>335</v>
      </c>
      <c r="O3368" t="s">
        <v>909</v>
      </c>
      <c r="P3368" t="str">
        <f>HYPERLINK("https://telesputnik.ru/forum/viewforum.php?f=36")</f>
        <v>https://telesputnik.ru/forum/viewforum.php?f=36</v>
      </c>
      <c r="R3368" t="s">
        <v>295</v>
      </c>
      <c r="S3368" t="s">
        <v>125</v>
      </c>
      <c r="T3368" t="s">
        <v>667</v>
      </c>
      <c r="U3368" t="s">
        <v>668</v>
      </c>
      <c r="AM3368" t="s">
        <v>129</v>
      </c>
      <c r="AN3368" t="s">
        <v>130</v>
      </c>
      <c r="AP3368" t="s">
        <v>41</v>
      </c>
      <c r="AU3368" t="s">
        <v>46</v>
      </c>
      <c r="AZ3368" t="s">
        <v>51</v>
      </c>
      <c r="BA3368" t="s">
        <v>52</v>
      </c>
    </row>
    <row r="3369" spans="1:100" x14ac:dyDescent="0.2">
      <c r="A3369" t="s">
        <v>11341</v>
      </c>
      <c r="B3369" t="s">
        <v>1930</v>
      </c>
      <c r="C3369" t="s">
        <v>11412</v>
      </c>
      <c r="D3369" t="s">
        <v>204</v>
      </c>
      <c r="E3369" t="s">
        <v>11431</v>
      </c>
      <c r="F3369" t="s">
        <v>180</v>
      </c>
      <c r="G3369" t="str">
        <f>HYPERLINK("https://play.google.com/store/apps/details?id=ru.iflex.android.a3colortv&amp;reviewId=gp:AOqpTOHZ5JYScHSL-3N6a0eHcw-HQs1sl8V9wOEt6QuJhnklOCARYHWgzB3xBQK07RHvqXM_siB3IKUY3nHvNg")</f>
        <v>https://play.google.com/store/apps/details?id=ru.iflex.android.a3colortv&amp;reviewId=gp:AOqpTOHZ5JYScHSL-3N6a0eHcw-HQs1sl8V9wOEt6QuJhnklOCARYHWgzB3xBQK07RHvqXM_siB3IKUY3nHvNg</v>
      </c>
      <c r="H3369" t="s">
        <v>181</v>
      </c>
      <c r="I3369" t="s">
        <v>11432</v>
      </c>
      <c r="J3369" t="str">
        <f>HYPERLINK("https://plus.google.com/114436280297399897682")</f>
        <v>https://plus.google.com/114436280297399897682</v>
      </c>
      <c r="L3369" t="s">
        <v>121</v>
      </c>
      <c r="N3369" t="s">
        <v>207</v>
      </c>
      <c r="O3369" t="s">
        <v>204</v>
      </c>
      <c r="P3369" t="str">
        <f>HYPERLINK("https://play.google.com/store/apps/details?id=ru.iflex.android.a3colortv&amp;hl=ru")</f>
        <v>https://play.google.com/store/apps/details?id=ru.iflex.android.a3colortv&amp;hl=ru</v>
      </c>
      <c r="R3369" t="s">
        <v>184</v>
      </c>
      <c r="S3369" t="s">
        <v>125</v>
      </c>
      <c r="W3369">
        <v>0</v>
      </c>
      <c r="X3369">
        <v>0</v>
      </c>
      <c r="AH3369">
        <v>5</v>
      </c>
      <c r="AM3369" t="s">
        <v>129</v>
      </c>
      <c r="AN3369" t="s">
        <v>130</v>
      </c>
      <c r="AP3369" t="s">
        <v>41</v>
      </c>
      <c r="AZ3369" t="s">
        <v>51</v>
      </c>
      <c r="BA3369" t="s">
        <v>52</v>
      </c>
      <c r="BQ3369" t="s">
        <v>68</v>
      </c>
    </row>
    <row r="3370" spans="1:100" x14ac:dyDescent="0.2">
      <c r="A3370" t="s">
        <v>11341</v>
      </c>
      <c r="B3370" t="s">
        <v>4628</v>
      </c>
      <c r="C3370" t="s">
        <v>11433</v>
      </c>
      <c r="D3370" t="s">
        <v>11148</v>
      </c>
      <c r="E3370" t="s">
        <v>11434</v>
      </c>
      <c r="F3370" t="s">
        <v>118</v>
      </c>
      <c r="G3370" t="str">
        <f>HYPERLINK("https://vk.com/wall-61751856_1407200?reply=1407238")</f>
        <v>https://vk.com/wall-61751856_1407200?reply=1407238</v>
      </c>
      <c r="H3370" t="s">
        <v>119</v>
      </c>
      <c r="I3370" t="s">
        <v>11435</v>
      </c>
      <c r="J3370" t="str">
        <f>HYPERLINK("http://vk.com/id511986182")</f>
        <v>http://vk.com/id511986182</v>
      </c>
      <c r="K3370">
        <v>313</v>
      </c>
      <c r="L3370" t="s">
        <v>151</v>
      </c>
      <c r="N3370" t="s">
        <v>122</v>
      </c>
      <c r="O3370" t="s">
        <v>11151</v>
      </c>
      <c r="P3370" t="str">
        <f>HYPERLINK("http://vk.com/club61751856")</f>
        <v>http://vk.com/club61751856</v>
      </c>
      <c r="Q3370">
        <v>57075</v>
      </c>
      <c r="R3370" t="s">
        <v>124</v>
      </c>
      <c r="S3370" t="s">
        <v>125</v>
      </c>
      <c r="T3370" t="s">
        <v>1819</v>
      </c>
      <c r="U3370" t="s">
        <v>2677</v>
      </c>
      <c r="AM3370" t="s">
        <v>129</v>
      </c>
      <c r="AN3370" t="s">
        <v>130</v>
      </c>
      <c r="AP3370" t="s">
        <v>41</v>
      </c>
      <c r="AW3370" t="s">
        <v>48</v>
      </c>
      <c r="AZ3370" t="s">
        <v>51</v>
      </c>
      <c r="BA3370" t="s">
        <v>52</v>
      </c>
    </row>
    <row r="3371" spans="1:100" x14ac:dyDescent="0.2">
      <c r="A3371" t="s">
        <v>11341</v>
      </c>
      <c r="B3371" t="s">
        <v>5548</v>
      </c>
      <c r="C3371" t="s">
        <v>11436</v>
      </c>
      <c r="D3371" t="s">
        <v>11437</v>
      </c>
      <c r="E3371" t="s">
        <v>11438</v>
      </c>
      <c r="F3371" t="s">
        <v>118</v>
      </c>
      <c r="G3371" t="str">
        <f>HYPERLINK("https://telegram.me/PornoMemesChat/2457825")</f>
        <v>https://telegram.me/PornoMemesChat/2457825</v>
      </c>
      <c r="H3371" t="s">
        <v>119</v>
      </c>
      <c r="I3371" t="s">
        <v>11439</v>
      </c>
      <c r="J3371" t="str">
        <f>HYPERLINK("https://telegram.me/obitokitava")</f>
        <v>https://telegram.me/obitokitava</v>
      </c>
      <c r="N3371" t="s">
        <v>143</v>
      </c>
      <c r="O3371" t="s">
        <v>11440</v>
      </c>
      <c r="P3371" t="str">
        <f>HYPERLINK("https://telegram.me/pornomemeschat")</f>
        <v>https://telegram.me/pornomemeschat</v>
      </c>
      <c r="Q3371">
        <v>843</v>
      </c>
      <c r="R3371" t="s">
        <v>145</v>
      </c>
      <c r="AM3371" t="s">
        <v>129</v>
      </c>
      <c r="AN3371" t="s">
        <v>130</v>
      </c>
      <c r="AP3371" t="s">
        <v>41</v>
      </c>
      <c r="AZ3371" t="s">
        <v>51</v>
      </c>
      <c r="BA3371" t="s">
        <v>52</v>
      </c>
    </row>
    <row r="3372" spans="1:100" x14ac:dyDescent="0.2">
      <c r="A3372" t="s">
        <v>11341</v>
      </c>
      <c r="B3372" t="s">
        <v>1367</v>
      </c>
      <c r="C3372" t="s">
        <v>11441</v>
      </c>
      <c r="D3372" t="s">
        <v>11442</v>
      </c>
      <c r="E3372" t="s">
        <v>11443</v>
      </c>
      <c r="F3372" t="s">
        <v>118</v>
      </c>
      <c r="G3372" t="str">
        <f>HYPERLINK("https://www.youtube.com/watch?v=U9SpKEwq6vc&amp;lc=UgxMvN9A_NXLGA7GnwN4AaABAg")</f>
        <v>https://www.youtube.com/watch?v=U9SpKEwq6vc&amp;lc=UgxMvN9A_NXLGA7GnwN4AaABAg</v>
      </c>
      <c r="H3372" t="s">
        <v>119</v>
      </c>
      <c r="I3372" t="s">
        <v>11444</v>
      </c>
      <c r="J3372" t="str">
        <f>HYPERLINK("https://www.youtube.com/channel/UCNbriuw9qYBdFuoxK0Vfddg")</f>
        <v>https://www.youtube.com/channel/UCNbriuw9qYBdFuoxK0Vfddg</v>
      </c>
      <c r="K3372">
        <v>1170</v>
      </c>
      <c r="L3372" t="s">
        <v>121</v>
      </c>
      <c r="N3372" t="s">
        <v>248</v>
      </c>
      <c r="O3372" t="s">
        <v>11445</v>
      </c>
      <c r="P3372" t="str">
        <f>HYPERLINK("https://www.youtube.com/channel/UChxAQC8yk67IPax61nmh36A")</f>
        <v>https://www.youtube.com/channel/UChxAQC8yk67IPax61nmh36A</v>
      </c>
      <c r="Q3372">
        <v>357</v>
      </c>
      <c r="R3372" t="s">
        <v>124</v>
      </c>
      <c r="S3372" t="s">
        <v>125</v>
      </c>
      <c r="W3372">
        <v>1</v>
      </c>
      <c r="X3372">
        <v>1</v>
      </c>
      <c r="AE3372">
        <v>0</v>
      </c>
      <c r="AM3372" t="s">
        <v>129</v>
      </c>
      <c r="AN3372" t="s">
        <v>130</v>
      </c>
      <c r="AP3372" t="s">
        <v>41</v>
      </c>
      <c r="AU3372" t="s">
        <v>46</v>
      </c>
      <c r="AZ3372" t="s">
        <v>51</v>
      </c>
      <c r="BA3372" t="s">
        <v>52</v>
      </c>
      <c r="BL3372" t="s">
        <v>63</v>
      </c>
    </row>
    <row r="3373" spans="1:100" x14ac:dyDescent="0.2">
      <c r="A3373" t="s">
        <v>11341</v>
      </c>
      <c r="B3373" t="s">
        <v>830</v>
      </c>
      <c r="C3373" t="s">
        <v>11446</v>
      </c>
      <c r="D3373" t="s">
        <v>11447</v>
      </c>
      <c r="E3373" t="s">
        <v>11448</v>
      </c>
      <c r="F3373" t="s">
        <v>118</v>
      </c>
      <c r="G3373" t="str">
        <f>HYPERLINK("https://telegram.me/no_templates_chat/11487")</f>
        <v>https://telegram.me/no_templates_chat/11487</v>
      </c>
      <c r="H3373" t="s">
        <v>119</v>
      </c>
      <c r="I3373" t="s">
        <v>11449</v>
      </c>
      <c r="J3373" t="str">
        <f>HYPERLINK("https://telegram.me/michraz")</f>
        <v>https://telegram.me/michraz</v>
      </c>
      <c r="L3373" t="s">
        <v>121</v>
      </c>
      <c r="N3373" t="s">
        <v>143</v>
      </c>
      <c r="O3373" t="s">
        <v>11450</v>
      </c>
      <c r="P3373" t="str">
        <f>HYPERLINK("https://telegram.me/no_templates_chat")</f>
        <v>https://telegram.me/no_templates_chat</v>
      </c>
      <c r="Q3373">
        <v>43</v>
      </c>
      <c r="R3373" t="s">
        <v>145</v>
      </c>
      <c r="AM3373" t="s">
        <v>129</v>
      </c>
      <c r="AN3373" t="s">
        <v>130</v>
      </c>
      <c r="AP3373" t="s">
        <v>41</v>
      </c>
      <c r="AZ3373" t="s">
        <v>51</v>
      </c>
      <c r="BB3373" t="s">
        <v>53</v>
      </c>
    </row>
    <row r="3374" spans="1:100" x14ac:dyDescent="0.2">
      <c r="A3374" t="s">
        <v>11341</v>
      </c>
      <c r="B3374" t="s">
        <v>836</v>
      </c>
      <c r="C3374" t="s">
        <v>11451</v>
      </c>
      <c r="D3374" t="s">
        <v>175</v>
      </c>
      <c r="E3374" t="s">
        <v>11452</v>
      </c>
      <c r="F3374" t="s">
        <v>180</v>
      </c>
      <c r="G3374" t="str">
        <f>HYPERLINK("https://yandex.ru/maps/org/129757974868#pLZ3smNlNO1lJkxJH5q4yxT6YwSr4ylC")</f>
        <v>https://yandex.ru/maps/org/129757974868#pLZ3smNlNO1lJkxJH5q4yxT6YwSr4ylC</v>
      </c>
      <c r="H3374" t="s">
        <v>228</v>
      </c>
      <c r="I3374" t="s">
        <v>11453</v>
      </c>
      <c r="J3374" t="str">
        <f>HYPERLINK("https://yandex.ru/user/cd9aktb15wqveb2q4qmr9xtv60")</f>
        <v>https://yandex.ru/user/cd9aktb15wqveb2q4qmr9xtv60</v>
      </c>
      <c r="N3374" t="s">
        <v>236</v>
      </c>
      <c r="O3374" t="s">
        <v>175</v>
      </c>
      <c r="P3374" t="str">
        <f>HYPERLINK("https://yandex.ru/maps/org/129757974868")</f>
        <v>https://yandex.ru/maps/org/129757974868</v>
      </c>
      <c r="R3374" t="s">
        <v>184</v>
      </c>
      <c r="S3374" t="s">
        <v>125</v>
      </c>
      <c r="T3374" t="s">
        <v>1027</v>
      </c>
      <c r="U3374" t="s">
        <v>1028</v>
      </c>
      <c r="W3374">
        <v>0</v>
      </c>
      <c r="X3374">
        <v>0</v>
      </c>
      <c r="AH3374">
        <v>1</v>
      </c>
      <c r="AM3374" t="s">
        <v>129</v>
      </c>
      <c r="AN3374" t="s">
        <v>130</v>
      </c>
      <c r="AP3374" t="s">
        <v>41</v>
      </c>
      <c r="AT3374" t="s">
        <v>45</v>
      </c>
      <c r="AU3374" t="s">
        <v>46</v>
      </c>
      <c r="AY3374" t="s">
        <v>50</v>
      </c>
      <c r="BA3374" t="s">
        <v>52</v>
      </c>
      <c r="BF3374" t="s">
        <v>57</v>
      </c>
      <c r="BL3374" t="s">
        <v>63</v>
      </c>
      <c r="CK3374" t="s">
        <v>88</v>
      </c>
    </row>
    <row r="3375" spans="1:100" x14ac:dyDescent="0.2">
      <c r="A3375" t="s">
        <v>11341</v>
      </c>
      <c r="B3375" t="s">
        <v>2417</v>
      </c>
      <c r="C3375" t="s">
        <v>11186</v>
      </c>
      <c r="D3375" t="s">
        <v>11454</v>
      </c>
      <c r="E3375" t="s">
        <v>11455</v>
      </c>
      <c r="F3375" t="s">
        <v>118</v>
      </c>
      <c r="G3375" t="str">
        <f>HYPERLINK("https://www.youtube.com/watch?v=SXiLCG6QXjU&amp;lc=Ugy5Woq9leIS47L73Hl4AaABAg")</f>
        <v>https://www.youtube.com/watch?v=SXiLCG6QXjU&amp;lc=Ugy5Woq9leIS47L73Hl4AaABAg</v>
      </c>
      <c r="H3375" t="s">
        <v>119</v>
      </c>
      <c r="I3375" t="s">
        <v>11456</v>
      </c>
      <c r="J3375" t="str">
        <f>HYPERLINK("https://www.youtube.com/channel/UCWYh9s8sfWskdJve9XBPB6g")</f>
        <v>https://www.youtube.com/channel/UCWYh9s8sfWskdJve9XBPB6g</v>
      </c>
      <c r="K3375">
        <v>0</v>
      </c>
      <c r="L3375" t="s">
        <v>121</v>
      </c>
      <c r="N3375" t="s">
        <v>248</v>
      </c>
      <c r="O3375" t="s">
        <v>1338</v>
      </c>
      <c r="P3375" t="str">
        <f>HYPERLINK("https://www.youtube.com/channel/UCbGvxMcJgZWpeT0ymfG7-RQ")</f>
        <v>https://www.youtube.com/channel/UCbGvxMcJgZWpeT0ymfG7-RQ</v>
      </c>
      <c r="Q3375">
        <v>818</v>
      </c>
      <c r="R3375" t="s">
        <v>124</v>
      </c>
      <c r="W3375">
        <v>0</v>
      </c>
      <c r="X3375">
        <v>0</v>
      </c>
      <c r="AE3375">
        <v>1</v>
      </c>
      <c r="AM3375" t="s">
        <v>129</v>
      </c>
      <c r="AN3375" t="s">
        <v>130</v>
      </c>
      <c r="AP3375" t="s">
        <v>41</v>
      </c>
      <c r="AX3375" t="s">
        <v>49</v>
      </c>
      <c r="AZ3375" t="s">
        <v>51</v>
      </c>
      <c r="BA3375" t="s">
        <v>52</v>
      </c>
      <c r="BL3375" t="s">
        <v>63</v>
      </c>
    </row>
    <row r="3376" spans="1:100" x14ac:dyDescent="0.2">
      <c r="A3376" t="s">
        <v>11341</v>
      </c>
      <c r="B3376" t="s">
        <v>285</v>
      </c>
      <c r="C3376" t="s">
        <v>5419</v>
      </c>
      <c r="D3376" t="s">
        <v>5038</v>
      </c>
      <c r="E3376" t="s">
        <v>11457</v>
      </c>
      <c r="F3376" t="s">
        <v>180</v>
      </c>
      <c r="G3376" t="str">
        <f>HYPERLINK("https://www.ozon.ru/context/detail/id/202442051/#57019962")</f>
        <v>https://www.ozon.ru/context/detail/id/202442051/#57019962</v>
      </c>
      <c r="H3376" t="s">
        <v>181</v>
      </c>
      <c r="I3376" t="s">
        <v>11458</v>
      </c>
      <c r="J3376" t="str">
        <f>HYPERLINK("https://www.ozon.ru/context/client_opinion/ClientGuid/261de6ac-fb71-4b86-bc5d-a3765968ac68/")</f>
        <v>https://www.ozon.ru/context/client_opinion/ClientGuid/261de6ac-fb71-4b86-bc5d-a3765968ac68/</v>
      </c>
      <c r="L3376" t="s">
        <v>121</v>
      </c>
      <c r="N3376" t="s">
        <v>183</v>
      </c>
      <c r="O3376" t="s">
        <v>5038</v>
      </c>
      <c r="P3376" t="str">
        <f>HYPERLINK("https://www.ozon.ru/context/detail/id/202442051/")</f>
        <v>https://www.ozon.ru/context/detail/id/202442051/</v>
      </c>
      <c r="R3376" t="s">
        <v>184</v>
      </c>
      <c r="S3376" t="s">
        <v>125</v>
      </c>
      <c r="W3376">
        <v>7</v>
      </c>
      <c r="X3376">
        <v>7</v>
      </c>
      <c r="AH3376">
        <v>5</v>
      </c>
      <c r="AM3376" t="s">
        <v>129</v>
      </c>
      <c r="AN3376" t="s">
        <v>130</v>
      </c>
      <c r="AP3376" t="s">
        <v>41</v>
      </c>
      <c r="AY3376" t="s">
        <v>50</v>
      </c>
      <c r="AZ3376" t="s">
        <v>51</v>
      </c>
      <c r="BA3376" t="s">
        <v>52</v>
      </c>
      <c r="BO3376" t="s">
        <v>66</v>
      </c>
    </row>
    <row r="3377" spans="1:69" x14ac:dyDescent="0.2">
      <c r="A3377" t="s">
        <v>11341</v>
      </c>
      <c r="B3377" t="s">
        <v>8453</v>
      </c>
      <c r="C3377" t="s">
        <v>7786</v>
      </c>
      <c r="D3377" t="s">
        <v>7787</v>
      </c>
      <c r="E3377" t="s">
        <v>11459</v>
      </c>
      <c r="F3377" t="s">
        <v>180</v>
      </c>
      <c r="G3377" t="str">
        <f>HYPERLINK("https://www.ozon.ru/context/detail/id/220369466/#57016413")</f>
        <v>https://www.ozon.ru/context/detail/id/220369466/#57016413</v>
      </c>
      <c r="H3377" t="s">
        <v>119</v>
      </c>
      <c r="I3377" t="s">
        <v>6159</v>
      </c>
      <c r="J3377" t="str">
        <f>HYPERLINK("https://www.ozon.ru/context/client_opinion/ClientGuid/42c24c70-e662-40f3-85fa-9025eac1c407/")</f>
        <v>https://www.ozon.ru/context/client_opinion/ClientGuid/42c24c70-e662-40f3-85fa-9025eac1c407/</v>
      </c>
      <c r="L3377" t="s">
        <v>121</v>
      </c>
      <c r="N3377" t="s">
        <v>183</v>
      </c>
      <c r="O3377" t="s">
        <v>7787</v>
      </c>
      <c r="P3377" t="str">
        <f>HYPERLINK("https://www.ozon.ru/context/detail/id/220369466/")</f>
        <v>https://www.ozon.ru/context/detail/id/220369466/</v>
      </c>
      <c r="R3377" t="s">
        <v>184</v>
      </c>
      <c r="S3377" t="s">
        <v>125</v>
      </c>
      <c r="W3377">
        <v>0</v>
      </c>
      <c r="X3377">
        <v>0</v>
      </c>
      <c r="AH3377">
        <v>1</v>
      </c>
      <c r="AM3377" t="s">
        <v>129</v>
      </c>
      <c r="AN3377" t="s">
        <v>130</v>
      </c>
      <c r="AP3377" t="s">
        <v>41</v>
      </c>
      <c r="AZ3377" t="s">
        <v>51</v>
      </c>
      <c r="BA3377" t="s">
        <v>52</v>
      </c>
      <c r="BK3377" t="s">
        <v>62</v>
      </c>
    </row>
    <row r="3378" spans="1:69" x14ac:dyDescent="0.2">
      <c r="A3378" t="s">
        <v>11341</v>
      </c>
      <c r="B3378" t="s">
        <v>3390</v>
      </c>
      <c r="C3378" t="s">
        <v>8630</v>
      </c>
      <c r="D3378" t="s">
        <v>4903</v>
      </c>
      <c r="E3378" t="s">
        <v>11460</v>
      </c>
      <c r="F3378" t="s">
        <v>180</v>
      </c>
      <c r="G3378" t="str">
        <f>HYPERLINK("https://www.ozon.ru/context/detail/id/241264642/#57015128")</f>
        <v>https://www.ozon.ru/context/detail/id/241264642/#57015128</v>
      </c>
      <c r="H3378" t="s">
        <v>181</v>
      </c>
      <c r="I3378" t="s">
        <v>11461</v>
      </c>
      <c r="J3378" t="str">
        <f>HYPERLINK("https://www.ozon.ru/context/client_opinion/ClientGuid/5d3450e1-55f9-4bc0-9a4e-8771a5617683/")</f>
        <v>https://www.ozon.ru/context/client_opinion/ClientGuid/5d3450e1-55f9-4bc0-9a4e-8771a5617683/</v>
      </c>
      <c r="L3378" t="s">
        <v>151</v>
      </c>
      <c r="N3378" t="s">
        <v>183</v>
      </c>
      <c r="O3378" t="s">
        <v>4906</v>
      </c>
      <c r="P3378" t="str">
        <f>HYPERLINK("https://www.ozon.ru/context/detail/id/241264642/")</f>
        <v>https://www.ozon.ru/context/detail/id/241264642/</v>
      </c>
      <c r="R3378" t="s">
        <v>184</v>
      </c>
      <c r="S3378" t="s">
        <v>125</v>
      </c>
      <c r="W3378">
        <v>0</v>
      </c>
      <c r="X3378">
        <v>0</v>
      </c>
      <c r="AH3378">
        <v>5</v>
      </c>
      <c r="AM3378" t="s">
        <v>129</v>
      </c>
      <c r="AN3378" t="s">
        <v>130</v>
      </c>
      <c r="AP3378" t="s">
        <v>41</v>
      </c>
      <c r="AZ3378" t="s">
        <v>51</v>
      </c>
      <c r="BA3378" t="s">
        <v>52</v>
      </c>
      <c r="BK3378" t="s">
        <v>62</v>
      </c>
      <c r="BL3378" t="s">
        <v>63</v>
      </c>
    </row>
    <row r="3379" spans="1:69" x14ac:dyDescent="0.2">
      <c r="A3379" t="s">
        <v>11341</v>
      </c>
      <c r="B3379" t="s">
        <v>1437</v>
      </c>
      <c r="C3379" t="s">
        <v>11462</v>
      </c>
      <c r="D3379" t="s">
        <v>11068</v>
      </c>
      <c r="E3379" t="s">
        <v>11463</v>
      </c>
      <c r="F3379" t="s">
        <v>118</v>
      </c>
      <c r="G3379" t="str">
        <f>HYPERLINK("https://vk.com/wall-199277766_680?reply=683")</f>
        <v>https://vk.com/wall-199277766_680?reply=683</v>
      </c>
      <c r="H3379" t="s">
        <v>119</v>
      </c>
      <c r="I3379" t="s">
        <v>254</v>
      </c>
      <c r="J3379" t="str">
        <f>HYPERLINK("http://vk.com/id286061518")</f>
        <v>http://vk.com/id286061518</v>
      </c>
      <c r="K3379">
        <v>5170</v>
      </c>
      <c r="L3379" t="s">
        <v>121</v>
      </c>
      <c r="M3379">
        <v>34</v>
      </c>
      <c r="N3379" t="s">
        <v>122</v>
      </c>
      <c r="O3379" t="s">
        <v>255</v>
      </c>
      <c r="P3379" t="str">
        <f>HYPERLINK("http://vk.com/club199277766")</f>
        <v>http://vk.com/club199277766</v>
      </c>
      <c r="Q3379">
        <v>53</v>
      </c>
      <c r="R3379" t="s">
        <v>124</v>
      </c>
      <c r="S3379" t="s">
        <v>125</v>
      </c>
      <c r="T3379" t="s">
        <v>256</v>
      </c>
      <c r="U3379" t="s">
        <v>257</v>
      </c>
      <c r="AM3379" t="s">
        <v>129</v>
      </c>
      <c r="AN3379" t="s">
        <v>130</v>
      </c>
      <c r="AP3379" t="s">
        <v>41</v>
      </c>
      <c r="AU3379" t="s">
        <v>46</v>
      </c>
      <c r="AZ3379" t="s">
        <v>51</v>
      </c>
      <c r="BA3379" t="s">
        <v>52</v>
      </c>
    </row>
    <row r="3380" spans="1:69" x14ac:dyDescent="0.2">
      <c r="A3380" t="s">
        <v>11341</v>
      </c>
      <c r="B3380" t="s">
        <v>1987</v>
      </c>
      <c r="C3380" t="s">
        <v>5607</v>
      </c>
      <c r="D3380" t="s">
        <v>11464</v>
      </c>
      <c r="E3380" t="s">
        <v>11465</v>
      </c>
      <c r="F3380" t="s">
        <v>180</v>
      </c>
      <c r="G3380" t="str">
        <f>HYPERLINK("https://www.ozon.ru/context/detail/id/175931826/#57009927")</f>
        <v>https://www.ozon.ru/context/detail/id/175931826/#57009927</v>
      </c>
      <c r="H3380" t="s">
        <v>228</v>
      </c>
      <c r="I3380" t="s">
        <v>11466</v>
      </c>
      <c r="J3380" t="str">
        <f>HYPERLINK("https://www.ozon.ru/context/client_opinion/ClientGuid/25ed63dc-d6f1-4d8f-9f7a-bcb4a55e4eab/")</f>
        <v>https://www.ozon.ru/context/client_opinion/ClientGuid/25ed63dc-d6f1-4d8f-9f7a-bcb4a55e4eab/</v>
      </c>
      <c r="L3380" t="s">
        <v>151</v>
      </c>
      <c r="N3380" t="s">
        <v>183</v>
      </c>
      <c r="O3380" t="s">
        <v>11464</v>
      </c>
      <c r="P3380" t="str">
        <f>HYPERLINK("https://www.ozon.ru/context/detail/id/175931826/")</f>
        <v>https://www.ozon.ru/context/detail/id/175931826/</v>
      </c>
      <c r="R3380" t="s">
        <v>184</v>
      </c>
      <c r="S3380" t="s">
        <v>125</v>
      </c>
      <c r="W3380">
        <v>0</v>
      </c>
      <c r="X3380">
        <v>0</v>
      </c>
      <c r="AH3380">
        <v>5</v>
      </c>
      <c r="AJ3380" t="s">
        <v>1144</v>
      </c>
      <c r="AK3380" t="s">
        <v>129</v>
      </c>
      <c r="AL3380" t="str">
        <f>HYPERLINK("https://cdn1.ozone.ru/s3/rp-photo-5/7840dca2-ea31-436a-8ea2-69166eb75c7f.jpeg")</f>
        <v>https://cdn1.ozone.ru/s3/rp-photo-5/7840dca2-ea31-436a-8ea2-69166eb75c7f.jpeg</v>
      </c>
      <c r="AM3380" t="s">
        <v>129</v>
      </c>
      <c r="AN3380" t="s">
        <v>130</v>
      </c>
      <c r="AP3380" t="s">
        <v>41</v>
      </c>
      <c r="AZ3380" t="s">
        <v>51</v>
      </c>
      <c r="BA3380" t="s">
        <v>52</v>
      </c>
      <c r="BL3380" t="s">
        <v>63</v>
      </c>
    </row>
    <row r="3381" spans="1:69" x14ac:dyDescent="0.2">
      <c r="A3381" t="s">
        <v>11341</v>
      </c>
      <c r="B3381" t="s">
        <v>4716</v>
      </c>
      <c r="C3381" t="s">
        <v>11467</v>
      </c>
      <c r="D3381" t="s">
        <v>651</v>
      </c>
      <c r="E3381" t="s">
        <v>11468</v>
      </c>
      <c r="F3381" t="s">
        <v>180</v>
      </c>
      <c r="G3381" t="str">
        <f>HYPERLINK("https://www.ozon.ru/context/detail/id/227979649/#57004731")</f>
        <v>https://www.ozon.ru/context/detail/id/227979649/#57004731</v>
      </c>
      <c r="H3381" t="s">
        <v>181</v>
      </c>
      <c r="I3381" t="s">
        <v>11469</v>
      </c>
      <c r="J3381" t="str">
        <f>HYPERLINK("https://www.ozon.ru/context/client_opinion/ClientGuid/28a6469c-7002-4392-a73c-4e0e6601c85a/")</f>
        <v>https://www.ozon.ru/context/client_opinion/ClientGuid/28a6469c-7002-4392-a73c-4e0e6601c85a/</v>
      </c>
      <c r="L3381" t="s">
        <v>121</v>
      </c>
      <c r="N3381" t="s">
        <v>183</v>
      </c>
      <c r="O3381" t="s">
        <v>654</v>
      </c>
      <c r="P3381" t="str">
        <f>HYPERLINK("https://www.ozon.ru/context/detail/id/227979649/")</f>
        <v>https://www.ozon.ru/context/detail/id/227979649/</v>
      </c>
      <c r="R3381" t="s">
        <v>184</v>
      </c>
      <c r="S3381" t="s">
        <v>125</v>
      </c>
      <c r="W3381">
        <v>0</v>
      </c>
      <c r="X3381">
        <v>0</v>
      </c>
      <c r="AH3381">
        <v>5</v>
      </c>
      <c r="AM3381" t="s">
        <v>129</v>
      </c>
      <c r="AN3381" t="s">
        <v>130</v>
      </c>
      <c r="AP3381" t="s">
        <v>41</v>
      </c>
      <c r="AT3381" t="s">
        <v>45</v>
      </c>
      <c r="AZ3381" t="s">
        <v>51</v>
      </c>
      <c r="BA3381" t="s">
        <v>52</v>
      </c>
      <c r="BL3381" t="s">
        <v>63</v>
      </c>
    </row>
    <row r="3382" spans="1:69" x14ac:dyDescent="0.2">
      <c r="A3382" t="s">
        <v>11341</v>
      </c>
      <c r="B3382" t="s">
        <v>1473</v>
      </c>
      <c r="C3382" t="s">
        <v>11470</v>
      </c>
      <c r="D3382" t="s">
        <v>204</v>
      </c>
      <c r="E3382" t="s">
        <v>11471</v>
      </c>
      <c r="F3382" t="s">
        <v>180</v>
      </c>
      <c r="G3382" t="str">
        <f>HYPERLINK("https://play.google.com/store/apps/details?id=ru.iflex.android.a3colortv&amp;reviewId=gp:AOqpTOGshAT_kODPPltGJpPhzdDV7vdNCM--wjbM0K2Z3bwbbP3y3C-7PQR5SdkElFR_i3SVYy2RVtqhpB8k1A")</f>
        <v>https://play.google.com/store/apps/details?id=ru.iflex.android.a3colortv&amp;reviewId=gp:AOqpTOGshAT_kODPPltGJpPhzdDV7vdNCM--wjbM0K2Z3bwbbP3y3C-7PQR5SdkElFR_i3SVYy2RVtqhpB8k1A</v>
      </c>
      <c r="H3382" t="s">
        <v>181</v>
      </c>
      <c r="I3382" t="s">
        <v>11472</v>
      </c>
      <c r="J3382" t="str">
        <f>HYPERLINK("https://plus.google.com/101927591605100044467")</f>
        <v>https://plus.google.com/101927591605100044467</v>
      </c>
      <c r="L3382" t="s">
        <v>121</v>
      </c>
      <c r="N3382" t="s">
        <v>207</v>
      </c>
      <c r="O3382" t="s">
        <v>204</v>
      </c>
      <c r="P3382" t="str">
        <f>HYPERLINK("https://play.google.com/store/apps/details?id=ru.iflex.android.a3colortv&amp;hl=ru")</f>
        <v>https://play.google.com/store/apps/details?id=ru.iflex.android.a3colortv&amp;hl=ru</v>
      </c>
      <c r="R3382" t="s">
        <v>184</v>
      </c>
      <c r="S3382" t="s">
        <v>125</v>
      </c>
      <c r="W3382">
        <v>0</v>
      </c>
      <c r="X3382">
        <v>0</v>
      </c>
      <c r="AH3382">
        <v>5</v>
      </c>
      <c r="AM3382" t="s">
        <v>129</v>
      </c>
      <c r="AN3382" t="s">
        <v>130</v>
      </c>
      <c r="AP3382" t="s">
        <v>41</v>
      </c>
      <c r="AZ3382" t="s">
        <v>51</v>
      </c>
      <c r="BA3382" t="s">
        <v>52</v>
      </c>
      <c r="BQ3382" t="s">
        <v>68</v>
      </c>
    </row>
    <row r="3383" spans="1:69" x14ac:dyDescent="0.2">
      <c r="A3383" t="s">
        <v>11341</v>
      </c>
      <c r="B3383" t="s">
        <v>8131</v>
      </c>
      <c r="C3383" t="s">
        <v>6454</v>
      </c>
      <c r="D3383" t="s">
        <v>855</v>
      </c>
      <c r="E3383" t="s">
        <v>11473</v>
      </c>
      <c r="F3383" t="s">
        <v>180</v>
      </c>
      <c r="G3383" t="str">
        <f>HYPERLINK("https://www.ozon.ru/context/detail/id/170215696/#57000704")</f>
        <v>https://www.ozon.ru/context/detail/id/170215696/#57000704</v>
      </c>
      <c r="H3383" t="s">
        <v>181</v>
      </c>
      <c r="I3383" t="s">
        <v>11474</v>
      </c>
      <c r="J3383" t="str">
        <f>HYPERLINK("https://www.ozon.ru/context/client_opinion/ClientGuid/4441c74f-1e18-4290-812e-51ab540ed797/")</f>
        <v>https://www.ozon.ru/context/client_opinion/ClientGuid/4441c74f-1e18-4290-812e-51ab540ed797/</v>
      </c>
      <c r="L3383" t="s">
        <v>121</v>
      </c>
      <c r="N3383" t="s">
        <v>183</v>
      </c>
      <c r="O3383" t="s">
        <v>855</v>
      </c>
      <c r="P3383" t="str">
        <f>HYPERLINK("https://www.ozon.ru/context/detail/id/170215696/")</f>
        <v>https://www.ozon.ru/context/detail/id/170215696/</v>
      </c>
      <c r="R3383" t="s">
        <v>184</v>
      </c>
      <c r="S3383" t="s">
        <v>125</v>
      </c>
      <c r="W3383">
        <v>0</v>
      </c>
      <c r="X3383">
        <v>0</v>
      </c>
      <c r="AH3383">
        <v>5</v>
      </c>
      <c r="AM3383" t="s">
        <v>129</v>
      </c>
      <c r="AN3383" t="s">
        <v>130</v>
      </c>
      <c r="AP3383" t="s">
        <v>41</v>
      </c>
      <c r="AZ3383" t="s">
        <v>51</v>
      </c>
      <c r="BA3383" t="s">
        <v>52</v>
      </c>
      <c r="BK3383" t="s">
        <v>62</v>
      </c>
      <c r="BL3383" t="s">
        <v>63</v>
      </c>
    </row>
    <row r="3384" spans="1:69" x14ac:dyDescent="0.2">
      <c r="A3384" t="s">
        <v>11341</v>
      </c>
      <c r="B3384" t="s">
        <v>3031</v>
      </c>
      <c r="C3384" t="s">
        <v>11475</v>
      </c>
      <c r="D3384" t="s">
        <v>11476</v>
      </c>
      <c r="E3384" t="s">
        <v>11477</v>
      </c>
      <c r="F3384" t="s">
        <v>118</v>
      </c>
      <c r="G3384" t="str">
        <f>HYPERLINK("https://vk.com/wall-59416831_538898?reply=538935")</f>
        <v>https://vk.com/wall-59416831_538898?reply=538935</v>
      </c>
      <c r="H3384" t="s">
        <v>119</v>
      </c>
      <c r="I3384" t="s">
        <v>11478</v>
      </c>
      <c r="J3384" t="str">
        <f>HYPERLINK("http://vk.com/id625456092")</f>
        <v>http://vk.com/id625456092</v>
      </c>
      <c r="K3384">
        <v>322</v>
      </c>
      <c r="L3384" t="s">
        <v>121</v>
      </c>
      <c r="M3384">
        <v>29</v>
      </c>
      <c r="N3384" t="s">
        <v>122</v>
      </c>
      <c r="O3384" t="s">
        <v>11479</v>
      </c>
      <c r="P3384" t="str">
        <f>HYPERLINK("http://vk.com/club59416831")</f>
        <v>http://vk.com/club59416831</v>
      </c>
      <c r="Q3384">
        <v>24953</v>
      </c>
      <c r="R3384" t="s">
        <v>124</v>
      </c>
      <c r="S3384" t="s">
        <v>125</v>
      </c>
      <c r="T3384" t="s">
        <v>778</v>
      </c>
      <c r="U3384" t="s">
        <v>779</v>
      </c>
      <c r="AM3384" t="s">
        <v>129</v>
      </c>
      <c r="AN3384" t="s">
        <v>130</v>
      </c>
      <c r="AP3384" t="s">
        <v>41</v>
      </c>
      <c r="AT3384" t="s">
        <v>45</v>
      </c>
      <c r="AZ3384" t="s">
        <v>51</v>
      </c>
      <c r="BA3384" t="s">
        <v>52</v>
      </c>
      <c r="BM3384" t="s">
        <v>64</v>
      </c>
    </row>
    <row r="3385" spans="1:69" x14ac:dyDescent="0.2">
      <c r="A3385" t="s">
        <v>11341</v>
      </c>
      <c r="B3385" t="s">
        <v>6028</v>
      </c>
      <c r="C3385" t="s">
        <v>11480</v>
      </c>
      <c r="D3385" t="s">
        <v>129</v>
      </c>
      <c r="E3385" t="s">
        <v>11481</v>
      </c>
      <c r="F3385" t="s">
        <v>180</v>
      </c>
      <c r="G3385" t="str">
        <f>HYPERLINK("https://www.facebook.com/tricolortv/posts/4053284464725793")</f>
        <v>https://www.facebook.com/tricolortv/posts/4053284464725793</v>
      </c>
      <c r="H3385" t="s">
        <v>119</v>
      </c>
      <c r="I3385" t="s">
        <v>175</v>
      </c>
      <c r="J3385" t="str">
        <f>HYPERLINK("https://www.facebook.com/206198386101106")</f>
        <v>https://www.facebook.com/206198386101106</v>
      </c>
      <c r="K3385">
        <v>16432</v>
      </c>
      <c r="L3385" t="s">
        <v>340</v>
      </c>
      <c r="N3385" t="s">
        <v>305</v>
      </c>
      <c r="O3385" t="s">
        <v>175</v>
      </c>
      <c r="P3385" t="str">
        <f>HYPERLINK("https://www.facebook.com/206198386101106")</f>
        <v>https://www.facebook.com/206198386101106</v>
      </c>
      <c r="Q3385">
        <v>16432</v>
      </c>
      <c r="R3385" t="s">
        <v>124</v>
      </c>
      <c r="W3385">
        <v>0</v>
      </c>
      <c r="X3385">
        <v>0</v>
      </c>
      <c r="Y3385">
        <v>0</v>
      </c>
      <c r="Z3385">
        <v>0</v>
      </c>
      <c r="AA3385">
        <v>0</v>
      </c>
      <c r="AB3385">
        <v>0</v>
      </c>
      <c r="AC3385">
        <v>0</v>
      </c>
      <c r="AE3385">
        <v>0</v>
      </c>
      <c r="AF3385">
        <v>0</v>
      </c>
      <c r="AJ3385" t="s">
        <v>3703</v>
      </c>
      <c r="AK3385" t="s">
        <v>129</v>
      </c>
      <c r="AL3385" t="s">
        <v>11482</v>
      </c>
      <c r="AM3385" t="s">
        <v>129</v>
      </c>
      <c r="AN3385" t="s">
        <v>130</v>
      </c>
      <c r="BI3385" t="s">
        <v>60</v>
      </c>
    </row>
    <row r="3386" spans="1:69" x14ac:dyDescent="0.2">
      <c r="A3386" t="s">
        <v>11341</v>
      </c>
      <c r="B3386" t="s">
        <v>6028</v>
      </c>
      <c r="C3386" t="s">
        <v>11483</v>
      </c>
      <c r="D3386" t="s">
        <v>986</v>
      </c>
      <c r="E3386" t="s">
        <v>11481</v>
      </c>
      <c r="F3386" t="s">
        <v>180</v>
      </c>
      <c r="G3386" t="str">
        <f>HYPERLINK("https://ok.ru/group/51085510115462/topic/153402762700166")</f>
        <v>https://ok.ru/group/51085510115462/topic/153402762700166</v>
      </c>
      <c r="H3386" t="s">
        <v>119</v>
      </c>
      <c r="I3386" t="s">
        <v>175</v>
      </c>
      <c r="J3386" t="str">
        <f>HYPERLINK("https://ok.ru/group/51085510115462")</f>
        <v>https://ok.ru/group/51085510115462</v>
      </c>
      <c r="K3386">
        <v>94768</v>
      </c>
      <c r="L3386" t="s">
        <v>340</v>
      </c>
      <c r="N3386" t="s">
        <v>347</v>
      </c>
      <c r="O3386" t="s">
        <v>175</v>
      </c>
      <c r="P3386" t="str">
        <f>HYPERLINK("https://ok.ru/group/51085510115462")</f>
        <v>https://ok.ru/group/51085510115462</v>
      </c>
      <c r="Q3386">
        <v>94768</v>
      </c>
      <c r="R3386" t="s">
        <v>124</v>
      </c>
      <c r="W3386">
        <v>15</v>
      </c>
      <c r="X3386">
        <v>15</v>
      </c>
      <c r="Y3386">
        <v>0</v>
      </c>
      <c r="Z3386">
        <v>0</v>
      </c>
      <c r="AA3386">
        <v>0</v>
      </c>
      <c r="AB3386">
        <v>0</v>
      </c>
      <c r="AE3386">
        <v>0</v>
      </c>
      <c r="AF3386">
        <v>0</v>
      </c>
      <c r="AJ3386" t="s">
        <v>3703</v>
      </c>
      <c r="AK3386" t="s">
        <v>129</v>
      </c>
      <c r="AL3386" t="str">
        <f>HYPERLINK("https://i.mycdn.me/image?id=918076982150&amp;t=20&amp;plc=API&amp;aid=1131601408&amp;tkn=*TuJCzMzU7xwNaCvyWALLKmgRP7A")</f>
        <v>https://i.mycdn.me/image?id=918076982150&amp;t=20&amp;plc=API&amp;aid=1131601408&amp;tkn=*TuJCzMzU7xwNaCvyWALLKmgRP7A</v>
      </c>
      <c r="AM3386" t="s">
        <v>129</v>
      </c>
      <c r="AN3386" t="s">
        <v>130</v>
      </c>
      <c r="BI3386" t="s">
        <v>60</v>
      </c>
    </row>
    <row r="3387" spans="1:69" x14ac:dyDescent="0.2">
      <c r="A3387" t="s">
        <v>11341</v>
      </c>
      <c r="B3387" t="s">
        <v>6028</v>
      </c>
      <c r="C3387" t="s">
        <v>11484</v>
      </c>
      <c r="D3387" t="s">
        <v>129</v>
      </c>
      <c r="E3387" t="s">
        <v>11485</v>
      </c>
      <c r="F3387" t="s">
        <v>180</v>
      </c>
      <c r="G3387" t="str">
        <f>HYPERLINK("https://twitter.com/360582757/status/1411323853004054528")</f>
        <v>https://twitter.com/360582757/status/1411323853004054528</v>
      </c>
      <c r="H3387" t="s">
        <v>119</v>
      </c>
      <c r="I3387" t="s">
        <v>175</v>
      </c>
      <c r="J3387" t="str">
        <f>HYPERLINK("http://twitter.com/tricolortv")</f>
        <v>http://twitter.com/tricolortv</v>
      </c>
      <c r="K3387">
        <v>5663</v>
      </c>
      <c r="N3387" t="s">
        <v>350</v>
      </c>
      <c r="R3387" t="s">
        <v>124</v>
      </c>
      <c r="S3387" t="s">
        <v>125</v>
      </c>
      <c r="T3387" t="s">
        <v>137</v>
      </c>
      <c r="U3387" t="s">
        <v>137</v>
      </c>
      <c r="W3387">
        <v>0</v>
      </c>
      <c r="X3387">
        <v>0</v>
      </c>
      <c r="AE3387">
        <v>0</v>
      </c>
      <c r="AF3387">
        <v>0</v>
      </c>
      <c r="AJ3387" t="s">
        <v>3703</v>
      </c>
      <c r="AK3387" t="s">
        <v>129</v>
      </c>
      <c r="AL3387" t="str">
        <f>HYPERLINK("https://pbs.twimg.com/media/E5XV0Q5XoAIwoQk.jpg")</f>
        <v>https://pbs.twimg.com/media/E5XV0Q5XoAIwoQk.jpg</v>
      </c>
      <c r="AM3387" t="s">
        <v>129</v>
      </c>
      <c r="AN3387" t="s">
        <v>130</v>
      </c>
      <c r="BI3387" t="s">
        <v>60</v>
      </c>
    </row>
    <row r="3388" spans="1:69" x14ac:dyDescent="0.2">
      <c r="A3388" t="s">
        <v>11341</v>
      </c>
      <c r="B3388" t="s">
        <v>2517</v>
      </c>
      <c r="C3388" t="s">
        <v>11153</v>
      </c>
      <c r="D3388" t="s">
        <v>3210</v>
      </c>
      <c r="E3388" t="s">
        <v>11486</v>
      </c>
      <c r="F3388" t="s">
        <v>180</v>
      </c>
      <c r="G3388" t="str">
        <f>HYPERLINK("https://telesputnik.ru/forum/viewtopic.php?f=36&amp;t=75646&amp;start=2060#p2479256")</f>
        <v>https://telesputnik.ru/forum/viewtopic.php?f=36&amp;t=75646&amp;start=2060#p2479256</v>
      </c>
      <c r="H3388" t="s">
        <v>119</v>
      </c>
      <c r="I3388" t="s">
        <v>1966</v>
      </c>
      <c r="J3388" t="str">
        <f>HYPERLINK("https://telesputnik.ru/forum/memberlist.php?mode=viewprofile&amp;u=23379")</f>
        <v>https://telesputnik.ru/forum/memberlist.php?mode=viewprofile&amp;u=23379</v>
      </c>
      <c r="N3388" t="s">
        <v>335</v>
      </c>
      <c r="O3388" t="s">
        <v>909</v>
      </c>
      <c r="P3388" t="str">
        <f>HYPERLINK("https://telesputnik.ru/forum/viewforum.php?f=36")</f>
        <v>https://telesputnik.ru/forum/viewforum.php?f=36</v>
      </c>
      <c r="R3388" t="s">
        <v>295</v>
      </c>
      <c r="S3388" t="s">
        <v>125</v>
      </c>
      <c r="AM3388" t="s">
        <v>129</v>
      </c>
      <c r="AN3388" t="s">
        <v>130</v>
      </c>
      <c r="AP3388" t="s">
        <v>41</v>
      </c>
      <c r="AU3388" t="s">
        <v>46</v>
      </c>
      <c r="AZ3388" t="s">
        <v>51</v>
      </c>
      <c r="BA3388" t="s">
        <v>52</v>
      </c>
    </row>
    <row r="3389" spans="1:69" x14ac:dyDescent="0.2">
      <c r="A3389" t="s">
        <v>11341</v>
      </c>
      <c r="B3389" t="s">
        <v>9852</v>
      </c>
      <c r="C3389" t="s">
        <v>11487</v>
      </c>
      <c r="D3389" t="s">
        <v>10538</v>
      </c>
      <c r="E3389" t="s">
        <v>11488</v>
      </c>
      <c r="F3389" t="s">
        <v>118</v>
      </c>
      <c r="G3389" t="str">
        <f>HYPERLINK("https://vk.com/wall-61101621_254505?reply=254507&amp;thread=254506")</f>
        <v>https://vk.com/wall-61101621_254505?reply=254507&amp;thread=254506</v>
      </c>
      <c r="H3389" t="s">
        <v>181</v>
      </c>
      <c r="I3389" t="s">
        <v>9836</v>
      </c>
      <c r="J3389" t="str">
        <f>HYPERLINK("http://vk.com/id106840295")</f>
        <v>http://vk.com/id106840295</v>
      </c>
      <c r="K3389">
        <v>35</v>
      </c>
      <c r="L3389" t="s">
        <v>121</v>
      </c>
      <c r="N3389" t="s">
        <v>122</v>
      </c>
      <c r="O3389" t="s">
        <v>160</v>
      </c>
      <c r="P3389" t="str">
        <f>HYPERLINK("http://vk.com/club61101621")</f>
        <v>http://vk.com/club61101621</v>
      </c>
      <c r="Q3389">
        <v>21119</v>
      </c>
      <c r="R3389" t="s">
        <v>124</v>
      </c>
      <c r="S3389" t="s">
        <v>125</v>
      </c>
      <c r="AM3389" t="s">
        <v>129</v>
      </c>
      <c r="AN3389" t="s">
        <v>130</v>
      </c>
      <c r="AP3389" t="s">
        <v>41</v>
      </c>
      <c r="AZ3389" t="s">
        <v>51</v>
      </c>
      <c r="BA3389" t="s">
        <v>52</v>
      </c>
    </row>
    <row r="3390" spans="1:69" x14ac:dyDescent="0.2">
      <c r="A3390" t="s">
        <v>11341</v>
      </c>
      <c r="B3390" t="s">
        <v>3059</v>
      </c>
      <c r="C3390" t="s">
        <v>11489</v>
      </c>
      <c r="D3390" t="s">
        <v>10946</v>
      </c>
      <c r="E3390" t="s">
        <v>11490</v>
      </c>
      <c r="F3390" t="s">
        <v>118</v>
      </c>
      <c r="G3390" t="str">
        <f>HYPERLINK("https://vk.com/wall-22935147_368114?reply=368121&amp;thread=368115")</f>
        <v>https://vk.com/wall-22935147_368114?reply=368121&amp;thread=368115</v>
      </c>
      <c r="H3390" t="s">
        <v>119</v>
      </c>
      <c r="I3390" t="s">
        <v>9836</v>
      </c>
      <c r="J3390" t="str">
        <f>HYPERLINK("http://vk.com/id106840295")</f>
        <v>http://vk.com/id106840295</v>
      </c>
      <c r="K3390">
        <v>35</v>
      </c>
      <c r="L3390" t="s">
        <v>121</v>
      </c>
      <c r="N3390" t="s">
        <v>122</v>
      </c>
      <c r="O3390" t="s">
        <v>1093</v>
      </c>
      <c r="P3390" t="str">
        <f>HYPERLINK("http://vk.com/club22935147")</f>
        <v>http://vk.com/club22935147</v>
      </c>
      <c r="Q3390">
        <v>8943</v>
      </c>
      <c r="R3390" t="s">
        <v>124</v>
      </c>
      <c r="S3390" t="s">
        <v>125</v>
      </c>
      <c r="AM3390" t="s">
        <v>129</v>
      </c>
      <c r="AN3390" t="s">
        <v>130</v>
      </c>
      <c r="AP3390" t="s">
        <v>41</v>
      </c>
      <c r="AZ3390" t="s">
        <v>51</v>
      </c>
      <c r="BA3390" t="s">
        <v>52</v>
      </c>
      <c r="BL3390" t="s">
        <v>63</v>
      </c>
    </row>
    <row r="3391" spans="1:69" x14ac:dyDescent="0.2">
      <c r="A3391" t="s">
        <v>11341</v>
      </c>
      <c r="B3391" t="s">
        <v>3072</v>
      </c>
      <c r="C3391" t="s">
        <v>11491</v>
      </c>
      <c r="D3391" t="s">
        <v>10946</v>
      </c>
      <c r="E3391" t="s">
        <v>11492</v>
      </c>
      <c r="F3391" t="s">
        <v>118</v>
      </c>
      <c r="G3391" t="str">
        <f>HYPERLINK("https://vk.com/wall-22935147_368114?w=wall-22935147_368114_r368120")</f>
        <v>https://vk.com/wall-22935147_368114?w=wall-22935147_368114_r368120</v>
      </c>
      <c r="H3391" t="s">
        <v>119</v>
      </c>
      <c r="I3391" t="s">
        <v>6887</v>
      </c>
      <c r="J3391" t="str">
        <f>HYPERLINK("http://vk.com/id358374226")</f>
        <v>http://vk.com/id358374226</v>
      </c>
      <c r="K3391">
        <v>3</v>
      </c>
      <c r="L3391" t="s">
        <v>121</v>
      </c>
      <c r="M3391">
        <v>119</v>
      </c>
      <c r="N3391" t="s">
        <v>122</v>
      </c>
      <c r="O3391" t="s">
        <v>1093</v>
      </c>
      <c r="P3391" t="str">
        <f>HYPERLINK("http://vk.com/club22935147")</f>
        <v>http://vk.com/club22935147</v>
      </c>
      <c r="Q3391">
        <v>8943</v>
      </c>
      <c r="R3391" t="s">
        <v>124</v>
      </c>
      <c r="S3391" t="s">
        <v>125</v>
      </c>
      <c r="T3391" t="s">
        <v>169</v>
      </c>
      <c r="U3391" t="s">
        <v>169</v>
      </c>
      <c r="W3391">
        <v>0</v>
      </c>
      <c r="X3391">
        <v>0</v>
      </c>
      <c r="AM3391" t="s">
        <v>129</v>
      </c>
      <c r="AN3391" t="s">
        <v>130</v>
      </c>
      <c r="AP3391" t="s">
        <v>41</v>
      </c>
      <c r="AY3391" t="s">
        <v>50</v>
      </c>
      <c r="AZ3391" t="s">
        <v>51</v>
      </c>
      <c r="BA3391" t="s">
        <v>52</v>
      </c>
    </row>
    <row r="3392" spans="1:69" x14ac:dyDescent="0.2">
      <c r="A3392" t="s">
        <v>11341</v>
      </c>
      <c r="B3392" t="s">
        <v>7754</v>
      </c>
      <c r="C3392" t="s">
        <v>11493</v>
      </c>
      <c r="D3392" t="s">
        <v>11494</v>
      </c>
      <c r="E3392" t="s">
        <v>11495</v>
      </c>
      <c r="F3392" t="s">
        <v>118</v>
      </c>
      <c r="G3392" t="str">
        <f>HYPERLINK("https://vk.com/wall-46943829_264305?reply=264306")</f>
        <v>https://vk.com/wall-46943829_264305?reply=264306</v>
      </c>
      <c r="H3392" t="s">
        <v>119</v>
      </c>
      <c r="I3392" t="s">
        <v>11496</v>
      </c>
      <c r="J3392" t="str">
        <f>HYPERLINK("http://vk.com/id312237852")</f>
        <v>http://vk.com/id312237852</v>
      </c>
      <c r="K3392">
        <v>196</v>
      </c>
      <c r="L3392" t="s">
        <v>151</v>
      </c>
      <c r="M3392">
        <v>52</v>
      </c>
      <c r="N3392" t="s">
        <v>122</v>
      </c>
      <c r="O3392" t="s">
        <v>6048</v>
      </c>
      <c r="P3392" t="str">
        <f>HYPERLINK("http://vk.com/club46943829")</f>
        <v>http://vk.com/club46943829</v>
      </c>
      <c r="Q3392">
        <v>11988</v>
      </c>
      <c r="R3392" t="s">
        <v>124</v>
      </c>
      <c r="AM3392" t="s">
        <v>129</v>
      </c>
      <c r="AN3392" t="s">
        <v>130</v>
      </c>
      <c r="AP3392" t="s">
        <v>41</v>
      </c>
      <c r="AU3392" t="s">
        <v>46</v>
      </c>
      <c r="AZ3392" t="s">
        <v>51</v>
      </c>
      <c r="BA3392" t="s">
        <v>52</v>
      </c>
    </row>
    <row r="3393" spans="1:69" x14ac:dyDescent="0.2">
      <c r="A3393" t="s">
        <v>11341</v>
      </c>
      <c r="B3393" t="s">
        <v>2026</v>
      </c>
      <c r="C3393" t="s">
        <v>11497</v>
      </c>
      <c r="D3393" t="s">
        <v>10946</v>
      </c>
      <c r="E3393" t="s">
        <v>11498</v>
      </c>
      <c r="F3393" t="s">
        <v>118</v>
      </c>
      <c r="G3393" t="str">
        <f>HYPERLINK("https://vk.com/wall-22935147_368114?reply=368119&amp;thread=368115")</f>
        <v>https://vk.com/wall-22935147_368114?reply=368119&amp;thread=368115</v>
      </c>
      <c r="H3393" t="s">
        <v>228</v>
      </c>
      <c r="I3393" t="s">
        <v>5110</v>
      </c>
      <c r="J3393" t="str">
        <f>HYPERLINK("http://vk.com/id521162897")</f>
        <v>http://vk.com/id521162897</v>
      </c>
      <c r="L3393" t="s">
        <v>121</v>
      </c>
      <c r="N3393" t="s">
        <v>122</v>
      </c>
      <c r="O3393" t="s">
        <v>1093</v>
      </c>
      <c r="P3393" t="str">
        <f>HYPERLINK("http://vk.com/club22935147")</f>
        <v>http://vk.com/club22935147</v>
      </c>
      <c r="Q3393">
        <v>8943</v>
      </c>
      <c r="R3393" t="s">
        <v>124</v>
      </c>
      <c r="S3393" t="s">
        <v>125</v>
      </c>
      <c r="T3393" t="s">
        <v>169</v>
      </c>
      <c r="U3393" t="s">
        <v>169</v>
      </c>
      <c r="AM3393" t="s">
        <v>129</v>
      </c>
      <c r="AN3393" t="s">
        <v>130</v>
      </c>
      <c r="AP3393" t="s">
        <v>41</v>
      </c>
      <c r="AY3393" t="s">
        <v>50</v>
      </c>
      <c r="AZ3393" t="s">
        <v>51</v>
      </c>
      <c r="BA3393" t="s">
        <v>52</v>
      </c>
    </row>
    <row r="3394" spans="1:69" x14ac:dyDescent="0.2">
      <c r="A3394" t="s">
        <v>11341</v>
      </c>
      <c r="B3394" t="s">
        <v>969</v>
      </c>
      <c r="C3394" t="s">
        <v>11499</v>
      </c>
      <c r="D3394" t="s">
        <v>204</v>
      </c>
      <c r="E3394" t="s">
        <v>11500</v>
      </c>
      <c r="F3394" t="s">
        <v>180</v>
      </c>
      <c r="G3394" t="str">
        <f>HYPERLINK("https://play.google.com/store/apps/details?id=ru.iflex.android.a3colortv&amp;reviewId=gp:AOqpTOHCalV0pSAMTkwH9lkE_PTHENzKhRCqMYV-drl7Jud47c0rePvWj9KlCj82JOnIcPFqLbXdIMDJQHFS-w")</f>
        <v>https://play.google.com/store/apps/details?id=ru.iflex.android.a3colortv&amp;reviewId=gp:AOqpTOHCalV0pSAMTkwH9lkE_PTHENzKhRCqMYV-drl7Jud47c0rePvWj9KlCj82JOnIcPFqLbXdIMDJQHFS-w</v>
      </c>
      <c r="H3394" t="s">
        <v>228</v>
      </c>
      <c r="I3394" t="s">
        <v>11501</v>
      </c>
      <c r="J3394" t="str">
        <f>HYPERLINK("https://plus.google.com/117067973111589455888")</f>
        <v>https://plus.google.com/117067973111589455888</v>
      </c>
      <c r="N3394" t="s">
        <v>207</v>
      </c>
      <c r="O3394" t="s">
        <v>204</v>
      </c>
      <c r="P3394" t="str">
        <f>HYPERLINK("https://play.google.com/store/apps/details?id=ru.iflex.android.a3colortv&amp;hl=ru")</f>
        <v>https://play.google.com/store/apps/details?id=ru.iflex.android.a3colortv&amp;hl=ru</v>
      </c>
      <c r="R3394" t="s">
        <v>184</v>
      </c>
      <c r="S3394" t="s">
        <v>125</v>
      </c>
      <c r="W3394">
        <v>0</v>
      </c>
      <c r="X3394">
        <v>0</v>
      </c>
      <c r="AH3394">
        <v>3</v>
      </c>
      <c r="AM3394" t="s">
        <v>129</v>
      </c>
      <c r="AN3394" t="s">
        <v>130</v>
      </c>
      <c r="AP3394" t="s">
        <v>41</v>
      </c>
      <c r="AY3394" t="s">
        <v>50</v>
      </c>
      <c r="AZ3394" t="s">
        <v>51</v>
      </c>
      <c r="BA3394" t="s">
        <v>52</v>
      </c>
      <c r="BQ3394" t="s">
        <v>68</v>
      </c>
    </row>
    <row r="3395" spans="1:69" x14ac:dyDescent="0.2">
      <c r="A3395" t="s">
        <v>11341</v>
      </c>
      <c r="B3395" t="s">
        <v>2571</v>
      </c>
      <c r="C3395" t="s">
        <v>11502</v>
      </c>
      <c r="D3395" t="s">
        <v>7394</v>
      </c>
      <c r="E3395" t="s">
        <v>11503</v>
      </c>
      <c r="F3395" t="s">
        <v>180</v>
      </c>
      <c r="G3395" t="str">
        <f>HYPERLINK("https://www.wildberries.ru/catalog/27824475/detail.aspx?targetUrl=ES#Comments")</f>
        <v>https://www.wildberries.ru/catalog/27824475/detail.aspx?targetUrl=ES#Comments</v>
      </c>
      <c r="H3395" t="s">
        <v>119</v>
      </c>
      <c r="I3395" t="s">
        <v>4666</v>
      </c>
      <c r="J3395" t="str">
        <f>HYPERLINK("https://www.wildberries.ru/profile/w7TDssOkw7PCu8KywrHCs8K1wrDCucK0wrY=")</f>
        <v>https://www.wildberries.ru/profile/w7TDssOkw7PCu8KywrHCs8K1wrDCucK0wrY=</v>
      </c>
      <c r="L3395" t="s">
        <v>121</v>
      </c>
      <c r="N3395" t="s">
        <v>534</v>
      </c>
      <c r="O3395" t="s">
        <v>7394</v>
      </c>
      <c r="P3395" t="str">
        <f>HYPERLINK("https://www.wildberries.ru/catalog/20414642/detail.aspx")</f>
        <v>https://www.wildberries.ru/catalog/20414642/detail.aspx</v>
      </c>
      <c r="R3395" t="s">
        <v>184</v>
      </c>
      <c r="S3395" t="s">
        <v>125</v>
      </c>
      <c r="W3395">
        <v>1</v>
      </c>
      <c r="X3395">
        <v>1</v>
      </c>
      <c r="AH3395">
        <v>1</v>
      </c>
      <c r="AM3395" t="s">
        <v>129</v>
      </c>
      <c r="AN3395" t="s">
        <v>130</v>
      </c>
      <c r="AP3395" t="s">
        <v>41</v>
      </c>
      <c r="AT3395" t="s">
        <v>45</v>
      </c>
      <c r="AZ3395" t="s">
        <v>51</v>
      </c>
      <c r="BA3395" t="s">
        <v>52</v>
      </c>
      <c r="BL3395" t="s">
        <v>63</v>
      </c>
    </row>
    <row r="3396" spans="1:69" x14ac:dyDescent="0.2">
      <c r="A3396" t="s">
        <v>11341</v>
      </c>
      <c r="B3396" t="s">
        <v>7101</v>
      </c>
      <c r="C3396" t="s">
        <v>11504</v>
      </c>
      <c r="D3396" t="s">
        <v>11505</v>
      </c>
      <c r="E3396" t="s">
        <v>11506</v>
      </c>
      <c r="F3396" t="s">
        <v>180</v>
      </c>
      <c r="G3396" t="str">
        <f>HYPERLINK("https://market.yandex.ru/product/182650022/reviews?id=133915245")</f>
        <v>https://market.yandex.ru/product/182650022/reviews?id=133915245</v>
      </c>
      <c r="H3396" t="s">
        <v>181</v>
      </c>
      <c r="I3396" t="s">
        <v>11507</v>
      </c>
      <c r="J3396" t="str">
        <f>HYPERLINK("https://market.yandex.ru/user/68vyf4tddmw6p9ubybc06jupac/reviews")</f>
        <v>https://market.yandex.ru/user/68vyf4tddmw6p9ubybc06jupac/reviews</v>
      </c>
      <c r="N3396" t="s">
        <v>611</v>
      </c>
      <c r="O3396" t="s">
        <v>11505</v>
      </c>
      <c r="P3396" t="str">
        <f>HYPERLINK("https://market.yandex.ru/product/182650022")</f>
        <v>https://market.yandex.ru/product/182650022</v>
      </c>
      <c r="R3396" t="s">
        <v>184</v>
      </c>
      <c r="S3396" t="s">
        <v>125</v>
      </c>
      <c r="T3396" t="s">
        <v>169</v>
      </c>
      <c r="U3396" t="s">
        <v>169</v>
      </c>
      <c r="W3396">
        <v>0</v>
      </c>
      <c r="X3396">
        <v>0</v>
      </c>
      <c r="AH3396">
        <v>5</v>
      </c>
      <c r="AM3396" t="s">
        <v>129</v>
      </c>
      <c r="AN3396" t="s">
        <v>130</v>
      </c>
      <c r="AP3396" t="s">
        <v>41</v>
      </c>
      <c r="AT3396" t="s">
        <v>45</v>
      </c>
      <c r="AZ3396" t="s">
        <v>51</v>
      </c>
      <c r="BA3396" t="s">
        <v>52</v>
      </c>
      <c r="BL3396" t="s">
        <v>63</v>
      </c>
    </row>
    <row r="3397" spans="1:69" x14ac:dyDescent="0.2">
      <c r="A3397" t="s">
        <v>11341</v>
      </c>
      <c r="B3397" t="s">
        <v>3112</v>
      </c>
      <c r="C3397" t="s">
        <v>11508</v>
      </c>
      <c r="D3397" t="s">
        <v>11509</v>
      </c>
      <c r="E3397" t="s">
        <v>11510</v>
      </c>
      <c r="F3397" t="s">
        <v>118</v>
      </c>
      <c r="G3397" t="str">
        <f>HYPERLINK("https://vk.com/wall-27863223_291391?w=wall-27863223_291391_r291394")</f>
        <v>https://vk.com/wall-27863223_291391?w=wall-27863223_291391_r291394</v>
      </c>
      <c r="H3397" t="s">
        <v>119</v>
      </c>
      <c r="I3397" t="s">
        <v>11511</v>
      </c>
      <c r="J3397" t="str">
        <f>HYPERLINK("http://vk.com/id469389965")</f>
        <v>http://vk.com/id469389965</v>
      </c>
      <c r="L3397" t="s">
        <v>121</v>
      </c>
      <c r="N3397" t="s">
        <v>122</v>
      </c>
      <c r="O3397" t="s">
        <v>175</v>
      </c>
      <c r="P3397" t="str">
        <f>HYPERLINK("http://vk.com/club27863223")</f>
        <v>http://vk.com/club27863223</v>
      </c>
      <c r="Q3397">
        <v>134698</v>
      </c>
      <c r="R3397" t="s">
        <v>124</v>
      </c>
      <c r="S3397" t="s">
        <v>125</v>
      </c>
      <c r="W3397">
        <v>0</v>
      </c>
      <c r="X3397">
        <v>0</v>
      </c>
      <c r="AM3397" t="s">
        <v>129</v>
      </c>
      <c r="AN3397" t="s">
        <v>130</v>
      </c>
      <c r="AP3397" t="s">
        <v>41</v>
      </c>
      <c r="AU3397" t="s">
        <v>46</v>
      </c>
      <c r="AZ3397" t="s">
        <v>51</v>
      </c>
      <c r="BA3397" t="s">
        <v>52</v>
      </c>
    </row>
    <row r="3398" spans="1:69" x14ac:dyDescent="0.2">
      <c r="A3398" t="s">
        <v>11341</v>
      </c>
      <c r="B3398" t="s">
        <v>459</v>
      </c>
      <c r="C3398" t="s">
        <v>11512</v>
      </c>
      <c r="D3398" t="s">
        <v>11509</v>
      </c>
      <c r="E3398" t="s">
        <v>11513</v>
      </c>
      <c r="F3398" t="s">
        <v>118</v>
      </c>
      <c r="G3398" t="str">
        <f>HYPERLINK("https://vk.com/wall-27863223_291391?reply=291392")</f>
        <v>https://vk.com/wall-27863223_291391?reply=291392</v>
      </c>
      <c r="H3398" t="s">
        <v>119</v>
      </c>
      <c r="I3398" t="s">
        <v>11511</v>
      </c>
      <c r="J3398" t="str">
        <f>HYPERLINK("http://vk.com/id469389965")</f>
        <v>http://vk.com/id469389965</v>
      </c>
      <c r="L3398" t="s">
        <v>121</v>
      </c>
      <c r="N3398" t="s">
        <v>122</v>
      </c>
      <c r="O3398" t="s">
        <v>175</v>
      </c>
      <c r="P3398" t="str">
        <f>HYPERLINK("http://vk.com/club27863223")</f>
        <v>http://vk.com/club27863223</v>
      </c>
      <c r="Q3398">
        <v>134698</v>
      </c>
      <c r="R3398" t="s">
        <v>124</v>
      </c>
      <c r="S3398" t="s">
        <v>125</v>
      </c>
      <c r="W3398">
        <v>0</v>
      </c>
      <c r="X3398">
        <v>0</v>
      </c>
      <c r="AM3398" t="s">
        <v>129</v>
      </c>
      <c r="AN3398" t="s">
        <v>130</v>
      </c>
      <c r="AP3398" t="s">
        <v>41</v>
      </c>
      <c r="AU3398" t="s">
        <v>46</v>
      </c>
      <c r="AZ3398" t="s">
        <v>51</v>
      </c>
      <c r="BA3398" t="s">
        <v>52</v>
      </c>
    </row>
    <row r="3399" spans="1:69" x14ac:dyDescent="0.2">
      <c r="A3399" t="s">
        <v>11341</v>
      </c>
      <c r="B3399" t="s">
        <v>5214</v>
      </c>
      <c r="C3399" t="s">
        <v>6286</v>
      </c>
      <c r="D3399" t="s">
        <v>6863</v>
      </c>
      <c r="E3399" t="s">
        <v>11514</v>
      </c>
      <c r="F3399" t="s">
        <v>180</v>
      </c>
      <c r="G3399" t="str">
        <f>HYPERLINK("https://www.ozon.ru/context/detail/id/174809969/#56975178")</f>
        <v>https://www.ozon.ru/context/detail/id/174809969/#56975178</v>
      </c>
      <c r="H3399" t="s">
        <v>181</v>
      </c>
      <c r="I3399" t="s">
        <v>512</v>
      </c>
      <c r="J3399" t="str">
        <f>HYPERLINK("https://www.ozon.ru/context/client_opinion/ClientGuid//")</f>
        <v>https://www.ozon.ru/context/client_opinion/ClientGuid//</v>
      </c>
      <c r="N3399" t="s">
        <v>183</v>
      </c>
      <c r="O3399" t="s">
        <v>6863</v>
      </c>
      <c r="P3399" t="str">
        <f>HYPERLINK("https://www.ozon.ru/context/detail/id/174809969/")</f>
        <v>https://www.ozon.ru/context/detail/id/174809969/</v>
      </c>
      <c r="R3399" t="s">
        <v>184</v>
      </c>
      <c r="S3399" t="s">
        <v>125</v>
      </c>
      <c r="W3399">
        <v>0</v>
      </c>
      <c r="X3399">
        <v>0</v>
      </c>
      <c r="AH3399">
        <v>5</v>
      </c>
      <c r="AM3399" t="s">
        <v>129</v>
      </c>
      <c r="AN3399" t="s">
        <v>130</v>
      </c>
      <c r="AP3399" t="s">
        <v>41</v>
      </c>
      <c r="AT3399" t="s">
        <v>45</v>
      </c>
      <c r="AZ3399" t="s">
        <v>51</v>
      </c>
      <c r="BA3399" t="s">
        <v>52</v>
      </c>
    </row>
    <row r="3400" spans="1:69" x14ac:dyDescent="0.2">
      <c r="A3400" t="s">
        <v>11341</v>
      </c>
      <c r="B3400" t="s">
        <v>6115</v>
      </c>
      <c r="C3400" t="s">
        <v>11515</v>
      </c>
      <c r="D3400" t="s">
        <v>10946</v>
      </c>
      <c r="E3400" t="s">
        <v>11516</v>
      </c>
      <c r="F3400" t="s">
        <v>118</v>
      </c>
      <c r="G3400" t="str">
        <f>HYPERLINK("https://vk.com/wall-22935147_368114?w=wall-22935147_368114_r368116")</f>
        <v>https://vk.com/wall-22935147_368114?w=wall-22935147_368114_r368116</v>
      </c>
      <c r="H3400" t="s">
        <v>119</v>
      </c>
      <c r="I3400" t="s">
        <v>6887</v>
      </c>
      <c r="J3400" t="str">
        <f>HYPERLINK("http://vk.com/id358374226")</f>
        <v>http://vk.com/id358374226</v>
      </c>
      <c r="K3400">
        <v>3</v>
      </c>
      <c r="L3400" t="s">
        <v>121</v>
      </c>
      <c r="M3400">
        <v>119</v>
      </c>
      <c r="N3400" t="s">
        <v>122</v>
      </c>
      <c r="O3400" t="s">
        <v>1093</v>
      </c>
      <c r="P3400" t="str">
        <f>HYPERLINK("http://vk.com/club22935147")</f>
        <v>http://vk.com/club22935147</v>
      </c>
      <c r="Q3400">
        <v>8943</v>
      </c>
      <c r="R3400" t="s">
        <v>124</v>
      </c>
      <c r="S3400" t="s">
        <v>125</v>
      </c>
      <c r="T3400" t="s">
        <v>169</v>
      </c>
      <c r="U3400" t="s">
        <v>169</v>
      </c>
      <c r="W3400">
        <v>0</v>
      </c>
      <c r="X3400">
        <v>0</v>
      </c>
      <c r="AM3400" t="s">
        <v>129</v>
      </c>
      <c r="AN3400" t="s">
        <v>130</v>
      </c>
      <c r="AP3400" t="s">
        <v>41</v>
      </c>
      <c r="AY3400" t="s">
        <v>50</v>
      </c>
      <c r="AZ3400" t="s">
        <v>51</v>
      </c>
      <c r="BA3400" t="s">
        <v>52</v>
      </c>
    </row>
    <row r="3401" spans="1:69" x14ac:dyDescent="0.2">
      <c r="A3401" t="s">
        <v>11341</v>
      </c>
      <c r="B3401" t="s">
        <v>6115</v>
      </c>
      <c r="C3401" t="s">
        <v>11517</v>
      </c>
      <c r="D3401" t="s">
        <v>11518</v>
      </c>
      <c r="E3401" t="s">
        <v>11519</v>
      </c>
      <c r="F3401" t="s">
        <v>180</v>
      </c>
      <c r="G3401" t="str">
        <f>HYPERLINK("https://www.otzyvru.com/3-kolor-tv/review-981837")</f>
        <v>https://www.otzyvru.com/3-kolor-tv/review-981837</v>
      </c>
      <c r="H3401" t="s">
        <v>228</v>
      </c>
      <c r="I3401" t="s">
        <v>11520</v>
      </c>
      <c r="J3401" t="str">
        <f>HYPERLINK("https://www.otzyvru.com/3-kolor-tv/review-981837")</f>
        <v>https://www.otzyvru.com/3-kolor-tv/review-981837</v>
      </c>
      <c r="L3401" t="s">
        <v>151</v>
      </c>
      <c r="N3401" t="s">
        <v>2945</v>
      </c>
      <c r="O3401" t="s">
        <v>2946</v>
      </c>
      <c r="P3401" t="str">
        <f>HYPERLINK("https://www.otzyvru.com/3-kolor-tv")</f>
        <v>https://www.otzyvru.com/3-kolor-tv</v>
      </c>
      <c r="R3401" t="s">
        <v>184</v>
      </c>
      <c r="S3401" t="s">
        <v>125</v>
      </c>
      <c r="AG3401">
        <v>0</v>
      </c>
      <c r="AH3401">
        <v>1</v>
      </c>
      <c r="AM3401" t="s">
        <v>129</v>
      </c>
      <c r="AN3401" t="s">
        <v>130</v>
      </c>
      <c r="AP3401" t="s">
        <v>41</v>
      </c>
      <c r="AT3401" t="s">
        <v>45</v>
      </c>
      <c r="AU3401" t="s">
        <v>46</v>
      </c>
      <c r="AW3401" t="s">
        <v>48</v>
      </c>
      <c r="AZ3401" t="s">
        <v>51</v>
      </c>
      <c r="BA3401" t="s">
        <v>52</v>
      </c>
    </row>
    <row r="3402" spans="1:69" x14ac:dyDescent="0.2">
      <c r="A3402" t="s">
        <v>11341</v>
      </c>
      <c r="B3402" t="s">
        <v>1588</v>
      </c>
      <c r="C3402" t="s">
        <v>11515</v>
      </c>
      <c r="D3402" t="s">
        <v>10946</v>
      </c>
      <c r="E3402" t="s">
        <v>11521</v>
      </c>
      <c r="F3402" t="s">
        <v>118</v>
      </c>
      <c r="G3402" t="str">
        <f>HYPERLINK("https://vk.com/wall-22935147_368114?reply=368115")</f>
        <v>https://vk.com/wall-22935147_368114?reply=368115</v>
      </c>
      <c r="H3402" t="s">
        <v>119</v>
      </c>
      <c r="I3402" t="s">
        <v>5110</v>
      </c>
      <c r="J3402" t="str">
        <f>HYPERLINK("http://vk.com/id521162897")</f>
        <v>http://vk.com/id521162897</v>
      </c>
      <c r="L3402" t="s">
        <v>121</v>
      </c>
      <c r="N3402" t="s">
        <v>122</v>
      </c>
      <c r="O3402" t="s">
        <v>1093</v>
      </c>
      <c r="P3402" t="str">
        <f>HYPERLINK("http://vk.com/club22935147")</f>
        <v>http://vk.com/club22935147</v>
      </c>
      <c r="Q3402">
        <v>8943</v>
      </c>
      <c r="R3402" t="s">
        <v>124</v>
      </c>
      <c r="S3402" t="s">
        <v>125</v>
      </c>
      <c r="T3402" t="s">
        <v>169</v>
      </c>
      <c r="U3402" t="s">
        <v>169</v>
      </c>
      <c r="W3402">
        <v>0</v>
      </c>
      <c r="X3402">
        <v>0</v>
      </c>
      <c r="AM3402" t="s">
        <v>129</v>
      </c>
      <c r="AN3402" t="s">
        <v>130</v>
      </c>
      <c r="AP3402" t="s">
        <v>41</v>
      </c>
      <c r="AU3402" t="s">
        <v>46</v>
      </c>
      <c r="AY3402" t="s">
        <v>50</v>
      </c>
      <c r="AZ3402" t="s">
        <v>51</v>
      </c>
      <c r="BA3402" t="s">
        <v>52</v>
      </c>
    </row>
    <row r="3403" spans="1:69" x14ac:dyDescent="0.2">
      <c r="A3403" t="s">
        <v>11341</v>
      </c>
      <c r="B3403" t="s">
        <v>1008</v>
      </c>
      <c r="C3403" t="s">
        <v>11522</v>
      </c>
      <c r="D3403" t="s">
        <v>204</v>
      </c>
      <c r="E3403" t="s">
        <v>11523</v>
      </c>
      <c r="F3403" t="s">
        <v>180</v>
      </c>
      <c r="G3403" t="str">
        <f>HYPERLINK("https://play.google.com/store/apps/details?id=ru.iflex.android.a3colortv&amp;reviewId=gp:AOqpTOForlU4oDp34G2-08jaNn_ZzQXYguD2qma2hSK5r1tNuE3J13K0-1kZaQmHtaC21_txmvIpzljCEsNJhw")</f>
        <v>https://play.google.com/store/apps/details?id=ru.iflex.android.a3colortv&amp;reviewId=gp:AOqpTOForlU4oDp34G2-08jaNn_ZzQXYguD2qma2hSK5r1tNuE3J13K0-1kZaQmHtaC21_txmvIpzljCEsNJhw</v>
      </c>
      <c r="H3403" t="s">
        <v>228</v>
      </c>
      <c r="I3403" t="s">
        <v>11524</v>
      </c>
      <c r="J3403" t="str">
        <f>HYPERLINK("https://plus.google.com/104636709308010595345")</f>
        <v>https://plus.google.com/104636709308010595345</v>
      </c>
      <c r="N3403" t="s">
        <v>207</v>
      </c>
      <c r="O3403" t="s">
        <v>204</v>
      </c>
      <c r="P3403" t="str">
        <f>HYPERLINK("https://play.google.com/store/apps/details?id=ru.iflex.android.a3colortv&amp;hl=ru")</f>
        <v>https://play.google.com/store/apps/details?id=ru.iflex.android.a3colortv&amp;hl=ru</v>
      </c>
      <c r="R3403" t="s">
        <v>184</v>
      </c>
      <c r="S3403" t="s">
        <v>125</v>
      </c>
      <c r="W3403">
        <v>0</v>
      </c>
      <c r="X3403">
        <v>0</v>
      </c>
      <c r="AH3403">
        <v>1</v>
      </c>
      <c r="AM3403" t="s">
        <v>129</v>
      </c>
      <c r="AN3403" t="s">
        <v>130</v>
      </c>
      <c r="AP3403" t="s">
        <v>41</v>
      </c>
      <c r="AU3403" t="s">
        <v>46</v>
      </c>
      <c r="AW3403" t="s">
        <v>48</v>
      </c>
      <c r="AY3403" t="s">
        <v>50</v>
      </c>
      <c r="AZ3403" t="s">
        <v>51</v>
      </c>
      <c r="BA3403" t="s">
        <v>52</v>
      </c>
      <c r="BQ3403" t="s">
        <v>68</v>
      </c>
    </row>
    <row r="3404" spans="1:69" x14ac:dyDescent="0.2">
      <c r="A3404" t="s">
        <v>11341</v>
      </c>
      <c r="B3404" t="s">
        <v>1602</v>
      </c>
      <c r="C3404" t="s">
        <v>11525</v>
      </c>
      <c r="D3404" t="s">
        <v>11526</v>
      </c>
      <c r="E3404" t="s">
        <v>11527</v>
      </c>
      <c r="F3404" t="s">
        <v>118</v>
      </c>
      <c r="G3404" t="str">
        <f>HYPERLINK("https://telegram.me/krasnaya_polyana/163326")</f>
        <v>https://telegram.me/krasnaya_polyana/163326</v>
      </c>
      <c r="H3404" t="s">
        <v>119</v>
      </c>
      <c r="I3404" t="s">
        <v>11528</v>
      </c>
      <c r="J3404" t="str">
        <f>HYPERLINK("https://telegram.me/antonbelousov")</f>
        <v>https://telegram.me/antonbelousov</v>
      </c>
      <c r="L3404" t="s">
        <v>121</v>
      </c>
      <c r="N3404" t="s">
        <v>143</v>
      </c>
      <c r="O3404" t="s">
        <v>9210</v>
      </c>
      <c r="P3404" t="str">
        <f>HYPERLINK("https://telegram.me/krasnaya_polyana")</f>
        <v>https://telegram.me/krasnaya_polyana</v>
      </c>
      <c r="Q3404">
        <v>6326</v>
      </c>
      <c r="R3404" t="s">
        <v>145</v>
      </c>
      <c r="AM3404" t="s">
        <v>129</v>
      </c>
      <c r="AN3404" t="s">
        <v>130</v>
      </c>
      <c r="AP3404" t="s">
        <v>41</v>
      </c>
      <c r="AZ3404" t="s">
        <v>51</v>
      </c>
      <c r="BA3404" t="s">
        <v>52</v>
      </c>
      <c r="BL3404" t="s">
        <v>63</v>
      </c>
    </row>
    <row r="3405" spans="1:69" x14ac:dyDescent="0.2">
      <c r="A3405" t="s">
        <v>11341</v>
      </c>
      <c r="B3405" t="s">
        <v>5232</v>
      </c>
      <c r="C3405" t="s">
        <v>11525</v>
      </c>
      <c r="D3405" t="s">
        <v>129</v>
      </c>
      <c r="E3405" t="s">
        <v>11529</v>
      </c>
      <c r="F3405" t="s">
        <v>180</v>
      </c>
      <c r="G3405" t="str">
        <f>HYPERLINK("https://telegram.me/krasnaya_polyana/163324")</f>
        <v>https://telegram.me/krasnaya_polyana/163324</v>
      </c>
      <c r="H3405" t="s">
        <v>119</v>
      </c>
      <c r="I3405" t="s">
        <v>129</v>
      </c>
      <c r="J3405" t="str">
        <f>HYPERLINK("https://telegram.me/aeksdark")</f>
        <v>https://telegram.me/aeksdark</v>
      </c>
      <c r="N3405" t="s">
        <v>143</v>
      </c>
      <c r="O3405" t="s">
        <v>9210</v>
      </c>
      <c r="P3405" t="str">
        <f>HYPERLINK("https://telegram.me/krasnaya_polyana")</f>
        <v>https://telegram.me/krasnaya_polyana</v>
      </c>
      <c r="Q3405">
        <v>6326</v>
      </c>
      <c r="R3405" t="s">
        <v>145</v>
      </c>
      <c r="AM3405" t="s">
        <v>129</v>
      </c>
      <c r="AN3405" t="s">
        <v>130</v>
      </c>
      <c r="AP3405" t="s">
        <v>41</v>
      </c>
      <c r="AZ3405" t="s">
        <v>51</v>
      </c>
      <c r="BA3405" t="s">
        <v>52</v>
      </c>
      <c r="BL3405" t="s">
        <v>63</v>
      </c>
    </row>
    <row r="3406" spans="1:69" x14ac:dyDescent="0.2">
      <c r="A3406" t="s">
        <v>11341</v>
      </c>
      <c r="B3406" t="s">
        <v>2621</v>
      </c>
      <c r="C3406" t="s">
        <v>11530</v>
      </c>
      <c r="D3406" t="s">
        <v>11531</v>
      </c>
      <c r="E3406" t="s">
        <v>11532</v>
      </c>
      <c r="F3406" t="s">
        <v>118</v>
      </c>
      <c r="G3406" t="str">
        <f>HYPERLINK("https://telegram.me/geek_tusnik_it/202297")</f>
        <v>https://telegram.me/geek_tusnik_it/202297</v>
      </c>
      <c r="H3406" t="s">
        <v>228</v>
      </c>
      <c r="I3406" t="s">
        <v>11533</v>
      </c>
      <c r="J3406" t="str">
        <f>HYPERLINK("https://telegram.me/932429620")</f>
        <v>https://telegram.me/932429620</v>
      </c>
      <c r="L3406" t="s">
        <v>121</v>
      </c>
      <c r="N3406" t="s">
        <v>143</v>
      </c>
      <c r="O3406" t="s">
        <v>11534</v>
      </c>
      <c r="P3406" t="str">
        <f>HYPERLINK("https://telegram.me/geek_tusnik_it")</f>
        <v>https://telegram.me/geek_tusnik_it</v>
      </c>
      <c r="Q3406">
        <v>365</v>
      </c>
      <c r="R3406" t="s">
        <v>145</v>
      </c>
      <c r="AM3406" t="s">
        <v>129</v>
      </c>
      <c r="AN3406" t="s">
        <v>130</v>
      </c>
      <c r="AP3406" t="s">
        <v>41</v>
      </c>
      <c r="AY3406" t="s">
        <v>50</v>
      </c>
      <c r="AZ3406" t="s">
        <v>51</v>
      </c>
      <c r="BA3406" t="s">
        <v>52</v>
      </c>
    </row>
    <row r="3407" spans="1:69" x14ac:dyDescent="0.2">
      <c r="A3407" t="s">
        <v>11341</v>
      </c>
      <c r="B3407" t="s">
        <v>2094</v>
      </c>
      <c r="C3407" t="s">
        <v>11535</v>
      </c>
      <c r="D3407" t="s">
        <v>4710</v>
      </c>
      <c r="E3407" t="s">
        <v>11536</v>
      </c>
      <c r="F3407" t="s">
        <v>180</v>
      </c>
      <c r="G3407" t="str">
        <f>HYPERLINK("https://www.ozon.ru/context/detail/id/226603194/#56961066")</f>
        <v>https://www.ozon.ru/context/detail/id/226603194/#56961066</v>
      </c>
      <c r="H3407" t="s">
        <v>119</v>
      </c>
      <c r="I3407" t="s">
        <v>11537</v>
      </c>
      <c r="J3407" t="str">
        <f>HYPERLINK("https://www.ozon.ru/context/client_opinion/ClientGuid/1c8c575b-cd4a-4e40-992f-27fe568eef80/")</f>
        <v>https://www.ozon.ru/context/client_opinion/ClientGuid/1c8c575b-cd4a-4e40-992f-27fe568eef80/</v>
      </c>
      <c r="L3407" t="s">
        <v>121</v>
      </c>
      <c r="N3407" t="s">
        <v>183</v>
      </c>
      <c r="O3407" t="s">
        <v>4710</v>
      </c>
      <c r="P3407" t="str">
        <f>HYPERLINK("https://www.ozon.ru/context/detail/id/226603194/")</f>
        <v>https://www.ozon.ru/context/detail/id/226603194/</v>
      </c>
      <c r="R3407" t="s">
        <v>184</v>
      </c>
      <c r="S3407" t="s">
        <v>125</v>
      </c>
      <c r="W3407">
        <v>0</v>
      </c>
      <c r="X3407">
        <v>0</v>
      </c>
      <c r="AH3407">
        <v>5</v>
      </c>
      <c r="AJ3407" t="s">
        <v>129</v>
      </c>
      <c r="AK3407" t="s">
        <v>129</v>
      </c>
      <c r="AL3407" t="str">
        <f>HYPERLINK("https://cdn1.ozone.ru/s3/rp-photo-5/a16c62d9-8b7e-4d45-953a-01cdbeefc0b6.jpeg")</f>
        <v>https://cdn1.ozone.ru/s3/rp-photo-5/a16c62d9-8b7e-4d45-953a-01cdbeefc0b6.jpeg</v>
      </c>
      <c r="AM3407" t="s">
        <v>129</v>
      </c>
      <c r="AN3407" t="s">
        <v>130</v>
      </c>
      <c r="AP3407" t="s">
        <v>41</v>
      </c>
      <c r="AT3407" t="s">
        <v>45</v>
      </c>
      <c r="AZ3407" t="s">
        <v>51</v>
      </c>
      <c r="BD3407" t="s">
        <v>55</v>
      </c>
    </row>
    <row r="3408" spans="1:69" x14ac:dyDescent="0.2">
      <c r="A3408" t="s">
        <v>11341</v>
      </c>
      <c r="B3408" t="s">
        <v>2094</v>
      </c>
      <c r="C3408" t="s">
        <v>11538</v>
      </c>
      <c r="D3408" t="s">
        <v>11539</v>
      </c>
      <c r="E3408" t="s">
        <v>11540</v>
      </c>
      <c r="F3408" t="s">
        <v>118</v>
      </c>
      <c r="G3408" t="str">
        <f>HYPERLINK("https://vk.com/wall-104292825_847328?reply=847586")</f>
        <v>https://vk.com/wall-104292825_847328?reply=847586</v>
      </c>
      <c r="H3408" t="s">
        <v>119</v>
      </c>
      <c r="I3408" t="s">
        <v>11541</v>
      </c>
      <c r="J3408" t="str">
        <f>HYPERLINK("http://vk.com/id32975446")</f>
        <v>http://vk.com/id32975446</v>
      </c>
      <c r="K3408">
        <v>427</v>
      </c>
      <c r="L3408" t="s">
        <v>121</v>
      </c>
      <c r="N3408" t="s">
        <v>122</v>
      </c>
      <c r="O3408" t="s">
        <v>3583</v>
      </c>
      <c r="P3408" t="str">
        <f>HYPERLINK("http://vk.com/club104292825")</f>
        <v>http://vk.com/club104292825</v>
      </c>
      <c r="Q3408">
        <v>27863</v>
      </c>
      <c r="R3408" t="s">
        <v>124</v>
      </c>
      <c r="S3408" t="s">
        <v>125</v>
      </c>
      <c r="T3408" t="s">
        <v>627</v>
      </c>
      <c r="U3408" t="s">
        <v>628</v>
      </c>
      <c r="AM3408" t="s">
        <v>129</v>
      </c>
      <c r="AN3408" t="s">
        <v>130</v>
      </c>
      <c r="AP3408" t="s">
        <v>41</v>
      </c>
      <c r="AZ3408" t="s">
        <v>51</v>
      </c>
      <c r="BA3408" t="s">
        <v>52</v>
      </c>
      <c r="BL3408" t="s">
        <v>63</v>
      </c>
    </row>
    <row r="3409" spans="1:77" x14ac:dyDescent="0.2">
      <c r="A3409" t="s">
        <v>11341</v>
      </c>
      <c r="B3409" t="s">
        <v>1047</v>
      </c>
      <c r="C3409" t="s">
        <v>6984</v>
      </c>
      <c r="D3409" t="s">
        <v>3455</v>
      </c>
      <c r="E3409" t="s">
        <v>11542</v>
      </c>
      <c r="F3409" t="s">
        <v>180</v>
      </c>
      <c r="G3409" t="str">
        <f>HYPERLINK("https://www.ozon.ru/context/detail/id/223364630/#56960094")</f>
        <v>https://www.ozon.ru/context/detail/id/223364630/#56960094</v>
      </c>
      <c r="H3409" t="s">
        <v>181</v>
      </c>
      <c r="I3409" t="s">
        <v>11543</v>
      </c>
      <c r="J3409" t="str">
        <f>HYPERLINK("https://www.ozon.ru/context/client_opinion/ClientGuid/53d853ec-778f-4608-8d30-9ad399687843/")</f>
        <v>https://www.ozon.ru/context/client_opinion/ClientGuid/53d853ec-778f-4608-8d30-9ad399687843/</v>
      </c>
      <c r="L3409" t="s">
        <v>121</v>
      </c>
      <c r="N3409" t="s">
        <v>183</v>
      </c>
      <c r="O3409" t="s">
        <v>3455</v>
      </c>
      <c r="P3409" t="str">
        <f>HYPERLINK("https://www.ozon.ru/context/detail/id/223364630/")</f>
        <v>https://www.ozon.ru/context/detail/id/223364630/</v>
      </c>
      <c r="R3409" t="s">
        <v>184</v>
      </c>
      <c r="S3409" t="s">
        <v>125</v>
      </c>
      <c r="W3409">
        <v>1</v>
      </c>
      <c r="X3409">
        <v>1</v>
      </c>
      <c r="AH3409">
        <v>5</v>
      </c>
      <c r="AM3409" t="s">
        <v>129</v>
      </c>
      <c r="AN3409" t="s">
        <v>130</v>
      </c>
      <c r="AP3409" t="s">
        <v>41</v>
      </c>
      <c r="AT3409" t="s">
        <v>45</v>
      </c>
      <c r="AW3409" t="s">
        <v>48</v>
      </c>
      <c r="AZ3409" t="s">
        <v>51</v>
      </c>
      <c r="BA3409" t="s">
        <v>52</v>
      </c>
      <c r="BM3409" t="s">
        <v>64</v>
      </c>
    </row>
    <row r="3410" spans="1:77" x14ac:dyDescent="0.2">
      <c r="A3410" t="s">
        <v>11341</v>
      </c>
      <c r="B3410" t="s">
        <v>8231</v>
      </c>
      <c r="C3410" t="s">
        <v>11544</v>
      </c>
      <c r="D3410" t="s">
        <v>11068</v>
      </c>
      <c r="E3410" t="s">
        <v>11545</v>
      </c>
      <c r="F3410" t="s">
        <v>118</v>
      </c>
      <c r="G3410" t="str">
        <f>HYPERLINK("https://vk.com/wall-199277766_680?reply=682")</f>
        <v>https://vk.com/wall-199277766_680?reply=682</v>
      </c>
      <c r="H3410" t="s">
        <v>119</v>
      </c>
      <c r="I3410" t="s">
        <v>254</v>
      </c>
      <c r="J3410" t="str">
        <f>HYPERLINK("http://vk.com/id286061518")</f>
        <v>http://vk.com/id286061518</v>
      </c>
      <c r="K3410">
        <v>5170</v>
      </c>
      <c r="L3410" t="s">
        <v>121</v>
      </c>
      <c r="M3410">
        <v>34</v>
      </c>
      <c r="N3410" t="s">
        <v>122</v>
      </c>
      <c r="O3410" t="s">
        <v>255</v>
      </c>
      <c r="P3410" t="str">
        <f>HYPERLINK("http://vk.com/club199277766")</f>
        <v>http://vk.com/club199277766</v>
      </c>
      <c r="Q3410">
        <v>53</v>
      </c>
      <c r="R3410" t="s">
        <v>124</v>
      </c>
      <c r="S3410" t="s">
        <v>125</v>
      </c>
      <c r="T3410" t="s">
        <v>256</v>
      </c>
      <c r="U3410" t="s">
        <v>257</v>
      </c>
      <c r="AM3410" t="s">
        <v>129</v>
      </c>
      <c r="AN3410" t="s">
        <v>130</v>
      </c>
      <c r="AP3410" t="s">
        <v>41</v>
      </c>
      <c r="AZ3410" t="s">
        <v>51</v>
      </c>
      <c r="BA3410" t="s">
        <v>52</v>
      </c>
      <c r="BY3410" t="s">
        <v>76</v>
      </c>
    </row>
    <row r="3411" spans="1:77" x14ac:dyDescent="0.2">
      <c r="A3411" t="s">
        <v>11341</v>
      </c>
      <c r="B3411" t="s">
        <v>6819</v>
      </c>
      <c r="C3411" t="s">
        <v>6984</v>
      </c>
      <c r="D3411" t="s">
        <v>2842</v>
      </c>
      <c r="E3411" t="s">
        <v>11546</v>
      </c>
      <c r="F3411" t="s">
        <v>180</v>
      </c>
      <c r="G3411" t="str">
        <f>HYPERLINK("https://www.ozon.ru/context/detail/id/206030955/#56955880")</f>
        <v>https://www.ozon.ru/context/detail/id/206030955/#56955880</v>
      </c>
      <c r="H3411" t="s">
        <v>181</v>
      </c>
      <c r="I3411" t="s">
        <v>11547</v>
      </c>
      <c r="J3411" t="str">
        <f>HYPERLINK("https://www.ozon.ru/context/client_opinion/ClientGuid/f0e22f2f-cf2c-4bff-b021-210b28cfba06/")</f>
        <v>https://www.ozon.ru/context/client_opinion/ClientGuid/f0e22f2f-cf2c-4bff-b021-210b28cfba06/</v>
      </c>
      <c r="L3411" t="s">
        <v>121</v>
      </c>
      <c r="N3411" t="s">
        <v>183</v>
      </c>
      <c r="O3411" t="s">
        <v>2842</v>
      </c>
      <c r="P3411" t="str">
        <f>HYPERLINK("https://www.ozon.ru/context/detail/id/206030955/")</f>
        <v>https://www.ozon.ru/context/detail/id/206030955/</v>
      </c>
      <c r="R3411" t="s">
        <v>184</v>
      </c>
      <c r="S3411" t="s">
        <v>125</v>
      </c>
      <c r="W3411">
        <v>1</v>
      </c>
      <c r="X3411">
        <v>1</v>
      </c>
      <c r="AH3411">
        <v>5</v>
      </c>
      <c r="AM3411" t="s">
        <v>129</v>
      </c>
      <c r="AN3411" t="s">
        <v>130</v>
      </c>
      <c r="AP3411" t="s">
        <v>41</v>
      </c>
      <c r="AT3411" t="s">
        <v>45</v>
      </c>
      <c r="AZ3411" t="s">
        <v>51</v>
      </c>
      <c r="BA3411" t="s">
        <v>52</v>
      </c>
      <c r="BM3411" t="s">
        <v>64</v>
      </c>
    </row>
    <row r="3412" spans="1:77" x14ac:dyDescent="0.2">
      <c r="A3412" t="s">
        <v>11341</v>
      </c>
      <c r="B3412" t="s">
        <v>2658</v>
      </c>
      <c r="C3412" t="s">
        <v>8447</v>
      </c>
      <c r="D3412" t="s">
        <v>3388</v>
      </c>
      <c r="E3412" t="s">
        <v>11548</v>
      </c>
      <c r="F3412" t="s">
        <v>180</v>
      </c>
      <c r="G3412" t="str">
        <f>HYPERLINK("https://www.wildberries.ru/catalog/25365834/detail.aspx?targetUrl=ES#Comments")</f>
        <v>https://www.wildberries.ru/catalog/25365834/detail.aspx?targetUrl=ES#Comments</v>
      </c>
      <c r="H3412" t="s">
        <v>181</v>
      </c>
      <c r="I3412" t="s">
        <v>3159</v>
      </c>
      <c r="J3412" t="str">
        <f>HYPERLINK("https://www.wildberries.ru/profile/w7TDssOkw7PCu8K1wrLCtMK2wrTCsMKwwrQ=")</f>
        <v>https://www.wildberries.ru/profile/w7TDssOkw7PCu8K1wrLCtMK2wrTCsMKwwrQ=</v>
      </c>
      <c r="L3412" t="s">
        <v>121</v>
      </c>
      <c r="N3412" t="s">
        <v>534</v>
      </c>
      <c r="O3412" t="s">
        <v>3388</v>
      </c>
      <c r="P3412" t="str">
        <f>HYPERLINK("https://www.wildberries.ru/catalog/18682734/detail.aspx")</f>
        <v>https://www.wildberries.ru/catalog/18682734/detail.aspx</v>
      </c>
      <c r="R3412" t="s">
        <v>184</v>
      </c>
      <c r="S3412" t="s">
        <v>125</v>
      </c>
      <c r="W3412">
        <v>1</v>
      </c>
      <c r="X3412">
        <v>1</v>
      </c>
      <c r="AH3412">
        <v>5</v>
      </c>
      <c r="AM3412" t="s">
        <v>129</v>
      </c>
      <c r="AN3412" t="s">
        <v>130</v>
      </c>
      <c r="AP3412" t="s">
        <v>41</v>
      </c>
      <c r="AT3412" t="s">
        <v>45</v>
      </c>
      <c r="AZ3412" t="s">
        <v>51</v>
      </c>
      <c r="BA3412" t="s">
        <v>52</v>
      </c>
    </row>
    <row r="3413" spans="1:77" x14ac:dyDescent="0.2">
      <c r="A3413" t="s">
        <v>11341</v>
      </c>
      <c r="B3413" t="s">
        <v>2673</v>
      </c>
      <c r="C3413" t="s">
        <v>11549</v>
      </c>
      <c r="D3413" t="s">
        <v>9466</v>
      </c>
      <c r="E3413" t="s">
        <v>11550</v>
      </c>
      <c r="F3413" t="s">
        <v>118</v>
      </c>
      <c r="G3413" t="str">
        <f>HYPERLINK("https://vk.com/wall-27863223_291374?reply=291387")</f>
        <v>https://vk.com/wall-27863223_291374?reply=291387</v>
      </c>
      <c r="H3413" t="s">
        <v>119</v>
      </c>
      <c r="I3413" t="s">
        <v>11551</v>
      </c>
      <c r="J3413" t="str">
        <f>HYPERLINK("http://vk.com/id308673896")</f>
        <v>http://vk.com/id308673896</v>
      </c>
      <c r="K3413">
        <v>73</v>
      </c>
      <c r="L3413" t="s">
        <v>151</v>
      </c>
      <c r="N3413" t="s">
        <v>122</v>
      </c>
      <c r="O3413" t="s">
        <v>175</v>
      </c>
      <c r="P3413" t="str">
        <f>HYPERLINK("http://vk.com/club27863223")</f>
        <v>http://vk.com/club27863223</v>
      </c>
      <c r="Q3413">
        <v>134698</v>
      </c>
      <c r="R3413" t="s">
        <v>124</v>
      </c>
      <c r="W3413">
        <v>0</v>
      </c>
      <c r="X3413">
        <v>0</v>
      </c>
      <c r="AM3413" t="s">
        <v>129</v>
      </c>
      <c r="AN3413" t="s">
        <v>130</v>
      </c>
      <c r="AP3413" t="s">
        <v>41</v>
      </c>
      <c r="AU3413" t="s">
        <v>46</v>
      </c>
      <c r="AZ3413" t="s">
        <v>51</v>
      </c>
      <c r="BA3413" t="s">
        <v>52</v>
      </c>
    </row>
    <row r="3414" spans="1:77" x14ac:dyDescent="0.2">
      <c r="A3414" t="s">
        <v>11341</v>
      </c>
      <c r="B3414" t="s">
        <v>565</v>
      </c>
      <c r="C3414" t="s">
        <v>11552</v>
      </c>
      <c r="D3414" t="s">
        <v>129</v>
      </c>
      <c r="E3414" t="s">
        <v>10538</v>
      </c>
      <c r="F3414" t="s">
        <v>180</v>
      </c>
      <c r="G3414" t="str">
        <f>HYPERLINK("https://vk.com/wall-61101621_254505")</f>
        <v>https://vk.com/wall-61101621_254505</v>
      </c>
      <c r="H3414" t="s">
        <v>119</v>
      </c>
      <c r="I3414" t="s">
        <v>9836</v>
      </c>
      <c r="J3414" t="str">
        <f>HYPERLINK("http://vk.com/id106840295")</f>
        <v>http://vk.com/id106840295</v>
      </c>
      <c r="K3414">
        <v>35</v>
      </c>
      <c r="L3414" t="s">
        <v>121</v>
      </c>
      <c r="N3414" t="s">
        <v>122</v>
      </c>
      <c r="O3414" t="s">
        <v>160</v>
      </c>
      <c r="P3414" t="str">
        <f>HYPERLINK("http://vk.com/club61101621")</f>
        <v>http://vk.com/club61101621</v>
      </c>
      <c r="Q3414">
        <v>21119</v>
      </c>
      <c r="R3414" t="s">
        <v>124</v>
      </c>
      <c r="S3414" t="s">
        <v>125</v>
      </c>
      <c r="W3414">
        <v>7</v>
      </c>
      <c r="X3414">
        <v>7</v>
      </c>
      <c r="AE3414">
        <v>6</v>
      </c>
      <c r="AF3414">
        <v>0</v>
      </c>
      <c r="AG3414">
        <v>2287</v>
      </c>
      <c r="AM3414" t="s">
        <v>129</v>
      </c>
      <c r="AN3414" t="s">
        <v>130</v>
      </c>
      <c r="AP3414" t="s">
        <v>41</v>
      </c>
      <c r="AU3414" t="s">
        <v>46</v>
      </c>
      <c r="AY3414" t="s">
        <v>50</v>
      </c>
      <c r="AZ3414" t="s">
        <v>51</v>
      </c>
      <c r="BA3414" t="s">
        <v>52</v>
      </c>
    </row>
    <row r="3415" spans="1:77" x14ac:dyDescent="0.2">
      <c r="A3415" t="s">
        <v>11341</v>
      </c>
      <c r="B3415" t="s">
        <v>7849</v>
      </c>
      <c r="C3415" t="s">
        <v>11553</v>
      </c>
      <c r="D3415" t="s">
        <v>204</v>
      </c>
      <c r="E3415" t="s">
        <v>11554</v>
      </c>
      <c r="F3415" t="s">
        <v>180</v>
      </c>
      <c r="G3415" t="str">
        <f>HYPERLINK("https://play.google.com/store/apps/details?id=ru.iflex.android.a3colortv&amp;reviewId=gp:AOqpTOFpf8RpvFK9ueqM14ipey9BijANUun1mihq1pOIaT2OMLNt9_tbGMAxVKF791ULCikvZMVnMccwh1PL0Q")</f>
        <v>https://play.google.com/store/apps/details?id=ru.iflex.android.a3colortv&amp;reviewId=gp:AOqpTOFpf8RpvFK9ueqM14ipey9BijANUun1mihq1pOIaT2OMLNt9_tbGMAxVKF791ULCikvZMVnMccwh1PL0Q</v>
      </c>
      <c r="H3415" t="s">
        <v>228</v>
      </c>
      <c r="I3415" t="s">
        <v>11555</v>
      </c>
      <c r="J3415" t="str">
        <f>HYPERLINK("https://plus.google.com/100259342794998099831")</f>
        <v>https://plus.google.com/100259342794998099831</v>
      </c>
      <c r="L3415" t="s">
        <v>121</v>
      </c>
      <c r="N3415" t="s">
        <v>207</v>
      </c>
      <c r="O3415" t="s">
        <v>204</v>
      </c>
      <c r="P3415" t="str">
        <f>HYPERLINK("https://play.google.com/store/apps/details?id=ru.iflex.android.a3colortv&amp;hl=ru")</f>
        <v>https://play.google.com/store/apps/details?id=ru.iflex.android.a3colortv&amp;hl=ru</v>
      </c>
      <c r="R3415" t="s">
        <v>184</v>
      </c>
      <c r="S3415" t="s">
        <v>125</v>
      </c>
      <c r="W3415">
        <v>0</v>
      </c>
      <c r="X3415">
        <v>0</v>
      </c>
      <c r="AH3415">
        <v>1</v>
      </c>
      <c r="AM3415" t="s">
        <v>129</v>
      </c>
      <c r="AN3415" t="s">
        <v>130</v>
      </c>
      <c r="AP3415" t="s">
        <v>41</v>
      </c>
      <c r="AU3415" t="s">
        <v>46</v>
      </c>
      <c r="AZ3415" t="s">
        <v>51</v>
      </c>
      <c r="BA3415" t="s">
        <v>52</v>
      </c>
      <c r="BQ3415" t="s">
        <v>68</v>
      </c>
    </row>
    <row r="3416" spans="1:77" x14ac:dyDescent="0.2">
      <c r="A3416" t="s">
        <v>11341</v>
      </c>
      <c r="B3416" t="s">
        <v>2724</v>
      </c>
      <c r="C3416" t="s">
        <v>6116</v>
      </c>
      <c r="D3416" t="s">
        <v>11556</v>
      </c>
      <c r="E3416" t="s">
        <v>11557</v>
      </c>
      <c r="F3416" t="s">
        <v>180</v>
      </c>
      <c r="G3416" t="str">
        <f>HYPERLINK("https://www.ozon.ru/context/detail/id/172070796/#56938082")</f>
        <v>https://www.ozon.ru/context/detail/id/172070796/#56938082</v>
      </c>
      <c r="H3416" t="s">
        <v>181</v>
      </c>
      <c r="I3416" t="s">
        <v>11558</v>
      </c>
      <c r="J3416" t="str">
        <f>HYPERLINK("https://www.ozon.ru/context/client_opinion/ClientGuid/1873afde-7d02-4c59-850f-69ea78724b5b/")</f>
        <v>https://www.ozon.ru/context/client_opinion/ClientGuid/1873afde-7d02-4c59-850f-69ea78724b5b/</v>
      </c>
      <c r="L3416" t="s">
        <v>121</v>
      </c>
      <c r="N3416" t="s">
        <v>183</v>
      </c>
      <c r="O3416" t="s">
        <v>11556</v>
      </c>
      <c r="P3416" t="str">
        <f>HYPERLINK("https://www.ozon.ru/context/detail/id/172070796/")</f>
        <v>https://www.ozon.ru/context/detail/id/172070796/</v>
      </c>
      <c r="R3416" t="s">
        <v>184</v>
      </c>
      <c r="S3416" t="s">
        <v>125</v>
      </c>
      <c r="W3416">
        <v>0</v>
      </c>
      <c r="X3416">
        <v>0</v>
      </c>
      <c r="AH3416">
        <v>5</v>
      </c>
      <c r="AM3416" t="s">
        <v>129</v>
      </c>
      <c r="AN3416" t="s">
        <v>130</v>
      </c>
      <c r="AP3416" t="s">
        <v>41</v>
      </c>
      <c r="AT3416" t="s">
        <v>45</v>
      </c>
      <c r="AZ3416" t="s">
        <v>51</v>
      </c>
      <c r="BA3416" t="s">
        <v>52</v>
      </c>
    </row>
    <row r="3417" spans="1:77" x14ac:dyDescent="0.2">
      <c r="A3417" t="s">
        <v>11341</v>
      </c>
      <c r="B3417" t="s">
        <v>1710</v>
      </c>
      <c r="C3417" t="s">
        <v>11559</v>
      </c>
      <c r="D3417" t="s">
        <v>11560</v>
      </c>
      <c r="E3417" t="s">
        <v>11561</v>
      </c>
      <c r="F3417" t="s">
        <v>180</v>
      </c>
      <c r="G3417" t="str">
        <f>HYPERLINK("https://otvet.mail.ru/answer/1993238649")</f>
        <v>https://otvet.mail.ru/answer/1993238649</v>
      </c>
      <c r="H3417" t="s">
        <v>119</v>
      </c>
      <c r="I3417" t="s">
        <v>8732</v>
      </c>
      <c r="J3417" t="str">
        <f>HYPERLINK("http://otvet.mail.ru/profile/id95494984")</f>
        <v>http://otvet.mail.ru/profile/id95494984</v>
      </c>
      <c r="L3417" t="s">
        <v>121</v>
      </c>
      <c r="N3417" t="s">
        <v>690</v>
      </c>
      <c r="O3417" t="s">
        <v>11562</v>
      </c>
      <c r="P3417" t="str">
        <f>HYPERLINK("https://otvet.mail.ru/house/")</f>
        <v>https://otvet.mail.ru/house/</v>
      </c>
      <c r="R3417" t="s">
        <v>295</v>
      </c>
      <c r="S3417" t="s">
        <v>125</v>
      </c>
      <c r="AM3417" t="s">
        <v>129</v>
      </c>
      <c r="AN3417" t="s">
        <v>130</v>
      </c>
      <c r="AP3417" t="s">
        <v>41</v>
      </c>
      <c r="AT3417" t="s">
        <v>45</v>
      </c>
      <c r="AZ3417" t="s">
        <v>51</v>
      </c>
      <c r="BA3417" t="s">
        <v>52</v>
      </c>
      <c r="BL3417" t="s">
        <v>63</v>
      </c>
    </row>
    <row r="3418" spans="1:77" x14ac:dyDescent="0.2">
      <c r="A3418" t="s">
        <v>11341</v>
      </c>
      <c r="B3418" t="s">
        <v>3919</v>
      </c>
      <c r="C3418" t="s">
        <v>11563</v>
      </c>
      <c r="D3418" t="s">
        <v>10354</v>
      </c>
      <c r="E3418" t="s">
        <v>11564</v>
      </c>
      <c r="F3418" t="s">
        <v>118</v>
      </c>
      <c r="G3418" t="str">
        <f>HYPERLINK("https://vk.com/wall-61101621_254486?reply=254502&amp;thread=254492")</f>
        <v>https://vk.com/wall-61101621_254486?reply=254502&amp;thread=254492</v>
      </c>
      <c r="H3418" t="s">
        <v>119</v>
      </c>
      <c r="I3418" t="s">
        <v>11565</v>
      </c>
      <c r="J3418" t="str">
        <f>HYPERLINK("http://vk.com/id527868980")</f>
        <v>http://vk.com/id527868980</v>
      </c>
      <c r="K3418">
        <v>34348</v>
      </c>
      <c r="L3418" t="s">
        <v>121</v>
      </c>
      <c r="M3418">
        <v>29</v>
      </c>
      <c r="N3418" t="s">
        <v>122</v>
      </c>
      <c r="O3418" t="s">
        <v>160</v>
      </c>
      <c r="P3418" t="str">
        <f>HYPERLINK("http://vk.com/club61101621")</f>
        <v>http://vk.com/club61101621</v>
      </c>
      <c r="Q3418">
        <v>21119</v>
      </c>
      <c r="R3418" t="s">
        <v>124</v>
      </c>
      <c r="S3418" t="s">
        <v>125</v>
      </c>
      <c r="T3418" t="s">
        <v>169</v>
      </c>
      <c r="U3418" t="s">
        <v>169</v>
      </c>
      <c r="AM3418" t="s">
        <v>129</v>
      </c>
      <c r="AN3418" t="s">
        <v>130</v>
      </c>
      <c r="AP3418" t="s">
        <v>41</v>
      </c>
      <c r="AU3418" t="s">
        <v>46</v>
      </c>
      <c r="AZ3418" t="s">
        <v>51</v>
      </c>
      <c r="BA3418" t="s">
        <v>52</v>
      </c>
    </row>
    <row r="3419" spans="1:77" x14ac:dyDescent="0.2">
      <c r="A3419" t="s">
        <v>11341</v>
      </c>
      <c r="B3419" t="s">
        <v>1118</v>
      </c>
      <c r="C3419" t="s">
        <v>11566</v>
      </c>
      <c r="D3419" t="s">
        <v>10944</v>
      </c>
      <c r="E3419" t="s">
        <v>11567</v>
      </c>
      <c r="F3419" t="s">
        <v>118</v>
      </c>
      <c r="G3419" t="str">
        <f>HYPERLINK("https://vk.com/wall-22935147_368103?reply=368113")</f>
        <v>https://vk.com/wall-22935147_368103?reply=368113</v>
      </c>
      <c r="H3419" t="s">
        <v>119</v>
      </c>
      <c r="I3419" t="s">
        <v>2803</v>
      </c>
      <c r="J3419" t="str">
        <f>HYPERLINK("http://vk.com/id12396088")</f>
        <v>http://vk.com/id12396088</v>
      </c>
      <c r="K3419">
        <v>14</v>
      </c>
      <c r="L3419" t="s">
        <v>121</v>
      </c>
      <c r="N3419" t="s">
        <v>122</v>
      </c>
      <c r="O3419" t="s">
        <v>1093</v>
      </c>
      <c r="P3419" t="str">
        <f>HYPERLINK("http://vk.com/club22935147")</f>
        <v>http://vk.com/club22935147</v>
      </c>
      <c r="Q3419">
        <v>8943</v>
      </c>
      <c r="R3419" t="s">
        <v>124</v>
      </c>
      <c r="S3419" t="s">
        <v>125</v>
      </c>
      <c r="T3419" t="s">
        <v>759</v>
      </c>
      <c r="U3419" t="s">
        <v>2804</v>
      </c>
      <c r="AM3419" t="s">
        <v>129</v>
      </c>
      <c r="AN3419" t="s">
        <v>130</v>
      </c>
      <c r="AP3419" t="s">
        <v>41</v>
      </c>
      <c r="AU3419" t="s">
        <v>46</v>
      </c>
      <c r="AZ3419" t="s">
        <v>51</v>
      </c>
      <c r="BA3419" t="s">
        <v>52</v>
      </c>
    </row>
    <row r="3420" spans="1:77" x14ac:dyDescent="0.2">
      <c r="A3420" t="s">
        <v>11341</v>
      </c>
      <c r="B3420" t="s">
        <v>1122</v>
      </c>
      <c r="C3420" t="s">
        <v>11568</v>
      </c>
      <c r="D3420" t="s">
        <v>4147</v>
      </c>
      <c r="E3420" t="s">
        <v>11569</v>
      </c>
      <c r="F3420" t="s">
        <v>180</v>
      </c>
      <c r="G3420" t="str">
        <f>HYPERLINK("https://www.wildberries.ru/catalog/15145842/detail.aspx?targetUrl=ES#Comments")</f>
        <v>https://www.wildberries.ru/catalog/15145842/detail.aspx?targetUrl=ES#Comments</v>
      </c>
      <c r="H3420" t="s">
        <v>181</v>
      </c>
      <c r="I3420" t="s">
        <v>2131</v>
      </c>
      <c r="J3420" t="str">
        <f>HYPERLINK("https://www.wildberries.ru/profile/w7TDssOkw7PCu8K1wrfCtsKzwrnCt8KywrU=")</f>
        <v>https://www.wildberries.ru/profile/w7TDssOkw7PCu8K1wrfCtsKzwrnCt8KywrU=</v>
      </c>
      <c r="L3420" t="s">
        <v>121</v>
      </c>
      <c r="N3420" t="s">
        <v>534</v>
      </c>
      <c r="O3420" t="s">
        <v>4147</v>
      </c>
      <c r="P3420" t="str">
        <f>HYPERLINK("https://www.wildberries.ru/catalog/11323741/detail.aspx")</f>
        <v>https://www.wildberries.ru/catalog/11323741/detail.aspx</v>
      </c>
      <c r="R3420" t="s">
        <v>184</v>
      </c>
      <c r="S3420" t="s">
        <v>125</v>
      </c>
      <c r="W3420">
        <v>0</v>
      </c>
      <c r="X3420">
        <v>0</v>
      </c>
      <c r="AH3420">
        <v>5</v>
      </c>
      <c r="AM3420" t="s">
        <v>129</v>
      </c>
      <c r="AN3420" t="s">
        <v>130</v>
      </c>
      <c r="AP3420" t="s">
        <v>41</v>
      </c>
      <c r="AT3420" t="s">
        <v>45</v>
      </c>
      <c r="AZ3420" t="s">
        <v>51</v>
      </c>
      <c r="BA3420" t="s">
        <v>52</v>
      </c>
      <c r="BL3420" t="s">
        <v>63</v>
      </c>
    </row>
    <row r="3421" spans="1:77" x14ac:dyDescent="0.2">
      <c r="A3421" t="s">
        <v>11341</v>
      </c>
      <c r="B3421" t="s">
        <v>1733</v>
      </c>
      <c r="C3421" t="s">
        <v>11570</v>
      </c>
      <c r="D3421" t="s">
        <v>11571</v>
      </c>
      <c r="E3421" t="s">
        <v>11572</v>
      </c>
      <c r="F3421" t="s">
        <v>118</v>
      </c>
      <c r="G3421" t="str">
        <f>HYPERLINK("https://vk.com/wall-27863223_291306?w=wall-27863223_291306_r291386")</f>
        <v>https://vk.com/wall-27863223_291306?w=wall-27863223_291306_r291386</v>
      </c>
      <c r="H3421" t="s">
        <v>119</v>
      </c>
      <c r="I3421" t="s">
        <v>2212</v>
      </c>
      <c r="J3421" t="str">
        <f>HYPERLINK("http://vk.com/id140937333")</f>
        <v>http://vk.com/id140937333</v>
      </c>
      <c r="K3421">
        <v>15</v>
      </c>
      <c r="L3421" t="s">
        <v>121</v>
      </c>
      <c r="N3421" t="s">
        <v>122</v>
      </c>
      <c r="O3421" t="s">
        <v>175</v>
      </c>
      <c r="P3421" t="str">
        <f>HYPERLINK("http://vk.com/club27863223")</f>
        <v>http://vk.com/club27863223</v>
      </c>
      <c r="Q3421">
        <v>134698</v>
      </c>
      <c r="R3421" t="s">
        <v>124</v>
      </c>
      <c r="S3421" t="s">
        <v>125</v>
      </c>
      <c r="W3421">
        <v>0</v>
      </c>
      <c r="X3421">
        <v>0</v>
      </c>
      <c r="AM3421" t="s">
        <v>129</v>
      </c>
      <c r="AN3421" t="s">
        <v>130</v>
      </c>
      <c r="AP3421" t="s">
        <v>41</v>
      </c>
      <c r="AZ3421" t="s">
        <v>51</v>
      </c>
      <c r="BA3421" t="s">
        <v>52</v>
      </c>
      <c r="BY3421" t="s">
        <v>76</v>
      </c>
    </row>
    <row r="3422" spans="1:77" x14ac:dyDescent="0.2">
      <c r="A3422" t="s">
        <v>11341</v>
      </c>
      <c r="B3422" t="s">
        <v>11573</v>
      </c>
      <c r="C3422" t="s">
        <v>11574</v>
      </c>
      <c r="D3422" t="s">
        <v>129</v>
      </c>
      <c r="E3422" t="s">
        <v>11320</v>
      </c>
      <c r="F3422" t="s">
        <v>180</v>
      </c>
      <c r="G3422" t="str">
        <f>HYPERLINK("https://telegram.me/SputnikN1/60861")</f>
        <v>https://telegram.me/SputnikN1/60861</v>
      </c>
      <c r="H3422" t="s">
        <v>119</v>
      </c>
      <c r="I3422" t="s">
        <v>11575</v>
      </c>
      <c r="J3422" t="str">
        <f>HYPERLINK("https://telegram.me/1463889456")</f>
        <v>https://telegram.me/1463889456</v>
      </c>
      <c r="L3422" t="s">
        <v>121</v>
      </c>
      <c r="N3422" t="s">
        <v>143</v>
      </c>
      <c r="O3422" t="s">
        <v>11322</v>
      </c>
      <c r="P3422" t="str">
        <f>HYPERLINK("https://telegram.me/sputnikn1")</f>
        <v>https://telegram.me/sputnikn1</v>
      </c>
      <c r="Q3422">
        <v>590</v>
      </c>
      <c r="R3422" t="s">
        <v>145</v>
      </c>
      <c r="AM3422" t="s">
        <v>129</v>
      </c>
      <c r="AN3422" t="s">
        <v>130</v>
      </c>
      <c r="AP3422" t="s">
        <v>41</v>
      </c>
      <c r="AU3422" t="s">
        <v>46</v>
      </c>
      <c r="AZ3422" t="s">
        <v>51</v>
      </c>
      <c r="BA3422" t="s">
        <v>52</v>
      </c>
    </row>
    <row r="3423" spans="1:77" x14ac:dyDescent="0.2">
      <c r="A3423" t="s">
        <v>11341</v>
      </c>
      <c r="B3423" t="s">
        <v>3219</v>
      </c>
      <c r="C3423" t="s">
        <v>11576</v>
      </c>
      <c r="D3423" t="s">
        <v>129</v>
      </c>
      <c r="E3423" t="s">
        <v>11320</v>
      </c>
      <c r="F3423" t="s">
        <v>180</v>
      </c>
      <c r="G3423" t="str">
        <f>HYPERLINK("https://telegram.me/SHARA_01/578")</f>
        <v>https://telegram.me/SHARA_01/578</v>
      </c>
      <c r="H3423" t="s">
        <v>119</v>
      </c>
      <c r="I3423" t="s">
        <v>11575</v>
      </c>
      <c r="J3423" t="str">
        <f>HYPERLINK("https://telegram.me/1463889456")</f>
        <v>https://telegram.me/1463889456</v>
      </c>
      <c r="L3423" t="s">
        <v>121</v>
      </c>
      <c r="N3423" t="s">
        <v>143</v>
      </c>
      <c r="O3423" t="s">
        <v>11577</v>
      </c>
      <c r="P3423" t="str">
        <f>HYPERLINK("https://telegram.me/shara_01")</f>
        <v>https://telegram.me/shara_01</v>
      </c>
      <c r="Q3423">
        <v>68</v>
      </c>
      <c r="R3423" t="s">
        <v>145</v>
      </c>
      <c r="AM3423" t="s">
        <v>129</v>
      </c>
      <c r="AN3423" t="s">
        <v>130</v>
      </c>
      <c r="AP3423" t="s">
        <v>41</v>
      </c>
      <c r="AU3423" t="s">
        <v>46</v>
      </c>
      <c r="AZ3423" t="s">
        <v>51</v>
      </c>
      <c r="BA3423" t="s">
        <v>52</v>
      </c>
    </row>
    <row r="3424" spans="1:77" x14ac:dyDescent="0.2">
      <c r="A3424" t="s">
        <v>11341</v>
      </c>
      <c r="B3424" t="s">
        <v>3219</v>
      </c>
      <c r="C3424" t="s">
        <v>11578</v>
      </c>
      <c r="D3424" t="s">
        <v>129</v>
      </c>
      <c r="E3424" t="s">
        <v>11320</v>
      </c>
      <c r="F3424" t="s">
        <v>180</v>
      </c>
      <c r="G3424" t="str">
        <f>HYPERLINK("https://telegram.me/sharatvorg/23012")</f>
        <v>https://telegram.me/sharatvorg/23012</v>
      </c>
      <c r="H3424" t="s">
        <v>119</v>
      </c>
      <c r="I3424" t="s">
        <v>11575</v>
      </c>
      <c r="J3424" t="str">
        <f>HYPERLINK("https://telegram.me/1463889456")</f>
        <v>https://telegram.me/1463889456</v>
      </c>
      <c r="L3424" t="s">
        <v>121</v>
      </c>
      <c r="N3424" t="s">
        <v>143</v>
      </c>
      <c r="O3424" t="s">
        <v>10312</v>
      </c>
      <c r="P3424" t="str">
        <f>HYPERLINK("https://telegram.me/sharatvorg")</f>
        <v>https://telegram.me/sharatvorg</v>
      </c>
      <c r="Q3424">
        <v>469</v>
      </c>
      <c r="R3424" t="s">
        <v>145</v>
      </c>
      <c r="AM3424" t="s">
        <v>129</v>
      </c>
      <c r="AN3424" t="s">
        <v>130</v>
      </c>
      <c r="AP3424" t="s">
        <v>41</v>
      </c>
      <c r="AU3424" t="s">
        <v>46</v>
      </c>
      <c r="AZ3424" t="s">
        <v>51</v>
      </c>
      <c r="BA3424" t="s">
        <v>52</v>
      </c>
    </row>
    <row r="3425" spans="1:113" x14ac:dyDescent="0.2">
      <c r="A3425" t="s">
        <v>11341</v>
      </c>
      <c r="B3425" t="s">
        <v>9405</v>
      </c>
      <c r="C3425" t="s">
        <v>11579</v>
      </c>
      <c r="D3425" t="s">
        <v>8416</v>
      </c>
      <c r="E3425" t="s">
        <v>11580</v>
      </c>
      <c r="F3425" t="s">
        <v>118</v>
      </c>
      <c r="G3425" t="str">
        <f>HYPERLINK("https://www.youtube.com/watch?v=-RqKFTFtzMo&amp;lc=UgzYz4T-WPpe8rHCCON4AaABAg")</f>
        <v>https://www.youtube.com/watch?v=-RqKFTFtzMo&amp;lc=UgzYz4T-WPpe8rHCCON4AaABAg</v>
      </c>
      <c r="H3425" t="s">
        <v>119</v>
      </c>
      <c r="I3425" t="s">
        <v>11581</v>
      </c>
      <c r="J3425" t="str">
        <f>HYPERLINK("https://www.youtube.com/channel/UCxu8sNWLRSgaICyqca-30Pg")</f>
        <v>https://www.youtube.com/channel/UCxu8sNWLRSgaICyqca-30Pg</v>
      </c>
      <c r="K3425">
        <v>0</v>
      </c>
      <c r="L3425" t="s">
        <v>121</v>
      </c>
      <c r="N3425" t="s">
        <v>248</v>
      </c>
      <c r="O3425" t="s">
        <v>1910</v>
      </c>
      <c r="P3425" t="str">
        <f>HYPERLINK("https://www.youtube.com/channel/UCQgd9Ks9oBckRf9hadmZFdA")</f>
        <v>https://www.youtube.com/channel/UCQgd9Ks9oBckRf9hadmZFdA</v>
      </c>
      <c r="Q3425">
        <v>66700</v>
      </c>
      <c r="R3425" t="s">
        <v>124</v>
      </c>
      <c r="S3425" t="s">
        <v>125</v>
      </c>
      <c r="W3425">
        <v>1</v>
      </c>
      <c r="X3425">
        <v>1</v>
      </c>
      <c r="AE3425">
        <v>0</v>
      </c>
      <c r="AM3425" t="s">
        <v>129</v>
      </c>
      <c r="AN3425" t="s">
        <v>130</v>
      </c>
      <c r="AP3425" t="s">
        <v>41</v>
      </c>
      <c r="AT3425" t="s">
        <v>45</v>
      </c>
      <c r="AZ3425" t="s">
        <v>51</v>
      </c>
      <c r="BA3425" t="s">
        <v>52</v>
      </c>
      <c r="BL3425" t="s">
        <v>63</v>
      </c>
    </row>
    <row r="3426" spans="1:113" x14ac:dyDescent="0.2">
      <c r="A3426" t="s">
        <v>11341</v>
      </c>
      <c r="B3426" t="s">
        <v>3536</v>
      </c>
      <c r="C3426" t="s">
        <v>11582</v>
      </c>
      <c r="D3426" t="s">
        <v>11583</v>
      </c>
      <c r="E3426" t="s">
        <v>11584</v>
      </c>
      <c r="F3426" t="s">
        <v>118</v>
      </c>
      <c r="G3426" t="str">
        <f>HYPERLINK("https://www.youtube.com/watch?v=LUcSPdxwI7Q&amp;lc=UgxRJnVl0_K13bV4wDF4AaABAg")</f>
        <v>https://www.youtube.com/watch?v=LUcSPdxwI7Q&amp;lc=UgxRJnVl0_K13bV4wDF4AaABAg</v>
      </c>
      <c r="H3426" t="s">
        <v>119</v>
      </c>
      <c r="I3426" t="s">
        <v>6812</v>
      </c>
      <c r="J3426" t="str">
        <f>HYPERLINK("https://www.youtube.com/channel/UChhizSPTNecDrCIMD4yX_uA")</f>
        <v>https://www.youtube.com/channel/UChhizSPTNecDrCIMD4yX_uA</v>
      </c>
      <c r="K3426">
        <v>4</v>
      </c>
      <c r="L3426" t="s">
        <v>151</v>
      </c>
      <c r="N3426" t="s">
        <v>248</v>
      </c>
      <c r="O3426" t="s">
        <v>11585</v>
      </c>
      <c r="P3426" t="str">
        <f>HYPERLINK("https://www.youtube.com/channel/UCRZoU5z1CS38bDWGuNefo-g")</f>
        <v>https://www.youtube.com/channel/UCRZoU5z1CS38bDWGuNefo-g</v>
      </c>
      <c r="Q3426">
        <v>114000</v>
      </c>
      <c r="R3426" t="s">
        <v>124</v>
      </c>
      <c r="S3426" t="s">
        <v>125</v>
      </c>
      <c r="W3426">
        <v>2</v>
      </c>
      <c r="X3426">
        <v>2</v>
      </c>
      <c r="AE3426">
        <v>0</v>
      </c>
      <c r="AM3426" t="s">
        <v>129</v>
      </c>
      <c r="AN3426" t="s">
        <v>130</v>
      </c>
      <c r="AP3426" t="s">
        <v>41</v>
      </c>
      <c r="AU3426" t="s">
        <v>46</v>
      </c>
      <c r="AZ3426" t="s">
        <v>51</v>
      </c>
      <c r="BA3426" t="s">
        <v>52</v>
      </c>
    </row>
    <row r="3427" spans="1:113" x14ac:dyDescent="0.2">
      <c r="A3427" t="s">
        <v>11341</v>
      </c>
      <c r="B3427" t="s">
        <v>2181</v>
      </c>
      <c r="C3427" t="s">
        <v>11586</v>
      </c>
      <c r="D3427" t="s">
        <v>11587</v>
      </c>
      <c r="E3427" t="s">
        <v>11588</v>
      </c>
      <c r="F3427" t="s">
        <v>118</v>
      </c>
      <c r="G3427" t="str">
        <f>HYPERLINK("https://vk.com/wall-61101621_254495?reply=254501")</f>
        <v>https://vk.com/wall-61101621_254495?reply=254501</v>
      </c>
      <c r="H3427" t="s">
        <v>119</v>
      </c>
      <c r="I3427" t="s">
        <v>11589</v>
      </c>
      <c r="J3427" t="str">
        <f>HYPERLINK("http://vk.com/id44059652")</f>
        <v>http://vk.com/id44059652</v>
      </c>
      <c r="K3427">
        <v>2085</v>
      </c>
      <c r="L3427" t="s">
        <v>121</v>
      </c>
      <c r="M3427">
        <v>32</v>
      </c>
      <c r="N3427" t="s">
        <v>122</v>
      </c>
      <c r="O3427" t="s">
        <v>160</v>
      </c>
      <c r="P3427" t="str">
        <f>HYPERLINK("http://vk.com/club61101621")</f>
        <v>http://vk.com/club61101621</v>
      </c>
      <c r="Q3427">
        <v>21119</v>
      </c>
      <c r="R3427" t="s">
        <v>124</v>
      </c>
      <c r="S3427" t="s">
        <v>125</v>
      </c>
      <c r="T3427" t="s">
        <v>1103</v>
      </c>
      <c r="U3427" t="s">
        <v>1104</v>
      </c>
      <c r="AM3427" t="s">
        <v>129</v>
      </c>
      <c r="AN3427" t="s">
        <v>130</v>
      </c>
      <c r="AP3427" t="s">
        <v>41</v>
      </c>
      <c r="AZ3427" t="s">
        <v>51</v>
      </c>
      <c r="BA3427" t="s">
        <v>52</v>
      </c>
      <c r="BL3427" t="s">
        <v>63</v>
      </c>
    </row>
    <row r="3428" spans="1:113" x14ac:dyDescent="0.2">
      <c r="A3428" t="s">
        <v>11341</v>
      </c>
      <c r="B3428" t="s">
        <v>6177</v>
      </c>
      <c r="C3428" t="s">
        <v>11590</v>
      </c>
      <c r="D3428" t="s">
        <v>11591</v>
      </c>
      <c r="E3428" t="s">
        <v>11592</v>
      </c>
      <c r="F3428" t="s">
        <v>180</v>
      </c>
      <c r="G3428" t="str">
        <f>HYPERLINK("https://telesputnik.ru/forum/viewtopic.php?f=36&amp;t=73702&amp;start=1820#p2479089")</f>
        <v>https://telesputnik.ru/forum/viewtopic.php?f=36&amp;t=73702&amp;start=1820#p2479089</v>
      </c>
      <c r="H3428" t="s">
        <v>228</v>
      </c>
      <c r="I3428" t="s">
        <v>1160</v>
      </c>
      <c r="J3428" t="str">
        <f>HYPERLINK("https://telesputnik.ru/forum/memberlist.php?mode=viewprofile&amp;u=304630")</f>
        <v>https://telesputnik.ru/forum/memberlist.php?mode=viewprofile&amp;u=304630</v>
      </c>
      <c r="L3428" t="s">
        <v>121</v>
      </c>
      <c r="N3428" t="s">
        <v>335</v>
      </c>
      <c r="O3428" t="s">
        <v>909</v>
      </c>
      <c r="P3428" t="str">
        <f>HYPERLINK("https://telesputnik.ru/forum/viewforum.php?f=36")</f>
        <v>https://telesputnik.ru/forum/viewforum.php?f=36</v>
      </c>
      <c r="R3428" t="s">
        <v>295</v>
      </c>
      <c r="S3428" t="s">
        <v>125</v>
      </c>
      <c r="T3428" t="s">
        <v>667</v>
      </c>
      <c r="U3428" t="s">
        <v>668</v>
      </c>
      <c r="AM3428" t="s">
        <v>129</v>
      </c>
      <c r="AN3428" t="s">
        <v>130</v>
      </c>
      <c r="AP3428" t="s">
        <v>41</v>
      </c>
      <c r="AT3428" t="s">
        <v>45</v>
      </c>
      <c r="AZ3428" t="s">
        <v>51</v>
      </c>
      <c r="BA3428" t="s">
        <v>52</v>
      </c>
      <c r="BL3428" t="s">
        <v>63</v>
      </c>
      <c r="DI3428" t="s">
        <v>112</v>
      </c>
    </row>
    <row r="3429" spans="1:113" x14ac:dyDescent="0.2">
      <c r="A3429" t="s">
        <v>11341</v>
      </c>
      <c r="B3429" t="s">
        <v>3237</v>
      </c>
      <c r="C3429" t="s">
        <v>11593</v>
      </c>
      <c r="D3429" t="s">
        <v>204</v>
      </c>
      <c r="E3429" t="s">
        <v>11594</v>
      </c>
      <c r="F3429" t="s">
        <v>180</v>
      </c>
      <c r="G3429" t="str">
        <f>HYPERLINK("https://play.google.com/store/apps/details?id=ru.iflex.android.a3colortv&amp;reviewId=gp:AOqpTOHJP97n4Afg1XsV4aB9sym8Tp0FyoxYjpGrhrui5NAfTMMV55Q950gIl_lkNKAWAf_AagPs6nJRE4wpfg")</f>
        <v>https://play.google.com/store/apps/details?id=ru.iflex.android.a3colortv&amp;reviewId=gp:AOqpTOHJP97n4Afg1XsV4aB9sym8Tp0FyoxYjpGrhrui5NAfTMMV55Q950gIl_lkNKAWAf_AagPs6nJRE4wpfg</v>
      </c>
      <c r="H3429" t="s">
        <v>181</v>
      </c>
      <c r="I3429" t="s">
        <v>11595</v>
      </c>
      <c r="J3429" t="str">
        <f>HYPERLINK("https://plus.google.com/106249282411083951524")</f>
        <v>https://plus.google.com/106249282411083951524</v>
      </c>
      <c r="L3429" t="s">
        <v>121</v>
      </c>
      <c r="N3429" t="s">
        <v>207</v>
      </c>
      <c r="O3429" t="s">
        <v>204</v>
      </c>
      <c r="P3429" t="str">
        <f>HYPERLINK("https://play.google.com/store/apps/details?id=ru.iflex.android.a3colortv&amp;hl=ru")</f>
        <v>https://play.google.com/store/apps/details?id=ru.iflex.android.a3colortv&amp;hl=ru</v>
      </c>
      <c r="R3429" t="s">
        <v>184</v>
      </c>
      <c r="S3429" t="s">
        <v>125</v>
      </c>
      <c r="W3429">
        <v>0</v>
      </c>
      <c r="X3429">
        <v>0</v>
      </c>
      <c r="AH3429">
        <v>5</v>
      </c>
      <c r="AM3429" t="s">
        <v>129</v>
      </c>
      <c r="AN3429" t="s">
        <v>130</v>
      </c>
      <c r="AP3429" t="s">
        <v>41</v>
      </c>
      <c r="AY3429" t="s">
        <v>50</v>
      </c>
      <c r="AZ3429" t="s">
        <v>51</v>
      </c>
      <c r="BA3429" t="s">
        <v>52</v>
      </c>
      <c r="BQ3429" t="s">
        <v>68</v>
      </c>
    </row>
    <row r="3430" spans="1:113" x14ac:dyDescent="0.2">
      <c r="A3430" t="s">
        <v>11341</v>
      </c>
      <c r="B3430" t="s">
        <v>2184</v>
      </c>
      <c r="C3430" t="s">
        <v>11582</v>
      </c>
      <c r="D3430" t="s">
        <v>11583</v>
      </c>
      <c r="E3430" t="s">
        <v>11596</v>
      </c>
      <c r="F3430" t="s">
        <v>118</v>
      </c>
      <c r="G3430" t="str">
        <f>HYPERLINK("https://www.youtube.com/watch?v=LUcSPdxwI7Q&amp;lc=UgyumgGZ_8wDB5uYGJl4AaABAg")</f>
        <v>https://www.youtube.com/watch?v=LUcSPdxwI7Q&amp;lc=UgyumgGZ_8wDB5uYGJl4AaABAg</v>
      </c>
      <c r="H3430" t="s">
        <v>119</v>
      </c>
      <c r="I3430" t="s">
        <v>6812</v>
      </c>
      <c r="J3430" t="str">
        <f>HYPERLINK("https://www.youtube.com/channel/UChhizSPTNecDrCIMD4yX_uA")</f>
        <v>https://www.youtube.com/channel/UChhizSPTNecDrCIMD4yX_uA</v>
      </c>
      <c r="K3430">
        <v>4</v>
      </c>
      <c r="L3430" t="s">
        <v>151</v>
      </c>
      <c r="N3430" t="s">
        <v>248</v>
      </c>
      <c r="O3430" t="s">
        <v>11585</v>
      </c>
      <c r="P3430" t="str">
        <f>HYPERLINK("https://www.youtube.com/channel/UCRZoU5z1CS38bDWGuNefo-g")</f>
        <v>https://www.youtube.com/channel/UCRZoU5z1CS38bDWGuNefo-g</v>
      </c>
      <c r="Q3430">
        <v>114000</v>
      </c>
      <c r="R3430" t="s">
        <v>124</v>
      </c>
      <c r="S3430" t="s">
        <v>125</v>
      </c>
      <c r="W3430">
        <v>2</v>
      </c>
      <c r="X3430">
        <v>2</v>
      </c>
      <c r="AE3430">
        <v>0</v>
      </c>
      <c r="AM3430" t="s">
        <v>129</v>
      </c>
      <c r="AN3430" t="s">
        <v>130</v>
      </c>
      <c r="AP3430" t="s">
        <v>41</v>
      </c>
      <c r="AY3430" t="s">
        <v>50</v>
      </c>
      <c r="AZ3430" t="s">
        <v>51</v>
      </c>
      <c r="BA3430" t="s">
        <v>52</v>
      </c>
    </row>
    <row r="3431" spans="1:113" x14ac:dyDescent="0.2">
      <c r="A3431" t="s">
        <v>11341</v>
      </c>
      <c r="B3431" t="s">
        <v>6507</v>
      </c>
      <c r="C3431" t="s">
        <v>11597</v>
      </c>
      <c r="D3431" t="s">
        <v>11598</v>
      </c>
      <c r="E3431" t="s">
        <v>11596</v>
      </c>
      <c r="F3431" t="s">
        <v>118</v>
      </c>
      <c r="G3431" t="str">
        <f>HYPERLINK("https://www.youtube.com/watch?v=VTl8cQjaD7g&amp;lc=UgzAs8X-v3ryM2dx4AV4AaABAg")</f>
        <v>https://www.youtube.com/watch?v=VTl8cQjaD7g&amp;lc=UgzAs8X-v3ryM2dx4AV4AaABAg</v>
      </c>
      <c r="H3431" t="s">
        <v>119</v>
      </c>
      <c r="I3431" t="s">
        <v>6812</v>
      </c>
      <c r="J3431" t="str">
        <f>HYPERLINK("https://www.youtube.com/channel/UChhizSPTNecDrCIMD4yX_uA")</f>
        <v>https://www.youtube.com/channel/UChhizSPTNecDrCIMD4yX_uA</v>
      </c>
      <c r="K3431">
        <v>4</v>
      </c>
      <c r="L3431" t="s">
        <v>151</v>
      </c>
      <c r="N3431" t="s">
        <v>248</v>
      </c>
      <c r="O3431" t="s">
        <v>11599</v>
      </c>
      <c r="P3431" t="str">
        <f>HYPERLINK("https://www.youtube.com/channel/UCVKFHAlS-wkv028aV6DE6kg")</f>
        <v>https://www.youtube.com/channel/UCVKFHAlS-wkv028aV6DE6kg</v>
      </c>
      <c r="Q3431">
        <v>180</v>
      </c>
      <c r="R3431" t="s">
        <v>124</v>
      </c>
      <c r="S3431" t="s">
        <v>125</v>
      </c>
      <c r="W3431">
        <v>2</v>
      </c>
      <c r="X3431">
        <v>2</v>
      </c>
      <c r="AE3431">
        <v>2</v>
      </c>
      <c r="AM3431" t="s">
        <v>129</v>
      </c>
      <c r="AN3431" t="s">
        <v>130</v>
      </c>
      <c r="AP3431" t="s">
        <v>41</v>
      </c>
      <c r="AY3431" t="s">
        <v>50</v>
      </c>
      <c r="AZ3431" t="s">
        <v>51</v>
      </c>
      <c r="BA3431" t="s">
        <v>52</v>
      </c>
    </row>
    <row r="3432" spans="1:113" x14ac:dyDescent="0.2">
      <c r="A3432" t="s">
        <v>11341</v>
      </c>
      <c r="B3432" t="s">
        <v>6510</v>
      </c>
      <c r="C3432" t="s">
        <v>11559</v>
      </c>
      <c r="D3432" t="s">
        <v>11560</v>
      </c>
      <c r="E3432" t="s">
        <v>11600</v>
      </c>
      <c r="F3432" t="s">
        <v>180</v>
      </c>
      <c r="G3432" t="str">
        <f>HYPERLINK("https://otvet.mail.ru/answer/1993234178")</f>
        <v>https://otvet.mail.ru/answer/1993234178</v>
      </c>
      <c r="H3432" t="s">
        <v>119</v>
      </c>
      <c r="I3432" t="s">
        <v>924</v>
      </c>
      <c r="J3432" t="str">
        <f>HYPERLINK("http://otvet.mail.ru/profile/id12423479")</f>
        <v>http://otvet.mail.ru/profile/id12423479</v>
      </c>
      <c r="L3432" t="s">
        <v>121</v>
      </c>
      <c r="N3432" t="s">
        <v>690</v>
      </c>
      <c r="O3432" t="s">
        <v>11562</v>
      </c>
      <c r="P3432" t="str">
        <f>HYPERLINK("https://otvet.mail.ru/house/")</f>
        <v>https://otvet.mail.ru/house/</v>
      </c>
      <c r="R3432" t="s">
        <v>295</v>
      </c>
      <c r="S3432" t="s">
        <v>125</v>
      </c>
      <c r="AM3432" t="s">
        <v>129</v>
      </c>
      <c r="AN3432" t="s">
        <v>130</v>
      </c>
      <c r="AP3432" t="s">
        <v>41</v>
      </c>
      <c r="AZ3432" t="s">
        <v>51</v>
      </c>
      <c r="BA3432" t="s">
        <v>52</v>
      </c>
      <c r="BL3432" t="s">
        <v>63</v>
      </c>
    </row>
    <row r="3433" spans="1:113" x14ac:dyDescent="0.2">
      <c r="A3433" t="s">
        <v>11341</v>
      </c>
      <c r="B3433" t="s">
        <v>11601</v>
      </c>
      <c r="C3433" t="s">
        <v>11559</v>
      </c>
      <c r="D3433" t="s">
        <v>11560</v>
      </c>
      <c r="E3433" t="s">
        <v>11602</v>
      </c>
      <c r="F3433" t="s">
        <v>180</v>
      </c>
      <c r="G3433" t="str">
        <f>HYPERLINK("https://otvet.mail.ru/answer/1993233394")</f>
        <v>https://otvet.mail.ru/answer/1993233394</v>
      </c>
      <c r="H3433" t="s">
        <v>119</v>
      </c>
      <c r="I3433" t="s">
        <v>11603</v>
      </c>
      <c r="J3433" t="str">
        <f>HYPERLINK("http://otvet.mail.ru/profile/id33517982")</f>
        <v>http://otvet.mail.ru/profile/id33517982</v>
      </c>
      <c r="N3433" t="s">
        <v>690</v>
      </c>
      <c r="O3433" t="s">
        <v>11562</v>
      </c>
      <c r="P3433" t="str">
        <f>HYPERLINK("https://otvet.mail.ru/house/")</f>
        <v>https://otvet.mail.ru/house/</v>
      </c>
      <c r="R3433" t="s">
        <v>295</v>
      </c>
      <c r="S3433" t="s">
        <v>125</v>
      </c>
      <c r="AM3433" t="s">
        <v>129</v>
      </c>
      <c r="AN3433" t="s">
        <v>130</v>
      </c>
      <c r="AP3433" t="s">
        <v>41</v>
      </c>
      <c r="AZ3433" t="s">
        <v>51</v>
      </c>
      <c r="BA3433" t="s">
        <v>52</v>
      </c>
      <c r="BL3433" t="s">
        <v>63</v>
      </c>
    </row>
    <row r="3434" spans="1:113" x14ac:dyDescent="0.2">
      <c r="A3434" t="s">
        <v>11341</v>
      </c>
      <c r="B3434" t="s">
        <v>6529</v>
      </c>
      <c r="C3434" t="s">
        <v>11604</v>
      </c>
      <c r="D3434" t="s">
        <v>204</v>
      </c>
      <c r="E3434" t="s">
        <v>11605</v>
      </c>
      <c r="F3434" t="s">
        <v>180</v>
      </c>
      <c r="G3434" t="str">
        <f>HYPERLINK("https://play.google.com/store/apps/details?id=ru.iflex.android.a3colortv&amp;reviewId=gp:AOqpTOHtXcT4GopRQxNl6zTrKB6pouiSRzauZ3gczgzKwR6b2O1DN_iMzU5A2lWF_Puh44ugR2CAquVr-7qI9Q")</f>
        <v>https://play.google.com/store/apps/details?id=ru.iflex.android.a3colortv&amp;reviewId=gp:AOqpTOHtXcT4GopRQxNl6zTrKB6pouiSRzauZ3gczgzKwR6b2O1DN_iMzU5A2lWF_Puh44ugR2CAquVr-7qI9Q</v>
      </c>
      <c r="H3434" t="s">
        <v>181</v>
      </c>
      <c r="I3434" t="s">
        <v>11606</v>
      </c>
      <c r="J3434" t="str">
        <f>HYPERLINK("https://plus.google.com/100830755721826286110")</f>
        <v>https://plus.google.com/100830755721826286110</v>
      </c>
      <c r="K3434">
        <v>0</v>
      </c>
      <c r="L3434" t="s">
        <v>121</v>
      </c>
      <c r="N3434" t="s">
        <v>207</v>
      </c>
      <c r="O3434" t="s">
        <v>204</v>
      </c>
      <c r="P3434" t="str">
        <f>HYPERLINK("https://play.google.com/store/apps/details?id=ru.iflex.android.a3colortv&amp;hl=ru")</f>
        <v>https://play.google.com/store/apps/details?id=ru.iflex.android.a3colortv&amp;hl=ru</v>
      </c>
      <c r="R3434" t="s">
        <v>184</v>
      </c>
      <c r="S3434" t="s">
        <v>125</v>
      </c>
      <c r="W3434">
        <v>0</v>
      </c>
      <c r="X3434">
        <v>0</v>
      </c>
      <c r="AH3434">
        <v>5</v>
      </c>
      <c r="AM3434" t="s">
        <v>129</v>
      </c>
      <c r="AN3434" t="s">
        <v>130</v>
      </c>
      <c r="AP3434" t="s">
        <v>41</v>
      </c>
      <c r="AZ3434" t="s">
        <v>51</v>
      </c>
      <c r="BA3434" t="s">
        <v>52</v>
      </c>
      <c r="BQ3434" t="s">
        <v>68</v>
      </c>
    </row>
    <row r="3435" spans="1:113" x14ac:dyDescent="0.2">
      <c r="A3435" t="s">
        <v>11341</v>
      </c>
      <c r="B3435" t="s">
        <v>5359</v>
      </c>
      <c r="C3435" t="s">
        <v>6286</v>
      </c>
      <c r="D3435" t="s">
        <v>5407</v>
      </c>
      <c r="E3435" t="s">
        <v>11607</v>
      </c>
      <c r="F3435" t="s">
        <v>180</v>
      </c>
      <c r="G3435" t="str">
        <f>HYPERLINK("https://www.ozon.ru/context/detail/id/234295984/#56914781")</f>
        <v>https://www.ozon.ru/context/detail/id/234295984/#56914781</v>
      </c>
      <c r="H3435" t="s">
        <v>181</v>
      </c>
      <c r="I3435" t="s">
        <v>3605</v>
      </c>
      <c r="J3435" t="str">
        <f>HYPERLINK("https://www.ozon.ru/context/client_opinion/ClientGuid/b88c040f-b212-4e47-8fa0-3032fa405353/")</f>
        <v>https://www.ozon.ru/context/client_opinion/ClientGuid/b88c040f-b212-4e47-8fa0-3032fa405353/</v>
      </c>
      <c r="L3435" t="s">
        <v>121</v>
      </c>
      <c r="N3435" t="s">
        <v>183</v>
      </c>
      <c r="O3435" t="s">
        <v>5407</v>
      </c>
      <c r="P3435" t="str">
        <f>HYPERLINK("https://www.ozon.ru/context/detail/id/234295984/")</f>
        <v>https://www.ozon.ru/context/detail/id/234295984/</v>
      </c>
      <c r="R3435" t="s">
        <v>184</v>
      </c>
      <c r="S3435" t="s">
        <v>125</v>
      </c>
      <c r="W3435">
        <v>5</v>
      </c>
      <c r="X3435">
        <v>5</v>
      </c>
      <c r="AH3435">
        <v>5</v>
      </c>
      <c r="AM3435" t="s">
        <v>129</v>
      </c>
      <c r="AN3435" t="s">
        <v>130</v>
      </c>
      <c r="AP3435" t="s">
        <v>41</v>
      </c>
      <c r="AT3435" t="s">
        <v>45</v>
      </c>
      <c r="AZ3435" t="s">
        <v>51</v>
      </c>
      <c r="BA3435" t="s">
        <v>52</v>
      </c>
    </row>
    <row r="3436" spans="1:113" x14ac:dyDescent="0.2">
      <c r="A3436" t="s">
        <v>11341</v>
      </c>
      <c r="B3436" t="s">
        <v>5359</v>
      </c>
      <c r="C3436" t="s">
        <v>11608</v>
      </c>
      <c r="D3436" t="s">
        <v>3210</v>
      </c>
      <c r="E3436" t="s">
        <v>11609</v>
      </c>
      <c r="F3436" t="s">
        <v>180</v>
      </c>
      <c r="G3436" t="str">
        <f>HYPERLINK("https://telesputnik.ru/forum/viewtopic.php?f=36&amp;t=75646&amp;start=2040#p2479080")</f>
        <v>https://telesputnik.ru/forum/viewtopic.php?f=36&amp;t=75646&amp;start=2040#p2479080</v>
      </c>
      <c r="H3436" t="s">
        <v>119</v>
      </c>
      <c r="I3436" t="s">
        <v>1160</v>
      </c>
      <c r="J3436" t="str">
        <f>HYPERLINK("https://telesputnik.ru/forum/memberlist.php?mode=viewprofile&amp;u=304630")</f>
        <v>https://telesputnik.ru/forum/memberlist.php?mode=viewprofile&amp;u=304630</v>
      </c>
      <c r="L3436" t="s">
        <v>121</v>
      </c>
      <c r="N3436" t="s">
        <v>335</v>
      </c>
      <c r="O3436" t="s">
        <v>909</v>
      </c>
      <c r="P3436" t="str">
        <f>HYPERLINK("https://telesputnik.ru/forum/viewforum.php?f=36")</f>
        <v>https://telesputnik.ru/forum/viewforum.php?f=36</v>
      </c>
      <c r="R3436" t="s">
        <v>295</v>
      </c>
      <c r="S3436" t="s">
        <v>125</v>
      </c>
      <c r="T3436" t="s">
        <v>667</v>
      </c>
      <c r="U3436" t="s">
        <v>668</v>
      </c>
      <c r="AM3436" t="s">
        <v>129</v>
      </c>
      <c r="AN3436" t="s">
        <v>130</v>
      </c>
      <c r="AP3436" t="s">
        <v>41</v>
      </c>
      <c r="AU3436" t="s">
        <v>46</v>
      </c>
      <c r="AY3436" t="s">
        <v>50</v>
      </c>
      <c r="AZ3436" t="s">
        <v>51</v>
      </c>
      <c r="BA3436" t="s">
        <v>52</v>
      </c>
    </row>
    <row r="3437" spans="1:113" x14ac:dyDescent="0.2">
      <c r="A3437" t="s">
        <v>11341</v>
      </c>
      <c r="B3437" t="s">
        <v>9737</v>
      </c>
      <c r="C3437" t="s">
        <v>11559</v>
      </c>
      <c r="D3437" t="s">
        <v>11560</v>
      </c>
      <c r="E3437" t="s">
        <v>11610</v>
      </c>
      <c r="F3437" t="s">
        <v>180</v>
      </c>
      <c r="G3437" t="str">
        <f>HYPERLINK("https://otvet.mail.ru/question/225428473")</f>
        <v>https://otvet.mail.ru/question/225428473</v>
      </c>
      <c r="H3437" t="s">
        <v>119</v>
      </c>
      <c r="I3437" t="s">
        <v>11611</v>
      </c>
      <c r="J3437" t="str">
        <f>HYPERLINK("http://otvet.mail.ru/profile/id2231192")</f>
        <v>http://otvet.mail.ru/profile/id2231192</v>
      </c>
      <c r="L3437" t="s">
        <v>121</v>
      </c>
      <c r="N3437" t="s">
        <v>690</v>
      </c>
      <c r="O3437" t="s">
        <v>11562</v>
      </c>
      <c r="P3437" t="str">
        <f>HYPERLINK("https://otvet.mail.ru/house/")</f>
        <v>https://otvet.mail.ru/house/</v>
      </c>
      <c r="R3437" t="s">
        <v>295</v>
      </c>
      <c r="S3437" t="s">
        <v>125</v>
      </c>
      <c r="AM3437" t="s">
        <v>129</v>
      </c>
      <c r="AN3437" t="s">
        <v>130</v>
      </c>
      <c r="AP3437" t="s">
        <v>41</v>
      </c>
      <c r="AZ3437" t="s">
        <v>51</v>
      </c>
      <c r="BA3437" t="s">
        <v>52</v>
      </c>
      <c r="BL3437" t="s">
        <v>63</v>
      </c>
      <c r="BM3437" t="s">
        <v>64</v>
      </c>
    </row>
    <row r="3438" spans="1:113" x14ac:dyDescent="0.2">
      <c r="A3438" t="s">
        <v>11341</v>
      </c>
      <c r="B3438" t="s">
        <v>4943</v>
      </c>
      <c r="C3438" t="s">
        <v>11612</v>
      </c>
      <c r="D3438" t="s">
        <v>10922</v>
      </c>
      <c r="E3438" t="s">
        <v>11613</v>
      </c>
      <c r="F3438" t="s">
        <v>118</v>
      </c>
      <c r="G3438" t="str">
        <f>HYPERLINK("https://vk.com/wall-128313794_61585?reply=61630&amp;thread=61612")</f>
        <v>https://vk.com/wall-128313794_61585?reply=61630&amp;thread=61612</v>
      </c>
      <c r="H3438" t="s">
        <v>119</v>
      </c>
      <c r="I3438" t="s">
        <v>11614</v>
      </c>
      <c r="J3438" t="str">
        <f>HYPERLINK("http://vk.com/id60582430")</f>
        <v>http://vk.com/id60582430</v>
      </c>
      <c r="K3438">
        <v>405</v>
      </c>
      <c r="L3438" t="s">
        <v>121</v>
      </c>
      <c r="N3438" t="s">
        <v>122</v>
      </c>
      <c r="O3438" t="s">
        <v>10924</v>
      </c>
      <c r="P3438" t="str">
        <f>HYPERLINK("http://vk.com/club128313794")</f>
        <v>http://vk.com/club128313794</v>
      </c>
      <c r="Q3438">
        <v>6084</v>
      </c>
      <c r="R3438" t="s">
        <v>124</v>
      </c>
      <c r="S3438" t="s">
        <v>125</v>
      </c>
      <c r="T3438" t="s">
        <v>2103</v>
      </c>
      <c r="U3438" t="s">
        <v>2104</v>
      </c>
      <c r="AM3438" t="s">
        <v>129</v>
      </c>
      <c r="AN3438" t="s">
        <v>130</v>
      </c>
      <c r="AP3438" t="s">
        <v>41</v>
      </c>
      <c r="AT3438" t="s">
        <v>45</v>
      </c>
      <c r="AZ3438" t="s">
        <v>51</v>
      </c>
      <c r="BA3438" t="s">
        <v>52</v>
      </c>
      <c r="BL3438" t="s">
        <v>63</v>
      </c>
    </row>
    <row r="3439" spans="1:113" x14ac:dyDescent="0.2">
      <c r="A3439" t="s">
        <v>11341</v>
      </c>
      <c r="B3439" t="s">
        <v>5853</v>
      </c>
      <c r="C3439" t="s">
        <v>11615</v>
      </c>
      <c r="D3439" t="s">
        <v>11616</v>
      </c>
      <c r="E3439" t="s">
        <v>11617</v>
      </c>
      <c r="F3439" t="s">
        <v>118</v>
      </c>
      <c r="G3439" t="str">
        <f>HYPERLINK("https://otzovik.com/review_12104920.html#89772655")</f>
        <v>https://otzovik.com/review_12104920.html#89772655</v>
      </c>
      <c r="H3439" t="s">
        <v>119</v>
      </c>
      <c r="I3439" t="s">
        <v>4551</v>
      </c>
      <c r="J3439" t="str">
        <f>HYPERLINK("http://otzovik.com/profile/aepihin70")</f>
        <v>http://otzovik.com/profile/aepihin70</v>
      </c>
      <c r="N3439" t="s">
        <v>390</v>
      </c>
      <c r="O3439" t="s">
        <v>1067</v>
      </c>
      <c r="P3439" t="str">
        <f>HYPERLINK("https://otzovik.com/reviews/sputnikovoe_televidenie_trikolor_tv/")</f>
        <v>https://otzovik.com/reviews/sputnikovoe_televidenie_trikolor_tv/</v>
      </c>
      <c r="R3439" t="s">
        <v>184</v>
      </c>
      <c r="S3439" t="s">
        <v>125</v>
      </c>
      <c r="AM3439" t="s">
        <v>129</v>
      </c>
      <c r="AN3439" t="s">
        <v>130</v>
      </c>
      <c r="AP3439" t="s">
        <v>41</v>
      </c>
      <c r="AZ3439" t="s">
        <v>51</v>
      </c>
      <c r="BA3439" t="s">
        <v>52</v>
      </c>
      <c r="BL3439" t="s">
        <v>63</v>
      </c>
    </row>
    <row r="3440" spans="1:113" x14ac:dyDescent="0.2">
      <c r="A3440" t="s">
        <v>11341</v>
      </c>
      <c r="B3440" t="s">
        <v>11618</v>
      </c>
      <c r="C3440" t="s">
        <v>11619</v>
      </c>
      <c r="D3440" t="s">
        <v>10944</v>
      </c>
      <c r="E3440" t="s">
        <v>11620</v>
      </c>
      <c r="F3440" t="s">
        <v>118</v>
      </c>
      <c r="G3440" t="str">
        <f>HYPERLINK("https://vk.com/wall-22935147_368103?reply=368110")</f>
        <v>https://vk.com/wall-22935147_368103?reply=368110</v>
      </c>
      <c r="H3440" t="s">
        <v>119</v>
      </c>
      <c r="I3440" t="s">
        <v>11621</v>
      </c>
      <c r="J3440" t="str">
        <f>HYPERLINK("http://vk.com/id143004294")</f>
        <v>http://vk.com/id143004294</v>
      </c>
      <c r="K3440">
        <v>11</v>
      </c>
      <c r="L3440" t="s">
        <v>121</v>
      </c>
      <c r="M3440">
        <v>51</v>
      </c>
      <c r="N3440" t="s">
        <v>122</v>
      </c>
      <c r="O3440" t="s">
        <v>1093</v>
      </c>
      <c r="P3440" t="str">
        <f>HYPERLINK("http://vk.com/club22935147")</f>
        <v>http://vk.com/club22935147</v>
      </c>
      <c r="Q3440">
        <v>8943</v>
      </c>
      <c r="R3440" t="s">
        <v>124</v>
      </c>
      <c r="S3440" t="s">
        <v>125</v>
      </c>
      <c r="T3440" t="s">
        <v>218</v>
      </c>
      <c r="U3440" t="s">
        <v>11622</v>
      </c>
      <c r="W3440">
        <v>0</v>
      </c>
      <c r="X3440">
        <v>0</v>
      </c>
      <c r="AM3440" t="s">
        <v>129</v>
      </c>
      <c r="AN3440" t="s">
        <v>130</v>
      </c>
      <c r="AP3440" t="s">
        <v>41</v>
      </c>
      <c r="AY3440" t="s">
        <v>50</v>
      </c>
      <c r="AZ3440" t="s">
        <v>51</v>
      </c>
      <c r="BA3440" t="s">
        <v>52</v>
      </c>
    </row>
    <row r="3441" spans="1:77" x14ac:dyDescent="0.2">
      <c r="A3441" t="s">
        <v>11341</v>
      </c>
      <c r="B3441" t="s">
        <v>11623</v>
      </c>
      <c r="C3441" t="s">
        <v>11624</v>
      </c>
      <c r="D3441" t="s">
        <v>11625</v>
      </c>
      <c r="E3441" t="s">
        <v>11626</v>
      </c>
      <c r="F3441" t="s">
        <v>180</v>
      </c>
      <c r="G3441" t="str">
        <f>HYPERLINK("https://otvet.mail.ru/question/225426436")</f>
        <v>https://otvet.mail.ru/question/225426436</v>
      </c>
      <c r="H3441" t="s">
        <v>119</v>
      </c>
      <c r="I3441" t="s">
        <v>11627</v>
      </c>
      <c r="J3441" t="str">
        <f>HYPERLINK("http://otvet.mail.ru/profile/id290422253")</f>
        <v>http://otvet.mail.ru/profile/id290422253</v>
      </c>
      <c r="L3441" t="s">
        <v>121</v>
      </c>
      <c r="N3441" t="s">
        <v>690</v>
      </c>
      <c r="O3441" t="s">
        <v>7252</v>
      </c>
      <c r="P3441" t="str">
        <f>HYPERLINK("https://otvet.mail.ru/technics/")</f>
        <v>https://otvet.mail.ru/technics/</v>
      </c>
      <c r="R3441" t="s">
        <v>295</v>
      </c>
      <c r="S3441" t="s">
        <v>125</v>
      </c>
      <c r="AJ3441" t="s">
        <v>1171</v>
      </c>
      <c r="AK3441" t="s">
        <v>876</v>
      </c>
      <c r="AL3441" t="str">
        <f>HYPERLINK("https://otvet.imgsmail.ru/download/290422253_01cf5d2d995035aee03d721967d3f247_240x240.jpg")</f>
        <v>https://otvet.imgsmail.ru/download/290422253_01cf5d2d995035aee03d721967d3f247_240x240.jpg</v>
      </c>
      <c r="AM3441" t="s">
        <v>129</v>
      </c>
      <c r="AN3441" t="s">
        <v>130</v>
      </c>
      <c r="AP3441" t="s">
        <v>41</v>
      </c>
      <c r="BA3441" t="s">
        <v>52</v>
      </c>
      <c r="BE3441" t="s">
        <v>56</v>
      </c>
      <c r="BL3441" t="s">
        <v>63</v>
      </c>
      <c r="BM3441" t="s">
        <v>64</v>
      </c>
    </row>
    <row r="3442" spans="1:77" x14ac:dyDescent="0.2">
      <c r="A3442" t="s">
        <v>11341</v>
      </c>
      <c r="B3442" t="s">
        <v>11628</v>
      </c>
      <c r="C3442" t="s">
        <v>11483</v>
      </c>
      <c r="D3442" t="s">
        <v>11629</v>
      </c>
      <c r="E3442" t="s">
        <v>1945</v>
      </c>
      <c r="F3442" t="s">
        <v>180</v>
      </c>
      <c r="G3442" t="str">
        <f>HYPERLINK("https://otvet.mail.ru/answer/1993220606")</f>
        <v>https://otvet.mail.ru/answer/1993220606</v>
      </c>
      <c r="H3442" t="s">
        <v>181</v>
      </c>
      <c r="I3442" t="s">
        <v>11630</v>
      </c>
      <c r="J3442" t="str">
        <f>HYPERLINK("http://otvet.mail.ru/profile/id278340599")</f>
        <v>http://otvet.mail.ru/profile/id278340599</v>
      </c>
      <c r="L3442" t="s">
        <v>121</v>
      </c>
      <c r="N3442" t="s">
        <v>690</v>
      </c>
      <c r="O3442" t="s">
        <v>3285</v>
      </c>
      <c r="P3442" t="str">
        <f>HYPERLINK("https://otvet.mail.ru/utilities/")</f>
        <v>https://otvet.mail.ru/utilities/</v>
      </c>
      <c r="R3442" t="s">
        <v>295</v>
      </c>
      <c r="S3442" t="s">
        <v>125</v>
      </c>
      <c r="AM3442" t="s">
        <v>129</v>
      </c>
      <c r="AN3442" t="s">
        <v>130</v>
      </c>
      <c r="AP3442" t="s">
        <v>41</v>
      </c>
      <c r="AU3442" t="s">
        <v>46</v>
      </c>
      <c r="AZ3442" t="s">
        <v>51</v>
      </c>
      <c r="BA3442" t="s">
        <v>52</v>
      </c>
    </row>
    <row r="3443" spans="1:77" x14ac:dyDescent="0.2">
      <c r="A3443" t="s">
        <v>11341</v>
      </c>
      <c r="B3443" t="s">
        <v>11631</v>
      </c>
      <c r="C3443" t="s">
        <v>11632</v>
      </c>
      <c r="D3443" t="s">
        <v>10354</v>
      </c>
      <c r="E3443" t="s">
        <v>11633</v>
      </c>
      <c r="F3443" t="s">
        <v>118</v>
      </c>
      <c r="G3443" t="str">
        <f>HYPERLINK("https://vk.com/wall-61101621_254486?reply=254500")</f>
        <v>https://vk.com/wall-61101621_254486?reply=254500</v>
      </c>
      <c r="H3443" t="s">
        <v>119</v>
      </c>
      <c r="I3443" t="s">
        <v>3106</v>
      </c>
      <c r="J3443" t="str">
        <f>HYPERLINK("http://vk.com/id3438593")</f>
        <v>http://vk.com/id3438593</v>
      </c>
      <c r="K3443">
        <v>49</v>
      </c>
      <c r="L3443" t="s">
        <v>121</v>
      </c>
      <c r="N3443" t="s">
        <v>122</v>
      </c>
      <c r="O3443" t="s">
        <v>160</v>
      </c>
      <c r="P3443" t="str">
        <f>HYPERLINK("http://vk.com/club61101621")</f>
        <v>http://vk.com/club61101621</v>
      </c>
      <c r="Q3443">
        <v>21119</v>
      </c>
      <c r="R3443" t="s">
        <v>124</v>
      </c>
      <c r="S3443" t="s">
        <v>125</v>
      </c>
      <c r="T3443" t="s">
        <v>169</v>
      </c>
      <c r="U3443" t="s">
        <v>169</v>
      </c>
      <c r="AJ3443" t="s">
        <v>11634</v>
      </c>
      <c r="AK3443" t="s">
        <v>11635</v>
      </c>
      <c r="AL3443" t="str">
        <f>HYPERLINK("https://sun9-68.userapi.com/impg/Vo_JCrDAuJVBZmbCKb-4jQxer30vBocT6TLaNg/WBCnpQ_mZx8.jpg?size=1919x1080&amp;quality=96&amp;sign=4530b3b43ba49dda7b25520b4a951b0b&amp;c_uniq_tag=xiuEdeVNTh7bnmo92tEBo0ruWof4jN0l3R1bNGyy5j4&amp;type=album")</f>
        <v>https://sun9-68.userapi.com/impg/Vo_JCrDAuJVBZmbCKb-4jQxer30vBocT6TLaNg/WBCnpQ_mZx8.jpg?size=1919x1080&amp;quality=96&amp;sign=4530b3b43ba49dda7b25520b4a951b0b&amp;c_uniq_tag=xiuEdeVNTh7bnmo92tEBo0ruWof4jN0l3R1bNGyy5j4&amp;type=album</v>
      </c>
      <c r="AM3443" t="s">
        <v>129</v>
      </c>
      <c r="AN3443" t="s">
        <v>130</v>
      </c>
      <c r="AP3443" t="s">
        <v>41</v>
      </c>
      <c r="AU3443" t="s">
        <v>46</v>
      </c>
      <c r="AZ3443" t="s">
        <v>51</v>
      </c>
      <c r="BA3443" t="s">
        <v>52</v>
      </c>
    </row>
    <row r="3444" spans="1:77" x14ac:dyDescent="0.2">
      <c r="A3444" t="s">
        <v>11341</v>
      </c>
      <c r="B3444" t="s">
        <v>11636</v>
      </c>
      <c r="C3444" t="s">
        <v>11637</v>
      </c>
      <c r="D3444" t="s">
        <v>11571</v>
      </c>
      <c r="E3444" t="s">
        <v>11638</v>
      </c>
      <c r="F3444" t="s">
        <v>118</v>
      </c>
      <c r="G3444" t="str">
        <f>HYPERLINK("https://vk.com/wall-27863223_291306?w=wall-27863223_291306_r291385")</f>
        <v>https://vk.com/wall-27863223_291306?w=wall-27863223_291306_r291385</v>
      </c>
      <c r="H3444" t="s">
        <v>119</v>
      </c>
      <c r="I3444" t="s">
        <v>11639</v>
      </c>
      <c r="J3444" t="str">
        <f>HYPERLINK("http://vk.com/id180279226")</f>
        <v>http://vk.com/id180279226</v>
      </c>
      <c r="K3444">
        <v>869</v>
      </c>
      <c r="L3444" t="s">
        <v>151</v>
      </c>
      <c r="M3444">
        <v>33</v>
      </c>
      <c r="N3444" t="s">
        <v>122</v>
      </c>
      <c r="O3444" t="s">
        <v>175</v>
      </c>
      <c r="P3444" t="str">
        <f>HYPERLINK("http://vk.com/club27863223")</f>
        <v>http://vk.com/club27863223</v>
      </c>
      <c r="Q3444">
        <v>134698</v>
      </c>
      <c r="R3444" t="s">
        <v>124</v>
      </c>
      <c r="S3444" t="s">
        <v>125</v>
      </c>
      <c r="T3444" t="s">
        <v>3857</v>
      </c>
      <c r="U3444" t="s">
        <v>11640</v>
      </c>
      <c r="W3444">
        <v>0</v>
      </c>
      <c r="X3444">
        <v>0</v>
      </c>
      <c r="AM3444" t="s">
        <v>129</v>
      </c>
      <c r="AN3444" t="s">
        <v>130</v>
      </c>
      <c r="AP3444" t="s">
        <v>41</v>
      </c>
      <c r="AU3444" t="s">
        <v>46</v>
      </c>
      <c r="AZ3444" t="s">
        <v>51</v>
      </c>
      <c r="BA3444" t="s">
        <v>52</v>
      </c>
      <c r="BY3444" t="s">
        <v>76</v>
      </c>
    </row>
    <row r="3445" spans="1:77" x14ac:dyDescent="0.2">
      <c r="A3445" t="s">
        <v>11341</v>
      </c>
      <c r="B3445" t="s">
        <v>5891</v>
      </c>
      <c r="C3445" t="s">
        <v>11641</v>
      </c>
      <c r="D3445" t="s">
        <v>6234</v>
      </c>
      <c r="E3445" t="s">
        <v>6235</v>
      </c>
      <c r="F3445" t="s">
        <v>180</v>
      </c>
      <c r="G3445" t="str">
        <f>HYPERLINK("https://0562ua.com/ukraina/item/64521-1625265003")</f>
        <v>https://0562ua.com/ukraina/item/64521-1625265003</v>
      </c>
      <c r="H3445" t="s">
        <v>119</v>
      </c>
      <c r="N3445" t="s">
        <v>11642</v>
      </c>
      <c r="R3445" t="s">
        <v>785</v>
      </c>
      <c r="AJ3445" t="s">
        <v>5896</v>
      </c>
      <c r="AK3445" t="s">
        <v>5897</v>
      </c>
      <c r="AL3445" t="str">
        <f>HYPERLINK("http://www.compromat.ru/imgup/68830.jpg")</f>
        <v>http://www.compromat.ru/imgup/68830.jpg</v>
      </c>
      <c r="AM3445" t="s">
        <v>129</v>
      </c>
      <c r="AN3445" t="s">
        <v>130</v>
      </c>
      <c r="AV3445" t="s">
        <v>47</v>
      </c>
    </row>
    <row r="3446" spans="1:77" x14ac:dyDescent="0.2">
      <c r="A3446" t="s">
        <v>11341</v>
      </c>
      <c r="B3446" t="s">
        <v>4512</v>
      </c>
      <c r="C3446" t="s">
        <v>11643</v>
      </c>
      <c r="D3446" t="s">
        <v>11644</v>
      </c>
      <c r="E3446" t="s">
        <v>11645</v>
      </c>
      <c r="F3446" t="s">
        <v>118</v>
      </c>
      <c r="G3446" t="str">
        <f>HYPERLINK("https://telegram.me/popictemChat/539083")</f>
        <v>https://telegram.me/popictemChat/539083</v>
      </c>
      <c r="H3446" t="s">
        <v>228</v>
      </c>
      <c r="I3446" t="s">
        <v>11646</v>
      </c>
      <c r="J3446" t="str">
        <f>HYPERLINK("https://telegram.me/iisaalisaa")</f>
        <v>https://telegram.me/iisaalisaa</v>
      </c>
      <c r="L3446" t="s">
        <v>151</v>
      </c>
      <c r="N3446" t="s">
        <v>143</v>
      </c>
      <c r="O3446" t="s">
        <v>11647</v>
      </c>
      <c r="P3446" t="str">
        <f>HYPERLINK("https://telegram.me/popictemchat")</f>
        <v>https://telegram.me/popictemchat</v>
      </c>
      <c r="Q3446">
        <v>1667</v>
      </c>
      <c r="R3446" t="s">
        <v>145</v>
      </c>
      <c r="AM3446" t="s">
        <v>129</v>
      </c>
      <c r="AN3446" t="s">
        <v>130</v>
      </c>
      <c r="AP3446" t="s">
        <v>41</v>
      </c>
      <c r="AW3446" t="s">
        <v>48</v>
      </c>
      <c r="AZ3446" t="s">
        <v>51</v>
      </c>
      <c r="BA3446" t="s">
        <v>52</v>
      </c>
    </row>
    <row r="3447" spans="1:77" x14ac:dyDescent="0.2">
      <c r="A3447" t="s">
        <v>11341</v>
      </c>
      <c r="B3447" t="s">
        <v>10393</v>
      </c>
      <c r="C3447" t="s">
        <v>11648</v>
      </c>
      <c r="D3447" t="s">
        <v>3210</v>
      </c>
      <c r="E3447" t="s">
        <v>11649</v>
      </c>
      <c r="F3447" t="s">
        <v>180</v>
      </c>
      <c r="G3447" t="str">
        <f>HYPERLINK("https://telesputnik.ru/forum/viewtopic.php?f=36&amp;t=75646&amp;start=2060#p2479164")</f>
        <v>https://telesputnik.ru/forum/viewtopic.php?f=36&amp;t=75646&amp;start=2060#p2479164</v>
      </c>
      <c r="H3447" t="s">
        <v>119</v>
      </c>
      <c r="I3447" t="s">
        <v>4652</v>
      </c>
      <c r="J3447" t="str">
        <f>HYPERLINK("https://telesputnik.ru/forum/memberlist.php?mode=viewprofile&amp;u=232979")</f>
        <v>https://telesputnik.ru/forum/memberlist.php?mode=viewprofile&amp;u=232979</v>
      </c>
      <c r="N3447" t="s">
        <v>335</v>
      </c>
      <c r="O3447" t="s">
        <v>909</v>
      </c>
      <c r="P3447" t="str">
        <f>HYPERLINK("https://telesputnik.ru/forum/viewforum.php?f=36")</f>
        <v>https://telesputnik.ru/forum/viewforum.php?f=36</v>
      </c>
      <c r="R3447" t="s">
        <v>295</v>
      </c>
      <c r="S3447" t="s">
        <v>125</v>
      </c>
      <c r="AM3447" t="s">
        <v>129</v>
      </c>
      <c r="AN3447" t="s">
        <v>130</v>
      </c>
      <c r="AP3447" t="s">
        <v>41</v>
      </c>
      <c r="AU3447" t="s">
        <v>46</v>
      </c>
      <c r="AY3447" t="s">
        <v>50</v>
      </c>
      <c r="AZ3447" t="s">
        <v>51</v>
      </c>
      <c r="BA3447" t="s">
        <v>52</v>
      </c>
    </row>
    <row r="3448" spans="1:77" x14ac:dyDescent="0.2">
      <c r="A3448" t="s">
        <v>11341</v>
      </c>
      <c r="B3448" t="s">
        <v>10072</v>
      </c>
      <c r="C3448" t="s">
        <v>11648</v>
      </c>
      <c r="D3448" t="s">
        <v>3210</v>
      </c>
      <c r="E3448" t="s">
        <v>11650</v>
      </c>
      <c r="F3448" t="s">
        <v>180</v>
      </c>
      <c r="G3448" t="str">
        <f>HYPERLINK("https://telesputnik.ru/forum/viewtopic.php?f=36&amp;t=75646&amp;start=2060#p2479163")</f>
        <v>https://telesputnik.ru/forum/viewtopic.php?f=36&amp;t=75646&amp;start=2060#p2479163</v>
      </c>
      <c r="H3448" t="s">
        <v>119</v>
      </c>
      <c r="I3448" t="s">
        <v>11387</v>
      </c>
      <c r="J3448" t="str">
        <f>HYPERLINK("https://telesputnik.ru/forum/memberlist.php?mode=viewprofile&amp;u=195322")</f>
        <v>https://telesputnik.ru/forum/memberlist.php?mode=viewprofile&amp;u=195322</v>
      </c>
      <c r="N3448" t="s">
        <v>335</v>
      </c>
      <c r="O3448" t="s">
        <v>909</v>
      </c>
      <c r="P3448" t="str">
        <f>HYPERLINK("https://telesputnik.ru/forum/viewforum.php?f=36")</f>
        <v>https://telesputnik.ru/forum/viewforum.php?f=36</v>
      </c>
      <c r="R3448" t="s">
        <v>295</v>
      </c>
      <c r="S3448" t="s">
        <v>125</v>
      </c>
      <c r="AM3448" t="s">
        <v>129</v>
      </c>
      <c r="AN3448" t="s">
        <v>130</v>
      </c>
      <c r="AP3448" t="s">
        <v>41</v>
      </c>
      <c r="AU3448" t="s">
        <v>46</v>
      </c>
      <c r="AY3448" t="s">
        <v>50</v>
      </c>
      <c r="AZ3448" t="s">
        <v>51</v>
      </c>
      <c r="BA3448" t="s">
        <v>52</v>
      </c>
    </row>
    <row r="3449" spans="1:77" x14ac:dyDescent="0.2">
      <c r="A3449" t="s">
        <v>11341</v>
      </c>
      <c r="B3449" t="s">
        <v>11651</v>
      </c>
      <c r="C3449" t="s">
        <v>11652</v>
      </c>
      <c r="D3449" t="s">
        <v>11068</v>
      </c>
      <c r="E3449" t="s">
        <v>11653</v>
      </c>
      <c r="F3449" t="s">
        <v>118</v>
      </c>
      <c r="G3449" t="str">
        <f>HYPERLINK("https://vk.com/wall-199277766_680?reply=681")</f>
        <v>https://vk.com/wall-199277766_680?reply=681</v>
      </c>
      <c r="H3449" t="s">
        <v>119</v>
      </c>
      <c r="I3449" t="s">
        <v>254</v>
      </c>
      <c r="J3449" t="str">
        <f>HYPERLINK("http://vk.com/id286061518")</f>
        <v>http://vk.com/id286061518</v>
      </c>
      <c r="K3449">
        <v>5170</v>
      </c>
      <c r="L3449" t="s">
        <v>121</v>
      </c>
      <c r="M3449">
        <v>34</v>
      </c>
      <c r="N3449" t="s">
        <v>122</v>
      </c>
      <c r="O3449" t="s">
        <v>255</v>
      </c>
      <c r="P3449" t="str">
        <f>HYPERLINK("http://vk.com/club199277766")</f>
        <v>http://vk.com/club199277766</v>
      </c>
      <c r="Q3449">
        <v>53</v>
      </c>
      <c r="R3449" t="s">
        <v>124</v>
      </c>
      <c r="S3449" t="s">
        <v>125</v>
      </c>
      <c r="T3449" t="s">
        <v>256</v>
      </c>
      <c r="U3449" t="s">
        <v>257</v>
      </c>
      <c r="AM3449" t="s">
        <v>129</v>
      </c>
      <c r="AN3449" t="s">
        <v>130</v>
      </c>
      <c r="AP3449" t="s">
        <v>41</v>
      </c>
      <c r="AZ3449" t="s">
        <v>51</v>
      </c>
      <c r="BA3449" t="s">
        <v>52</v>
      </c>
      <c r="BB3449" t="s">
        <v>53</v>
      </c>
      <c r="BY3449" t="s">
        <v>76</v>
      </c>
    </row>
    <row r="3450" spans="1:77" x14ac:dyDescent="0.2">
      <c r="A3450" t="s">
        <v>11341</v>
      </c>
      <c r="B3450" t="s">
        <v>8752</v>
      </c>
      <c r="C3450" t="s">
        <v>11654</v>
      </c>
      <c r="D3450" t="s">
        <v>11655</v>
      </c>
      <c r="E3450" t="s">
        <v>11656</v>
      </c>
      <c r="F3450" t="s">
        <v>118</v>
      </c>
      <c r="G3450" t="str">
        <f>HYPERLINK("https://vk.com/wall-151030118_19893?reply=19956")</f>
        <v>https://vk.com/wall-151030118_19893?reply=19956</v>
      </c>
      <c r="H3450" t="s">
        <v>119</v>
      </c>
      <c r="I3450" t="s">
        <v>11657</v>
      </c>
      <c r="J3450" t="str">
        <f>HYPERLINK("http://vk.com/id460024778")</f>
        <v>http://vk.com/id460024778</v>
      </c>
      <c r="K3450">
        <v>472</v>
      </c>
      <c r="L3450" t="s">
        <v>151</v>
      </c>
      <c r="N3450" t="s">
        <v>122</v>
      </c>
      <c r="O3450" t="s">
        <v>11658</v>
      </c>
      <c r="P3450" t="str">
        <f>HYPERLINK("http://vk.com/club151030118")</f>
        <v>http://vk.com/club151030118</v>
      </c>
      <c r="Q3450">
        <v>3362</v>
      </c>
      <c r="R3450" t="s">
        <v>124</v>
      </c>
      <c r="S3450" t="s">
        <v>125</v>
      </c>
      <c r="AM3450" t="s">
        <v>129</v>
      </c>
      <c r="AN3450" t="s">
        <v>130</v>
      </c>
      <c r="AP3450" t="s">
        <v>41</v>
      </c>
      <c r="AZ3450" t="s">
        <v>51</v>
      </c>
      <c r="BA3450" t="s">
        <v>52</v>
      </c>
    </row>
    <row r="3451" spans="1:77" x14ac:dyDescent="0.2">
      <c r="A3451" t="s">
        <v>11341</v>
      </c>
      <c r="B3451" t="s">
        <v>1231</v>
      </c>
      <c r="C3451" t="s">
        <v>11659</v>
      </c>
      <c r="D3451" t="s">
        <v>11660</v>
      </c>
      <c r="E3451" t="s">
        <v>11661</v>
      </c>
      <c r="F3451" t="s">
        <v>180</v>
      </c>
      <c r="G3451" t="str">
        <f>HYPERLINK("https://nanegative.ru/sputnikovyy-resiver-general-satellite-gs-b-621-l-otzivy#462f05aec5384e83703d15d648290258")</f>
        <v>https://nanegative.ru/sputnikovyy-resiver-general-satellite-gs-b-621-l-otzivy#462f05aec5384e83703d15d648290258</v>
      </c>
      <c r="H3451" t="s">
        <v>228</v>
      </c>
      <c r="I3451" t="s">
        <v>11662</v>
      </c>
      <c r="J3451" t="str">
        <f>HYPERLINK("https://nanegative.ru/sputnikovyy-resiver-general-satellite-gs-b-621-l-otzivy#462f05aec5384e83703d15d648290258")</f>
        <v>https://nanegative.ru/sputnikovyy-resiver-general-satellite-gs-b-621-l-otzivy#462f05aec5384e83703d15d648290258</v>
      </c>
      <c r="L3451" t="s">
        <v>121</v>
      </c>
      <c r="N3451" t="s">
        <v>11663</v>
      </c>
      <c r="O3451" t="s">
        <v>11660</v>
      </c>
      <c r="P3451" t="str">
        <f>HYPERLINK("https://nanegative.ru/sputnikovyy-resiver-general-satellite-gs-b-621-l-otzivy")</f>
        <v>https://nanegative.ru/sputnikovyy-resiver-general-satellite-gs-b-621-l-otzivy</v>
      </c>
      <c r="R3451" t="s">
        <v>184</v>
      </c>
      <c r="S3451" t="s">
        <v>125</v>
      </c>
      <c r="AH3451">
        <v>2</v>
      </c>
      <c r="AM3451" t="s">
        <v>129</v>
      </c>
      <c r="AN3451" t="s">
        <v>130</v>
      </c>
      <c r="AP3451" t="s">
        <v>41</v>
      </c>
      <c r="AW3451" t="s">
        <v>48</v>
      </c>
      <c r="AZ3451" t="s">
        <v>51</v>
      </c>
      <c r="BA3451" t="s">
        <v>52</v>
      </c>
      <c r="BL3451" t="s">
        <v>63</v>
      </c>
    </row>
    <row r="3452" spans="1:77" x14ac:dyDescent="0.2">
      <c r="A3452" t="s">
        <v>11664</v>
      </c>
      <c r="B3452" t="s">
        <v>1255</v>
      </c>
      <c r="C3452" t="s">
        <v>11665</v>
      </c>
      <c r="D3452" t="s">
        <v>11666</v>
      </c>
      <c r="E3452" t="s">
        <v>11667</v>
      </c>
      <c r="F3452" t="s">
        <v>180</v>
      </c>
      <c r="G3452" t="str">
        <f>HYPERLINK("https://4pda.to/forum/index.php?showtopic=796594&amp;st=4340#entry107760347")</f>
        <v>https://4pda.to/forum/index.php?showtopic=796594&amp;st=4340#entry107760347</v>
      </c>
      <c r="H3452" t="s">
        <v>119</v>
      </c>
      <c r="I3452" t="s">
        <v>11668</v>
      </c>
      <c r="J3452" t="str">
        <f>HYPERLINK("https://4pda.to/forum/index.php?showuser=7447493")</f>
        <v>https://4pda.to/forum/index.php?showuser=7447493</v>
      </c>
      <c r="N3452" t="s">
        <v>293</v>
      </c>
      <c r="O3452" t="s">
        <v>11669</v>
      </c>
      <c r="P3452" t="str">
        <f>HYPERLINK("https://4pda.to/forum/index.php?showforum=919")</f>
        <v>https://4pda.to/forum/index.php?showforum=919</v>
      </c>
      <c r="R3452" t="s">
        <v>295</v>
      </c>
      <c r="S3452" t="s">
        <v>125</v>
      </c>
      <c r="AM3452" t="s">
        <v>129</v>
      </c>
      <c r="AN3452" t="s">
        <v>130</v>
      </c>
      <c r="AP3452" t="s">
        <v>41</v>
      </c>
      <c r="AW3452" t="s">
        <v>48</v>
      </c>
      <c r="AZ3452" t="s">
        <v>51</v>
      </c>
      <c r="BB3452" t="s">
        <v>53</v>
      </c>
    </row>
    <row r="3453" spans="1:77" x14ac:dyDescent="0.2">
      <c r="A3453" t="s">
        <v>11664</v>
      </c>
      <c r="B3453" t="s">
        <v>3327</v>
      </c>
      <c r="C3453" t="s">
        <v>11670</v>
      </c>
      <c r="D3453" t="s">
        <v>11671</v>
      </c>
      <c r="E3453" t="s">
        <v>11672</v>
      </c>
      <c r="F3453" t="s">
        <v>118</v>
      </c>
      <c r="G3453" t="str">
        <f>HYPERLINK("https://vk.com/wall-54813709_465057?reply=465257&amp;thread=465124")</f>
        <v>https://vk.com/wall-54813709_465057?reply=465257&amp;thread=465124</v>
      </c>
      <c r="H3453" t="s">
        <v>119</v>
      </c>
      <c r="I3453" t="s">
        <v>11673</v>
      </c>
      <c r="J3453" t="str">
        <f>HYPERLINK("http://vk.com/id157328428")</f>
        <v>http://vk.com/id157328428</v>
      </c>
      <c r="K3453">
        <v>6</v>
      </c>
      <c r="L3453" t="s">
        <v>121</v>
      </c>
      <c r="N3453" t="s">
        <v>122</v>
      </c>
      <c r="O3453" t="s">
        <v>11674</v>
      </c>
      <c r="P3453" t="str">
        <f>HYPERLINK("http://vk.com/club54813709")</f>
        <v>http://vk.com/club54813709</v>
      </c>
      <c r="Q3453">
        <v>26749</v>
      </c>
      <c r="R3453" t="s">
        <v>124</v>
      </c>
      <c r="S3453" t="s">
        <v>125</v>
      </c>
      <c r="T3453" t="s">
        <v>612</v>
      </c>
      <c r="U3453" t="s">
        <v>613</v>
      </c>
      <c r="AM3453" t="s">
        <v>129</v>
      </c>
      <c r="AN3453" t="s">
        <v>130</v>
      </c>
      <c r="AP3453" t="s">
        <v>41</v>
      </c>
      <c r="AU3453" t="s">
        <v>46</v>
      </c>
      <c r="AZ3453" t="s">
        <v>51</v>
      </c>
      <c r="BA3453" t="s">
        <v>52</v>
      </c>
    </row>
    <row r="3454" spans="1:77" x14ac:dyDescent="0.2">
      <c r="A3454" t="s">
        <v>11664</v>
      </c>
      <c r="B3454" t="s">
        <v>7624</v>
      </c>
      <c r="C3454" t="s">
        <v>6189</v>
      </c>
      <c r="D3454" t="s">
        <v>6190</v>
      </c>
      <c r="E3454" t="s">
        <v>11675</v>
      </c>
      <c r="F3454" t="s">
        <v>180</v>
      </c>
      <c r="G3454" t="str">
        <f>HYPERLINK("https://www.ozon.ru/context/detail/id/168589899/#56880195")</f>
        <v>https://www.ozon.ru/context/detail/id/168589899/#56880195</v>
      </c>
      <c r="H3454" t="s">
        <v>119</v>
      </c>
      <c r="I3454" t="s">
        <v>11676</v>
      </c>
      <c r="J3454" t="str">
        <f>HYPERLINK("https://www.ozon.ru/context/client_opinion/ClientGuid/1448b52e-04f6-4fa8-aede-f738030bac6e/")</f>
        <v>https://www.ozon.ru/context/client_opinion/ClientGuid/1448b52e-04f6-4fa8-aede-f738030bac6e/</v>
      </c>
      <c r="N3454" t="s">
        <v>183</v>
      </c>
      <c r="O3454" t="s">
        <v>6190</v>
      </c>
      <c r="P3454" t="str">
        <f>HYPERLINK("https://www.ozon.ru/context/detail/id/168589899/")</f>
        <v>https://www.ozon.ru/context/detail/id/168589899/</v>
      </c>
      <c r="R3454" t="s">
        <v>184</v>
      </c>
      <c r="S3454" t="s">
        <v>125</v>
      </c>
      <c r="W3454">
        <v>0</v>
      </c>
      <c r="X3454">
        <v>0</v>
      </c>
      <c r="AH3454">
        <v>4</v>
      </c>
      <c r="AM3454" t="s">
        <v>129</v>
      </c>
      <c r="AN3454" t="s">
        <v>130</v>
      </c>
      <c r="AP3454" t="s">
        <v>41</v>
      </c>
      <c r="AZ3454" t="s">
        <v>51</v>
      </c>
      <c r="BA3454" t="s">
        <v>52</v>
      </c>
      <c r="BL3454" t="s">
        <v>63</v>
      </c>
    </row>
    <row r="3455" spans="1:77" x14ac:dyDescent="0.2">
      <c r="A3455" t="s">
        <v>11664</v>
      </c>
      <c r="B3455" t="s">
        <v>2299</v>
      </c>
      <c r="C3455" t="s">
        <v>11677</v>
      </c>
      <c r="D3455" t="s">
        <v>11678</v>
      </c>
      <c r="E3455" t="s">
        <v>11679</v>
      </c>
      <c r="F3455" t="s">
        <v>118</v>
      </c>
      <c r="G3455" t="str">
        <f>HYPERLINK("https://vk.com/wall-186674927_11997?reply=12024&amp;thread=12016")</f>
        <v>https://vk.com/wall-186674927_11997?reply=12024&amp;thread=12016</v>
      </c>
      <c r="H3455" t="s">
        <v>119</v>
      </c>
      <c r="I3455" t="s">
        <v>254</v>
      </c>
      <c r="J3455" t="str">
        <f>HYPERLINK("http://vk.com/id286061518")</f>
        <v>http://vk.com/id286061518</v>
      </c>
      <c r="K3455">
        <v>5170</v>
      </c>
      <c r="L3455" t="s">
        <v>121</v>
      </c>
      <c r="M3455">
        <v>34</v>
      </c>
      <c r="N3455" t="s">
        <v>122</v>
      </c>
      <c r="O3455" t="s">
        <v>358</v>
      </c>
      <c r="P3455" t="str">
        <f>HYPERLINK("http://vk.com/club186674927")</f>
        <v>http://vk.com/club186674927</v>
      </c>
      <c r="Q3455">
        <v>706</v>
      </c>
      <c r="R3455" t="s">
        <v>124</v>
      </c>
      <c r="S3455" t="s">
        <v>125</v>
      </c>
      <c r="T3455" t="s">
        <v>256</v>
      </c>
      <c r="U3455" t="s">
        <v>257</v>
      </c>
      <c r="AM3455" t="s">
        <v>129</v>
      </c>
      <c r="AN3455" t="s">
        <v>130</v>
      </c>
      <c r="AP3455" t="s">
        <v>41</v>
      </c>
      <c r="AU3455" t="s">
        <v>46</v>
      </c>
      <c r="AZ3455" t="s">
        <v>51</v>
      </c>
      <c r="BA3455" t="s">
        <v>52</v>
      </c>
      <c r="BY3455" t="s">
        <v>76</v>
      </c>
    </row>
    <row r="3456" spans="1:77" x14ac:dyDescent="0.2">
      <c r="A3456" t="s">
        <v>11664</v>
      </c>
      <c r="B3456" t="s">
        <v>155</v>
      </c>
      <c r="C3456" t="s">
        <v>11680</v>
      </c>
      <c r="D3456" t="s">
        <v>204</v>
      </c>
      <c r="E3456" t="s">
        <v>11681</v>
      </c>
      <c r="F3456" t="s">
        <v>180</v>
      </c>
      <c r="G3456" t="str">
        <f>HYPERLINK("https://play.google.com/store/apps/details?id=ru.iflex.android.a3colortv&amp;reviewId=gp:AOqpTOGX7JXmbc1j4w8RQKVEjJleRAR4O_XEMTldRDJmIQpORTLCRbxv81_yi2dhEIbuaay0-fa2CUuiUfazRg")</f>
        <v>https://play.google.com/store/apps/details?id=ru.iflex.android.a3colortv&amp;reviewId=gp:AOqpTOGX7JXmbc1j4w8RQKVEjJleRAR4O_XEMTldRDJmIQpORTLCRbxv81_yi2dhEIbuaay0-fa2CUuiUfazRg</v>
      </c>
      <c r="H3456" t="s">
        <v>228</v>
      </c>
      <c r="I3456" t="s">
        <v>11682</v>
      </c>
      <c r="J3456" t="str">
        <f>HYPERLINK("https://plus.google.com/118064354185952489963")</f>
        <v>https://plus.google.com/118064354185952489963</v>
      </c>
      <c r="N3456" t="s">
        <v>207</v>
      </c>
      <c r="O3456" t="s">
        <v>204</v>
      </c>
      <c r="P3456" t="str">
        <f>HYPERLINK("https://play.google.com/store/apps/details?id=ru.iflex.android.a3colortv&amp;hl=ru")</f>
        <v>https://play.google.com/store/apps/details?id=ru.iflex.android.a3colortv&amp;hl=ru</v>
      </c>
      <c r="R3456" t="s">
        <v>184</v>
      </c>
      <c r="S3456" t="s">
        <v>125</v>
      </c>
      <c r="W3456">
        <v>0</v>
      </c>
      <c r="X3456">
        <v>0</v>
      </c>
      <c r="AH3456">
        <v>3</v>
      </c>
      <c r="AM3456" t="s">
        <v>129</v>
      </c>
      <c r="AN3456" t="s">
        <v>130</v>
      </c>
      <c r="AP3456" t="s">
        <v>41</v>
      </c>
      <c r="AY3456" t="s">
        <v>50</v>
      </c>
      <c r="AZ3456" t="s">
        <v>51</v>
      </c>
      <c r="BA3456" t="s">
        <v>52</v>
      </c>
      <c r="BQ3456" t="s">
        <v>68</v>
      </c>
    </row>
    <row r="3457" spans="1:77" x14ac:dyDescent="0.2">
      <c r="A3457" t="s">
        <v>11664</v>
      </c>
      <c r="B3457" t="s">
        <v>4084</v>
      </c>
      <c r="C3457" t="s">
        <v>11683</v>
      </c>
      <c r="D3457" t="s">
        <v>175</v>
      </c>
      <c r="E3457" t="s">
        <v>11684</v>
      </c>
      <c r="F3457" t="s">
        <v>180</v>
      </c>
      <c r="G3457" t="str">
        <f>HYPERLINK("https://yandex.ru/maps/org/1809656127#8vLg_kKodGKQ4VFa_6-sYF3eCqW0NKQw")</f>
        <v>https://yandex.ru/maps/org/1809656127#8vLg_kKodGKQ4VFa_6-sYF3eCqW0NKQw</v>
      </c>
      <c r="H3457" t="s">
        <v>181</v>
      </c>
      <c r="I3457" t="s">
        <v>11685</v>
      </c>
      <c r="J3457" t="str">
        <f>HYPERLINK("https://yandex.ru/user/87v30854vbfqmj4n3p9j5hmmgg")</f>
        <v>https://yandex.ru/user/87v30854vbfqmj4n3p9j5hmmgg</v>
      </c>
      <c r="L3457" t="s">
        <v>151</v>
      </c>
      <c r="N3457" t="s">
        <v>236</v>
      </c>
      <c r="O3457" t="s">
        <v>175</v>
      </c>
      <c r="P3457" t="str">
        <f>HYPERLINK("https://yandex.ru/maps/org/1809656127")</f>
        <v>https://yandex.ru/maps/org/1809656127</v>
      </c>
      <c r="R3457" t="s">
        <v>184</v>
      </c>
      <c r="S3457" t="s">
        <v>125</v>
      </c>
      <c r="T3457" t="s">
        <v>428</v>
      </c>
      <c r="U3457" t="s">
        <v>429</v>
      </c>
      <c r="W3457">
        <v>0</v>
      </c>
      <c r="X3457">
        <v>0</v>
      </c>
      <c r="AH3457">
        <v>5</v>
      </c>
      <c r="AM3457" t="s">
        <v>129</v>
      </c>
      <c r="AN3457" t="s">
        <v>130</v>
      </c>
      <c r="AP3457" t="s">
        <v>41</v>
      </c>
      <c r="AX3457" t="s">
        <v>49</v>
      </c>
      <c r="AZ3457" t="s">
        <v>51</v>
      </c>
      <c r="BD3457" t="s">
        <v>55</v>
      </c>
    </row>
    <row r="3458" spans="1:77" x14ac:dyDescent="0.2">
      <c r="A3458" t="s">
        <v>11664</v>
      </c>
      <c r="B3458" t="s">
        <v>9161</v>
      </c>
      <c r="C3458" t="s">
        <v>11615</v>
      </c>
      <c r="D3458" t="s">
        <v>11616</v>
      </c>
      <c r="E3458" t="s">
        <v>11686</v>
      </c>
      <c r="F3458" t="s">
        <v>118</v>
      </c>
      <c r="G3458" t="str">
        <f>HYPERLINK("https://otzovik.com/review_12104920.html#89770776")</f>
        <v>https://otzovik.com/review_12104920.html#89770776</v>
      </c>
      <c r="H3458" t="s">
        <v>119</v>
      </c>
      <c r="I3458" t="s">
        <v>11687</v>
      </c>
      <c r="J3458" t="str">
        <f>HYPERLINK("http://otzovik.com/profile/kisa7")</f>
        <v>http://otzovik.com/profile/kisa7</v>
      </c>
      <c r="N3458" t="s">
        <v>390</v>
      </c>
      <c r="O3458" t="s">
        <v>1067</v>
      </c>
      <c r="P3458" t="str">
        <f>HYPERLINK("https://otzovik.com/reviews/sputnikovoe_televidenie_trikolor_tv/")</f>
        <v>https://otzovik.com/reviews/sputnikovoe_televidenie_trikolor_tv/</v>
      </c>
      <c r="R3458" t="s">
        <v>184</v>
      </c>
      <c r="S3458" t="s">
        <v>125</v>
      </c>
      <c r="AM3458" t="s">
        <v>129</v>
      </c>
      <c r="AN3458" t="s">
        <v>130</v>
      </c>
      <c r="AP3458" t="s">
        <v>41</v>
      </c>
      <c r="AU3458" t="s">
        <v>46</v>
      </c>
      <c r="AZ3458" t="s">
        <v>51</v>
      </c>
      <c r="BA3458" t="s">
        <v>52</v>
      </c>
      <c r="BM3458" t="s">
        <v>64</v>
      </c>
    </row>
    <row r="3459" spans="1:77" x14ac:dyDescent="0.2">
      <c r="A3459" t="s">
        <v>11664</v>
      </c>
      <c r="B3459" t="s">
        <v>4576</v>
      </c>
      <c r="C3459" t="s">
        <v>11688</v>
      </c>
      <c r="D3459" t="s">
        <v>11145</v>
      </c>
      <c r="E3459" t="s">
        <v>11689</v>
      </c>
      <c r="F3459" t="s">
        <v>118</v>
      </c>
      <c r="G3459" t="str">
        <f>HYPERLINK("https://vk.com/wall-22935147_368091?reply=368109")</f>
        <v>https://vk.com/wall-22935147_368091?reply=368109</v>
      </c>
      <c r="H3459" t="s">
        <v>119</v>
      </c>
      <c r="I3459" t="s">
        <v>5036</v>
      </c>
      <c r="J3459" t="str">
        <f>HYPERLINK("http://vk.com/id566870388")</f>
        <v>http://vk.com/id566870388</v>
      </c>
      <c r="L3459" t="s">
        <v>121</v>
      </c>
      <c r="N3459" t="s">
        <v>122</v>
      </c>
      <c r="O3459" t="s">
        <v>1093</v>
      </c>
      <c r="P3459" t="str">
        <f>HYPERLINK("http://vk.com/club22935147")</f>
        <v>http://vk.com/club22935147</v>
      </c>
      <c r="Q3459">
        <v>8943</v>
      </c>
      <c r="R3459" t="s">
        <v>124</v>
      </c>
      <c r="S3459" t="s">
        <v>125</v>
      </c>
      <c r="T3459" t="s">
        <v>169</v>
      </c>
      <c r="U3459" t="s">
        <v>169</v>
      </c>
      <c r="AM3459" t="s">
        <v>129</v>
      </c>
      <c r="AN3459" t="s">
        <v>130</v>
      </c>
      <c r="AP3459" t="s">
        <v>41</v>
      </c>
      <c r="AU3459" t="s">
        <v>46</v>
      </c>
      <c r="AZ3459" t="s">
        <v>51</v>
      </c>
      <c r="BA3459" t="s">
        <v>52</v>
      </c>
      <c r="BY3459" t="s">
        <v>76</v>
      </c>
    </row>
    <row r="3460" spans="1:77" x14ac:dyDescent="0.2">
      <c r="A3460" t="s">
        <v>11664</v>
      </c>
      <c r="B3460" t="s">
        <v>5025</v>
      </c>
      <c r="C3460" t="s">
        <v>11690</v>
      </c>
      <c r="D3460" t="s">
        <v>10944</v>
      </c>
      <c r="E3460" t="s">
        <v>11691</v>
      </c>
      <c r="F3460" t="s">
        <v>118</v>
      </c>
      <c r="G3460" t="str">
        <f>HYPERLINK("https://vk.com/wall-22935147_368103?reply=368107")</f>
        <v>https://vk.com/wall-22935147_368103?reply=368107</v>
      </c>
      <c r="H3460" t="s">
        <v>119</v>
      </c>
      <c r="I3460" t="s">
        <v>6267</v>
      </c>
      <c r="J3460" t="str">
        <f>HYPERLINK("http://vk.com/id124014423")</f>
        <v>http://vk.com/id124014423</v>
      </c>
      <c r="K3460">
        <v>731</v>
      </c>
      <c r="L3460" t="s">
        <v>121</v>
      </c>
      <c r="M3460">
        <v>29</v>
      </c>
      <c r="N3460" t="s">
        <v>122</v>
      </c>
      <c r="O3460" t="s">
        <v>1093</v>
      </c>
      <c r="P3460" t="str">
        <f>HYPERLINK("http://vk.com/club22935147")</f>
        <v>http://vk.com/club22935147</v>
      </c>
      <c r="Q3460">
        <v>8943</v>
      </c>
      <c r="R3460" t="s">
        <v>124</v>
      </c>
      <c r="S3460" t="s">
        <v>125</v>
      </c>
      <c r="T3460" t="s">
        <v>6268</v>
      </c>
      <c r="U3460" t="s">
        <v>6269</v>
      </c>
      <c r="AM3460" t="s">
        <v>129</v>
      </c>
      <c r="AN3460" t="s">
        <v>130</v>
      </c>
      <c r="AP3460" t="s">
        <v>41</v>
      </c>
      <c r="AX3460" t="s">
        <v>49</v>
      </c>
      <c r="AZ3460" t="s">
        <v>51</v>
      </c>
      <c r="BA3460" t="s">
        <v>52</v>
      </c>
      <c r="BQ3460" t="s">
        <v>68</v>
      </c>
    </row>
    <row r="3461" spans="1:77" x14ac:dyDescent="0.2">
      <c r="A3461" t="s">
        <v>11664</v>
      </c>
      <c r="B3461" t="s">
        <v>2912</v>
      </c>
      <c r="C3461" t="s">
        <v>11423</v>
      </c>
      <c r="D3461" t="s">
        <v>1697</v>
      </c>
      <c r="E3461" t="s">
        <v>11692</v>
      </c>
      <c r="F3461" t="s">
        <v>180</v>
      </c>
      <c r="G3461" t="str">
        <f>HYPERLINK("https://apps.apple.com/ru/app/мой-триколор/id1204321194#7531856701")</f>
        <v>https://apps.apple.com/ru/app/мой-триколор/id1204321194#7531856701</v>
      </c>
      <c r="H3461" t="s">
        <v>181</v>
      </c>
      <c r="I3461" t="s">
        <v>11693</v>
      </c>
      <c r="J3461" t="str">
        <f>HYPERLINK("https://itunes.apple.com/reviews?userProfileId=180067017")</f>
        <v>https://itunes.apple.com/reviews?userProfileId=180067017</v>
      </c>
      <c r="N3461" t="s">
        <v>1411</v>
      </c>
      <c r="O3461" t="s">
        <v>1697</v>
      </c>
      <c r="P3461" t="str">
        <f>HYPERLINK("https://apps.apple.com/ru/app/мой-триколор/id1204321194")</f>
        <v>https://apps.apple.com/ru/app/мой-триколор/id1204321194</v>
      </c>
      <c r="R3461" t="s">
        <v>184</v>
      </c>
      <c r="S3461" t="s">
        <v>125</v>
      </c>
      <c r="AH3461">
        <v>5</v>
      </c>
      <c r="AM3461" t="s">
        <v>129</v>
      </c>
      <c r="AN3461" t="s">
        <v>130</v>
      </c>
      <c r="AP3461" t="s">
        <v>41</v>
      </c>
      <c r="AZ3461" t="s">
        <v>51</v>
      </c>
      <c r="BA3461" t="s">
        <v>52</v>
      </c>
      <c r="BP3461" t="s">
        <v>67</v>
      </c>
      <c r="BQ3461" t="s">
        <v>68</v>
      </c>
    </row>
    <row r="3462" spans="1:77" x14ac:dyDescent="0.2">
      <c r="A3462" t="s">
        <v>11664</v>
      </c>
      <c r="B3462" t="s">
        <v>185</v>
      </c>
      <c r="C3462" t="s">
        <v>11694</v>
      </c>
      <c r="D3462" t="s">
        <v>129</v>
      </c>
      <c r="E3462" t="s">
        <v>10944</v>
      </c>
      <c r="F3462" t="s">
        <v>180</v>
      </c>
      <c r="G3462" t="str">
        <f>HYPERLINK("https://vk.com/wall-22935147_368103")</f>
        <v>https://vk.com/wall-22935147_368103</v>
      </c>
      <c r="H3462" t="s">
        <v>228</v>
      </c>
      <c r="I3462" t="s">
        <v>11695</v>
      </c>
      <c r="J3462" t="str">
        <f>HYPERLINK("http://vk.com/id32612661")</f>
        <v>http://vk.com/id32612661</v>
      </c>
      <c r="K3462">
        <v>425</v>
      </c>
      <c r="L3462" t="s">
        <v>121</v>
      </c>
      <c r="M3462">
        <v>35</v>
      </c>
      <c r="N3462" t="s">
        <v>122</v>
      </c>
      <c r="O3462" t="s">
        <v>1093</v>
      </c>
      <c r="P3462" t="str">
        <f>HYPERLINK("http://vk.com/club22935147")</f>
        <v>http://vk.com/club22935147</v>
      </c>
      <c r="Q3462">
        <v>8943</v>
      </c>
      <c r="R3462" t="s">
        <v>124</v>
      </c>
      <c r="S3462" t="s">
        <v>125</v>
      </c>
      <c r="T3462" t="s">
        <v>153</v>
      </c>
      <c r="U3462" t="s">
        <v>11696</v>
      </c>
      <c r="W3462">
        <v>6</v>
      </c>
      <c r="X3462">
        <v>6</v>
      </c>
      <c r="AE3462">
        <v>13</v>
      </c>
      <c r="AF3462">
        <v>0</v>
      </c>
      <c r="AG3462">
        <v>1797</v>
      </c>
      <c r="AM3462" t="s">
        <v>129</v>
      </c>
      <c r="AN3462" t="s">
        <v>130</v>
      </c>
      <c r="AP3462" t="s">
        <v>41</v>
      </c>
      <c r="AU3462" t="s">
        <v>46</v>
      </c>
      <c r="AX3462" t="s">
        <v>49</v>
      </c>
      <c r="AY3462" t="s">
        <v>50</v>
      </c>
      <c r="AZ3462" t="s">
        <v>51</v>
      </c>
      <c r="BA3462" t="s">
        <v>52</v>
      </c>
    </row>
    <row r="3463" spans="1:77" x14ac:dyDescent="0.2">
      <c r="A3463" t="s">
        <v>11664</v>
      </c>
      <c r="B3463" t="s">
        <v>196</v>
      </c>
      <c r="C3463" t="s">
        <v>11697</v>
      </c>
      <c r="D3463" t="s">
        <v>11678</v>
      </c>
      <c r="E3463" t="s">
        <v>11698</v>
      </c>
      <c r="F3463" t="s">
        <v>118</v>
      </c>
      <c r="G3463" t="str">
        <f>HYPERLINK("https://vk.com/wall-186674927_11997?reply=12023&amp;thread=12016")</f>
        <v>https://vk.com/wall-186674927_11997?reply=12023&amp;thread=12016</v>
      </c>
      <c r="H3463" t="s">
        <v>119</v>
      </c>
      <c r="I3463" t="s">
        <v>493</v>
      </c>
      <c r="J3463" t="str">
        <f>HYPERLINK("http://vk.com/id578514594")</f>
        <v>http://vk.com/id578514594</v>
      </c>
      <c r="K3463">
        <v>117</v>
      </c>
      <c r="L3463" t="s">
        <v>121</v>
      </c>
      <c r="M3463">
        <v>25</v>
      </c>
      <c r="N3463" t="s">
        <v>122</v>
      </c>
      <c r="O3463" t="s">
        <v>358</v>
      </c>
      <c r="P3463" t="str">
        <f>HYPERLINK("http://vk.com/club186674927")</f>
        <v>http://vk.com/club186674927</v>
      </c>
      <c r="Q3463">
        <v>706</v>
      </c>
      <c r="R3463" t="s">
        <v>124</v>
      </c>
      <c r="S3463" t="s">
        <v>125</v>
      </c>
      <c r="T3463" t="s">
        <v>494</v>
      </c>
      <c r="U3463" t="s">
        <v>495</v>
      </c>
      <c r="AM3463" t="s">
        <v>129</v>
      </c>
      <c r="AN3463" t="s">
        <v>130</v>
      </c>
      <c r="AP3463" t="s">
        <v>41</v>
      </c>
      <c r="AU3463" t="s">
        <v>46</v>
      </c>
      <c r="AZ3463" t="s">
        <v>51</v>
      </c>
      <c r="BA3463" t="s">
        <v>52</v>
      </c>
      <c r="BY3463" t="s">
        <v>76</v>
      </c>
    </row>
    <row r="3464" spans="1:77" x14ac:dyDescent="0.2">
      <c r="A3464" t="s">
        <v>11664</v>
      </c>
      <c r="B3464" t="s">
        <v>812</v>
      </c>
      <c r="C3464" t="s">
        <v>11699</v>
      </c>
      <c r="D3464" t="s">
        <v>204</v>
      </c>
      <c r="E3464" t="s">
        <v>10825</v>
      </c>
      <c r="F3464" t="s">
        <v>180</v>
      </c>
      <c r="G3464" t="str">
        <f>HYPERLINK("https://play.google.com/store/apps/details?id=ru.iflex.android.a3colortv&amp;reviewId=gp:AOqpTOHakLTvuwKatRfqJJRX1XeOG8p1N1qo8HGf3V5sDkSk6SxCFwV9-bQZEuATFPa-Ahxy2METDARFWGRjXw")</f>
        <v>https://play.google.com/store/apps/details?id=ru.iflex.android.a3colortv&amp;reviewId=gp:AOqpTOHakLTvuwKatRfqJJRX1XeOG8p1N1qo8HGf3V5sDkSk6SxCFwV9-bQZEuATFPa-Ahxy2METDARFWGRjXw</v>
      </c>
      <c r="H3464" t="s">
        <v>181</v>
      </c>
      <c r="I3464" t="s">
        <v>11700</v>
      </c>
      <c r="J3464" t="str">
        <f>HYPERLINK("https://plus.google.com/106833754534737215851")</f>
        <v>https://plus.google.com/106833754534737215851</v>
      </c>
      <c r="L3464" t="s">
        <v>121</v>
      </c>
      <c r="N3464" t="s">
        <v>207</v>
      </c>
      <c r="O3464" t="s">
        <v>204</v>
      </c>
      <c r="P3464" t="str">
        <f>HYPERLINK("https://play.google.com/store/apps/details?id=ru.iflex.android.a3colortv&amp;hl=ru")</f>
        <v>https://play.google.com/store/apps/details?id=ru.iflex.android.a3colortv&amp;hl=ru</v>
      </c>
      <c r="R3464" t="s">
        <v>184</v>
      </c>
      <c r="S3464" t="s">
        <v>125</v>
      </c>
      <c r="W3464">
        <v>0</v>
      </c>
      <c r="X3464">
        <v>0</v>
      </c>
      <c r="AH3464">
        <v>5</v>
      </c>
      <c r="AM3464" t="s">
        <v>129</v>
      </c>
      <c r="AN3464" t="s">
        <v>130</v>
      </c>
      <c r="AP3464" t="s">
        <v>41</v>
      </c>
      <c r="AZ3464" t="s">
        <v>51</v>
      </c>
      <c r="BA3464" t="s">
        <v>52</v>
      </c>
      <c r="BQ3464" t="s">
        <v>68</v>
      </c>
    </row>
    <row r="3465" spans="1:77" x14ac:dyDescent="0.2">
      <c r="A3465" t="s">
        <v>11664</v>
      </c>
      <c r="B3465" t="s">
        <v>1917</v>
      </c>
      <c r="C3465" t="s">
        <v>11701</v>
      </c>
      <c r="D3465" t="s">
        <v>129</v>
      </c>
      <c r="E3465" t="s">
        <v>11702</v>
      </c>
      <c r="F3465" t="s">
        <v>180</v>
      </c>
      <c r="G3465" t="str">
        <f>HYPERLINK("https://www.facebook.com/permalink.php?story_fbid=2970540169889760&amp;id=100008014174859")</f>
        <v>https://www.facebook.com/permalink.php?story_fbid=2970540169889760&amp;id=100008014174859</v>
      </c>
      <c r="H3465" t="s">
        <v>119</v>
      </c>
      <c r="I3465" t="s">
        <v>11703</v>
      </c>
      <c r="J3465" t="str">
        <f>HYPERLINK("https://www.facebook.com/100008014174859")</f>
        <v>https://www.facebook.com/100008014174859</v>
      </c>
      <c r="K3465">
        <v>194</v>
      </c>
      <c r="L3465" t="s">
        <v>121</v>
      </c>
      <c r="N3465" t="s">
        <v>305</v>
      </c>
      <c r="O3465" t="s">
        <v>11703</v>
      </c>
      <c r="P3465" t="str">
        <f>HYPERLINK("https://www.facebook.com/100008014174859")</f>
        <v>https://www.facebook.com/100008014174859</v>
      </c>
      <c r="Q3465">
        <v>194</v>
      </c>
      <c r="R3465" t="s">
        <v>124</v>
      </c>
      <c r="S3465" t="s">
        <v>125</v>
      </c>
      <c r="T3465" t="s">
        <v>169</v>
      </c>
      <c r="U3465" t="s">
        <v>169</v>
      </c>
      <c r="W3465">
        <v>5</v>
      </c>
      <c r="X3465">
        <v>5</v>
      </c>
      <c r="Y3465">
        <v>0</v>
      </c>
      <c r="Z3465">
        <v>0</v>
      </c>
      <c r="AA3465">
        <v>0</v>
      </c>
      <c r="AB3465">
        <v>0</v>
      </c>
      <c r="AC3465">
        <v>0</v>
      </c>
      <c r="AE3465">
        <v>7</v>
      </c>
      <c r="AF3465">
        <v>0</v>
      </c>
      <c r="AM3465" t="s">
        <v>129</v>
      </c>
      <c r="AN3465" t="s">
        <v>130</v>
      </c>
      <c r="AP3465" t="s">
        <v>41</v>
      </c>
      <c r="AT3465" t="s">
        <v>45</v>
      </c>
      <c r="AZ3465" t="s">
        <v>51</v>
      </c>
      <c r="BB3465" t="s">
        <v>53</v>
      </c>
      <c r="BM3465" t="s">
        <v>64</v>
      </c>
    </row>
    <row r="3466" spans="1:77" x14ac:dyDescent="0.2">
      <c r="A3466" t="s">
        <v>11664</v>
      </c>
      <c r="B3466" t="s">
        <v>2361</v>
      </c>
      <c r="C3466" t="s">
        <v>11704</v>
      </c>
      <c r="D3466" t="s">
        <v>11587</v>
      </c>
      <c r="E3466" t="s">
        <v>11705</v>
      </c>
      <c r="F3466" t="s">
        <v>118</v>
      </c>
      <c r="G3466" t="str">
        <f>HYPERLINK("https://vk.com/wall-61101621_254495?reply=254498")</f>
        <v>https://vk.com/wall-61101621_254495?reply=254498</v>
      </c>
      <c r="H3466" t="s">
        <v>119</v>
      </c>
      <c r="I3466" t="s">
        <v>3070</v>
      </c>
      <c r="J3466" t="str">
        <f>HYPERLINK("http://vk.com/id50172316")</f>
        <v>http://vk.com/id50172316</v>
      </c>
      <c r="K3466">
        <v>90</v>
      </c>
      <c r="L3466" t="s">
        <v>121</v>
      </c>
      <c r="M3466">
        <v>37</v>
      </c>
      <c r="N3466" t="s">
        <v>122</v>
      </c>
      <c r="O3466" t="s">
        <v>160</v>
      </c>
      <c r="P3466" t="str">
        <f>HYPERLINK("http://vk.com/club61101621")</f>
        <v>http://vk.com/club61101621</v>
      </c>
      <c r="Q3466">
        <v>21119</v>
      </c>
      <c r="R3466" t="s">
        <v>124</v>
      </c>
      <c r="S3466" t="s">
        <v>125</v>
      </c>
      <c r="T3466" t="s">
        <v>989</v>
      </c>
      <c r="U3466" t="s">
        <v>3071</v>
      </c>
      <c r="AM3466" t="s">
        <v>129</v>
      </c>
      <c r="AN3466" t="s">
        <v>130</v>
      </c>
      <c r="AP3466" t="s">
        <v>41</v>
      </c>
      <c r="AU3466" t="s">
        <v>46</v>
      </c>
      <c r="AZ3466" t="s">
        <v>51</v>
      </c>
      <c r="BA3466" t="s">
        <v>52</v>
      </c>
      <c r="BY3466" t="s">
        <v>76</v>
      </c>
    </row>
    <row r="3467" spans="1:77" x14ac:dyDescent="0.2">
      <c r="A3467" t="s">
        <v>11664</v>
      </c>
      <c r="B3467" t="s">
        <v>1930</v>
      </c>
      <c r="C3467" t="s">
        <v>11706</v>
      </c>
      <c r="D3467" t="s">
        <v>11707</v>
      </c>
      <c r="E3467" t="s">
        <v>11708</v>
      </c>
      <c r="F3467" t="s">
        <v>118</v>
      </c>
      <c r="G3467" t="str">
        <f>HYPERLINK("https://www.youtube.com/watch?v=VBScPJTLeb8&amp;lc=Ugw5w9ZLqcNK3EwJYAZ4AaABAg")</f>
        <v>https://www.youtube.com/watch?v=VBScPJTLeb8&amp;lc=Ugw5w9ZLqcNK3EwJYAZ4AaABAg</v>
      </c>
      <c r="H3467" t="s">
        <v>228</v>
      </c>
      <c r="I3467" t="s">
        <v>11709</v>
      </c>
      <c r="J3467" t="str">
        <f>HYPERLINK("https://www.youtube.com/channel/UCJgL9Dd_U4D2AXhGmgohaFA")</f>
        <v>https://www.youtube.com/channel/UCJgL9Dd_U4D2AXhGmgohaFA</v>
      </c>
      <c r="K3467">
        <v>0</v>
      </c>
      <c r="L3467" t="s">
        <v>121</v>
      </c>
      <c r="N3467" t="s">
        <v>248</v>
      </c>
      <c r="O3467" t="s">
        <v>1910</v>
      </c>
      <c r="P3467" t="str">
        <f>HYPERLINK("https://www.youtube.com/channel/UCQgd9Ks9oBckRf9hadmZFdA")</f>
        <v>https://www.youtube.com/channel/UCQgd9Ks9oBckRf9hadmZFdA</v>
      </c>
      <c r="Q3467">
        <v>66700</v>
      </c>
      <c r="R3467" t="s">
        <v>124</v>
      </c>
      <c r="S3467" t="s">
        <v>125</v>
      </c>
      <c r="W3467">
        <v>0</v>
      </c>
      <c r="X3467">
        <v>0</v>
      </c>
      <c r="AE3467">
        <v>0</v>
      </c>
      <c r="AM3467" t="s">
        <v>129</v>
      </c>
      <c r="AN3467" t="s">
        <v>130</v>
      </c>
      <c r="AP3467" t="s">
        <v>41</v>
      </c>
      <c r="AZ3467" t="s">
        <v>51</v>
      </c>
      <c r="BA3467" t="s">
        <v>52</v>
      </c>
      <c r="BO3467" t="s">
        <v>66</v>
      </c>
    </row>
    <row r="3468" spans="1:77" x14ac:dyDescent="0.2">
      <c r="A3468" t="s">
        <v>11664</v>
      </c>
      <c r="B3468" t="s">
        <v>2947</v>
      </c>
      <c r="C3468" t="s">
        <v>11710</v>
      </c>
      <c r="D3468" t="s">
        <v>7394</v>
      </c>
      <c r="E3468" t="s">
        <v>11711</v>
      </c>
      <c r="F3468" t="s">
        <v>180</v>
      </c>
      <c r="G3468" t="str">
        <f>HYPERLINK("https://www.wildberries.ru/catalog/27824475/detail.aspx?targetUrl=ES#Comments")</f>
        <v>https://www.wildberries.ru/catalog/27824475/detail.aspx?targetUrl=ES#Comments</v>
      </c>
      <c r="H3468" t="s">
        <v>181</v>
      </c>
      <c r="I3468" t="s">
        <v>3082</v>
      </c>
      <c r="J3468" t="str">
        <f>HYPERLINK("https://www.wildberries.ru/profile/w7TDssOkw7PCu8KywrLCscK2wrDCuMK3wrU=")</f>
        <v>https://www.wildberries.ru/profile/w7TDssOkw7PCu8KywrLCscK2wrDCuMK3wrU=</v>
      </c>
      <c r="L3468" t="s">
        <v>151</v>
      </c>
      <c r="N3468" t="s">
        <v>534</v>
      </c>
      <c r="O3468" t="s">
        <v>7394</v>
      </c>
      <c r="P3468" t="str">
        <f>HYPERLINK("https://www.wildberries.ru/catalog/20414642/detail.aspx")</f>
        <v>https://www.wildberries.ru/catalog/20414642/detail.aspx</v>
      </c>
      <c r="R3468" t="s">
        <v>184</v>
      </c>
      <c r="S3468" t="s">
        <v>125</v>
      </c>
      <c r="W3468">
        <v>0</v>
      </c>
      <c r="X3468">
        <v>0</v>
      </c>
      <c r="AH3468">
        <v>5</v>
      </c>
      <c r="AM3468" t="s">
        <v>129</v>
      </c>
      <c r="AN3468" t="s">
        <v>130</v>
      </c>
      <c r="AP3468" t="s">
        <v>41</v>
      </c>
      <c r="AT3468" t="s">
        <v>45</v>
      </c>
      <c r="AZ3468" t="s">
        <v>51</v>
      </c>
      <c r="BA3468" t="s">
        <v>52</v>
      </c>
      <c r="BL3468" t="s">
        <v>63</v>
      </c>
    </row>
    <row r="3469" spans="1:77" x14ac:dyDescent="0.2">
      <c r="A3469" t="s">
        <v>11664</v>
      </c>
      <c r="B3469" t="s">
        <v>4172</v>
      </c>
      <c r="C3469" t="s">
        <v>11712</v>
      </c>
      <c r="D3469" t="s">
        <v>5461</v>
      </c>
      <c r="E3469" t="s">
        <v>11713</v>
      </c>
      <c r="F3469" t="s">
        <v>118</v>
      </c>
      <c r="G3469" t="str">
        <f>HYPERLINK("https://vk.com/wall-22935147_368066?reply=368101")</f>
        <v>https://vk.com/wall-22935147_368066?reply=368101</v>
      </c>
      <c r="H3469" t="s">
        <v>119</v>
      </c>
      <c r="I3469" t="s">
        <v>5110</v>
      </c>
      <c r="J3469" t="str">
        <f>HYPERLINK("http://vk.com/id521162897")</f>
        <v>http://vk.com/id521162897</v>
      </c>
      <c r="L3469" t="s">
        <v>121</v>
      </c>
      <c r="N3469" t="s">
        <v>122</v>
      </c>
      <c r="O3469" t="s">
        <v>1093</v>
      </c>
      <c r="P3469" t="str">
        <f>HYPERLINK("http://vk.com/club22935147")</f>
        <v>http://vk.com/club22935147</v>
      </c>
      <c r="Q3469">
        <v>8943</v>
      </c>
      <c r="R3469" t="s">
        <v>124</v>
      </c>
      <c r="S3469" t="s">
        <v>125</v>
      </c>
      <c r="T3469" t="s">
        <v>169</v>
      </c>
      <c r="U3469" t="s">
        <v>169</v>
      </c>
      <c r="W3469">
        <v>0</v>
      </c>
      <c r="X3469">
        <v>0</v>
      </c>
      <c r="AM3469" t="s">
        <v>129</v>
      </c>
      <c r="AN3469" t="s">
        <v>130</v>
      </c>
      <c r="AP3469" t="s">
        <v>41</v>
      </c>
      <c r="AU3469" t="s">
        <v>46</v>
      </c>
      <c r="AZ3469" t="s">
        <v>51</v>
      </c>
      <c r="BA3469" t="s">
        <v>52</v>
      </c>
    </row>
    <row r="3470" spans="1:77" x14ac:dyDescent="0.2">
      <c r="A3470" t="s">
        <v>11664</v>
      </c>
      <c r="B3470" t="s">
        <v>4182</v>
      </c>
      <c r="C3470" t="s">
        <v>11714</v>
      </c>
      <c r="D3470" t="s">
        <v>11715</v>
      </c>
      <c r="E3470" t="s">
        <v>11716</v>
      </c>
      <c r="F3470" t="s">
        <v>118</v>
      </c>
      <c r="G3470" t="str">
        <f>HYPERLINK("http://www.yaplakal.com/forum7/st/325/topic2290840.html#102628181")</f>
        <v>http://www.yaplakal.com/forum7/st/325/topic2290840.html#102628181</v>
      </c>
      <c r="H3470" t="s">
        <v>228</v>
      </c>
      <c r="I3470" t="s">
        <v>11717</v>
      </c>
      <c r="J3470" t="str">
        <f>HYPERLINK("http://www.yaplakal.com/forum7/st/325/topic2290840.html#102628181")</f>
        <v>http://www.yaplakal.com/forum7/st/325/topic2290840.html#102628181</v>
      </c>
      <c r="N3470" t="s">
        <v>11718</v>
      </c>
      <c r="O3470" t="s">
        <v>11719</v>
      </c>
      <c r="P3470" t="str">
        <f>HYPERLINK("http://www.yaplakal.com/forum7/")</f>
        <v>http://www.yaplakal.com/forum7/</v>
      </c>
      <c r="R3470" t="s">
        <v>295</v>
      </c>
      <c r="S3470" t="s">
        <v>125</v>
      </c>
      <c r="AM3470" t="s">
        <v>129</v>
      </c>
      <c r="AN3470" t="s">
        <v>130</v>
      </c>
      <c r="AP3470" t="s">
        <v>41</v>
      </c>
      <c r="AT3470" t="s">
        <v>45</v>
      </c>
      <c r="AY3470" t="s">
        <v>50</v>
      </c>
      <c r="AZ3470" t="s">
        <v>51</v>
      </c>
      <c r="BA3470" t="s">
        <v>52</v>
      </c>
      <c r="BR3470" t="s">
        <v>69</v>
      </c>
    </row>
    <row r="3471" spans="1:77" x14ac:dyDescent="0.2">
      <c r="A3471" t="s">
        <v>11664</v>
      </c>
      <c r="B3471" t="s">
        <v>847</v>
      </c>
      <c r="C3471" t="s">
        <v>11720</v>
      </c>
      <c r="D3471" t="s">
        <v>11395</v>
      </c>
      <c r="E3471" t="s">
        <v>11721</v>
      </c>
      <c r="F3471" t="s">
        <v>118</v>
      </c>
      <c r="G3471" t="str">
        <f>HYPERLINK("https://vk.com/wall-22935147_368046?reply=368100&amp;thread=368088")</f>
        <v>https://vk.com/wall-22935147_368046?reply=368100&amp;thread=368088</v>
      </c>
      <c r="H3471" t="s">
        <v>119</v>
      </c>
      <c r="I3471" t="s">
        <v>2157</v>
      </c>
      <c r="J3471" t="str">
        <f>HYPERLINK("http://vk.com/id245868162")</f>
        <v>http://vk.com/id245868162</v>
      </c>
      <c r="K3471">
        <v>188</v>
      </c>
      <c r="L3471" t="s">
        <v>121</v>
      </c>
      <c r="N3471" t="s">
        <v>122</v>
      </c>
      <c r="O3471" t="s">
        <v>1093</v>
      </c>
      <c r="P3471" t="str">
        <f>HYPERLINK("http://vk.com/club22935147")</f>
        <v>http://vk.com/club22935147</v>
      </c>
      <c r="Q3471">
        <v>8943</v>
      </c>
      <c r="R3471" t="s">
        <v>124</v>
      </c>
      <c r="S3471" t="s">
        <v>125</v>
      </c>
      <c r="T3471" t="s">
        <v>778</v>
      </c>
      <c r="U3471" t="s">
        <v>2158</v>
      </c>
      <c r="AM3471" t="s">
        <v>129</v>
      </c>
      <c r="AN3471" t="s">
        <v>130</v>
      </c>
      <c r="AP3471" t="s">
        <v>41</v>
      </c>
      <c r="AW3471" t="s">
        <v>48</v>
      </c>
      <c r="AZ3471" t="s">
        <v>51</v>
      </c>
      <c r="BA3471" t="s">
        <v>52</v>
      </c>
    </row>
    <row r="3472" spans="1:77" x14ac:dyDescent="0.2">
      <c r="A3472" t="s">
        <v>11664</v>
      </c>
      <c r="B3472" t="s">
        <v>10482</v>
      </c>
      <c r="C3472" t="s">
        <v>11722</v>
      </c>
      <c r="D3472" t="s">
        <v>11723</v>
      </c>
      <c r="E3472" t="s">
        <v>11724</v>
      </c>
      <c r="F3472" t="s">
        <v>180</v>
      </c>
      <c r="G3472" t="str">
        <f>HYPERLINK("https://ok.ru/group/51085510115462/topic/153399414465926")</f>
        <v>https://ok.ru/group/51085510115462/topic/153399414465926</v>
      </c>
      <c r="H3472" t="s">
        <v>119</v>
      </c>
      <c r="I3472" t="s">
        <v>175</v>
      </c>
      <c r="J3472" t="str">
        <f>HYPERLINK("https://ok.ru/group/51085510115462")</f>
        <v>https://ok.ru/group/51085510115462</v>
      </c>
      <c r="K3472">
        <v>94768</v>
      </c>
      <c r="L3472" t="s">
        <v>340</v>
      </c>
      <c r="N3472" t="s">
        <v>347</v>
      </c>
      <c r="O3472" t="s">
        <v>175</v>
      </c>
      <c r="P3472" t="str">
        <f>HYPERLINK("https://ok.ru/group/51085510115462")</f>
        <v>https://ok.ru/group/51085510115462</v>
      </c>
      <c r="Q3472">
        <v>94768</v>
      </c>
      <c r="R3472" t="s">
        <v>124</v>
      </c>
      <c r="W3472">
        <v>15</v>
      </c>
      <c r="X3472">
        <v>15</v>
      </c>
      <c r="Y3472">
        <v>0</v>
      </c>
      <c r="Z3472">
        <v>0</v>
      </c>
      <c r="AA3472">
        <v>0</v>
      </c>
      <c r="AB3472">
        <v>0</v>
      </c>
      <c r="AE3472">
        <v>1</v>
      </c>
      <c r="AF3472">
        <v>2</v>
      </c>
      <c r="AJ3472" t="s">
        <v>11725</v>
      </c>
      <c r="AK3472" t="s">
        <v>11726</v>
      </c>
      <c r="AL3472" t="str">
        <f>HYPERLINK("https://i.mycdn.me/image?id=918052888710&amp;t=20&amp;plc=API&amp;aid=1131601408&amp;tkn=*0ddJJIOVd-YCo8wbog5ETpZr7jk")</f>
        <v>https://i.mycdn.me/image?id=918052888710&amp;t=20&amp;plc=API&amp;aid=1131601408&amp;tkn=*0ddJJIOVd-YCo8wbog5ETpZr7jk</v>
      </c>
      <c r="AM3472" t="s">
        <v>129</v>
      </c>
      <c r="AN3472" t="s">
        <v>130</v>
      </c>
      <c r="BI3472" t="s">
        <v>60</v>
      </c>
    </row>
    <row r="3473" spans="1:100" x14ac:dyDescent="0.2">
      <c r="A3473" t="s">
        <v>11664</v>
      </c>
      <c r="B3473" t="s">
        <v>4209</v>
      </c>
      <c r="C3473" t="s">
        <v>11727</v>
      </c>
      <c r="D3473" t="s">
        <v>129</v>
      </c>
      <c r="E3473" t="s">
        <v>11724</v>
      </c>
      <c r="F3473" t="s">
        <v>180</v>
      </c>
      <c r="G3473" t="str">
        <f>HYPERLINK("https://www.facebook.com/tricolortv/posts/4051285221592384")</f>
        <v>https://www.facebook.com/tricolortv/posts/4051285221592384</v>
      </c>
      <c r="H3473" t="s">
        <v>119</v>
      </c>
      <c r="I3473" t="s">
        <v>175</v>
      </c>
      <c r="J3473" t="str">
        <f>HYPERLINK("https://www.facebook.com/206198386101106")</f>
        <v>https://www.facebook.com/206198386101106</v>
      </c>
      <c r="K3473">
        <v>16432</v>
      </c>
      <c r="L3473" t="s">
        <v>340</v>
      </c>
      <c r="N3473" t="s">
        <v>305</v>
      </c>
      <c r="O3473" t="s">
        <v>175</v>
      </c>
      <c r="P3473" t="str">
        <f>HYPERLINK("https://www.facebook.com/206198386101106")</f>
        <v>https://www.facebook.com/206198386101106</v>
      </c>
      <c r="Q3473">
        <v>16432</v>
      </c>
      <c r="R3473" t="s">
        <v>124</v>
      </c>
      <c r="W3473">
        <v>0</v>
      </c>
      <c r="X3473">
        <v>0</v>
      </c>
      <c r="Y3473">
        <v>0</v>
      </c>
      <c r="Z3473">
        <v>0</v>
      </c>
      <c r="AA3473">
        <v>0</v>
      </c>
      <c r="AB3473">
        <v>0</v>
      </c>
      <c r="AC3473">
        <v>0</v>
      </c>
      <c r="AE3473">
        <v>0</v>
      </c>
      <c r="AF3473">
        <v>0</v>
      </c>
      <c r="AJ3473" t="s">
        <v>11725</v>
      </c>
      <c r="AK3473" t="s">
        <v>11726</v>
      </c>
      <c r="AL3473" t="s">
        <v>11728</v>
      </c>
      <c r="AM3473" t="s">
        <v>129</v>
      </c>
      <c r="AN3473" t="s">
        <v>130</v>
      </c>
      <c r="BI3473" t="s">
        <v>60</v>
      </c>
    </row>
    <row r="3474" spans="1:100" x14ac:dyDescent="0.2">
      <c r="A3474" t="s">
        <v>11664</v>
      </c>
      <c r="B3474" t="s">
        <v>4653</v>
      </c>
      <c r="C3474" t="s">
        <v>11729</v>
      </c>
      <c r="D3474" t="s">
        <v>3848</v>
      </c>
      <c r="E3474" t="s">
        <v>11730</v>
      </c>
      <c r="F3474" t="s">
        <v>180</v>
      </c>
      <c r="G3474" t="str">
        <f>HYPERLINK("https://www.wildberries.ru/catalog/14118787/detail.aspx?targetUrl=ES#Comments")</f>
        <v>https://www.wildberries.ru/catalog/14118787/detail.aspx?targetUrl=ES#Comments</v>
      </c>
      <c r="H3474" t="s">
        <v>181</v>
      </c>
      <c r="I3474" t="s">
        <v>2131</v>
      </c>
      <c r="J3474" t="str">
        <f>HYPERLINK("https://www.wildberries.ru/profile/w7TDssOkw7PCu8K1wrHCtcK0wrPCtsKywrc=")</f>
        <v>https://www.wildberries.ru/profile/w7TDssOkw7PCu8K1wrHCtcK0wrPCtsKywrc=</v>
      </c>
      <c r="L3474" t="s">
        <v>121</v>
      </c>
      <c r="N3474" t="s">
        <v>534</v>
      </c>
      <c r="O3474" t="s">
        <v>3848</v>
      </c>
      <c r="P3474" t="str">
        <f>HYPERLINK("https://www.wildberries.ru/catalog/10561443/detail.aspx")</f>
        <v>https://www.wildberries.ru/catalog/10561443/detail.aspx</v>
      </c>
      <c r="R3474" t="s">
        <v>184</v>
      </c>
      <c r="S3474" t="s">
        <v>125</v>
      </c>
      <c r="W3474">
        <v>0</v>
      </c>
      <c r="X3474">
        <v>0</v>
      </c>
      <c r="AH3474">
        <v>5</v>
      </c>
      <c r="AJ3474" t="s">
        <v>11731</v>
      </c>
      <c r="AK3474" t="s">
        <v>129</v>
      </c>
      <c r="AL3474" t="str">
        <f>HYPERLINK("http://feedbackphotos.wbstatic.net/feedbacks/1056/10561443/c7cc5122-cf66-4af0-a8a5-d17722fdbe1f_fs.jpg")</f>
        <v>http://feedbackphotos.wbstatic.net/feedbacks/1056/10561443/c7cc5122-cf66-4af0-a8a5-d17722fdbe1f_fs.jpg</v>
      </c>
      <c r="AM3474" t="s">
        <v>129</v>
      </c>
      <c r="AN3474" t="s">
        <v>130</v>
      </c>
      <c r="AP3474" t="s">
        <v>41</v>
      </c>
      <c r="AT3474" t="s">
        <v>45</v>
      </c>
      <c r="AZ3474" t="s">
        <v>51</v>
      </c>
      <c r="BA3474" t="s">
        <v>52</v>
      </c>
      <c r="BL3474" t="s">
        <v>63</v>
      </c>
    </row>
    <row r="3475" spans="1:100" x14ac:dyDescent="0.2">
      <c r="A3475" t="s">
        <v>11664</v>
      </c>
      <c r="B3475" t="s">
        <v>877</v>
      </c>
      <c r="C3475" t="s">
        <v>11732</v>
      </c>
      <c r="D3475" t="s">
        <v>1336</v>
      </c>
      <c r="E3475" t="s">
        <v>11733</v>
      </c>
      <c r="F3475" t="s">
        <v>118</v>
      </c>
      <c r="G3475" t="str">
        <f>HYPERLINK("https://www.youtube.com/watch?v=XSvUHFcHCNU&amp;lc=UgyGkFmjro0SSj1ln3R4AaABAg")</f>
        <v>https://www.youtube.com/watch?v=XSvUHFcHCNU&amp;lc=UgyGkFmjro0SSj1ln3R4AaABAg</v>
      </c>
      <c r="H3475" t="s">
        <v>181</v>
      </c>
      <c r="I3475" t="s">
        <v>11734</v>
      </c>
      <c r="J3475" t="str">
        <f>HYPERLINK("https://www.youtube.com/channel/UCJEPI8lpIdlsSfmTyoY1esw")</f>
        <v>https://www.youtube.com/channel/UCJEPI8lpIdlsSfmTyoY1esw</v>
      </c>
      <c r="K3475">
        <v>0</v>
      </c>
      <c r="L3475" t="s">
        <v>121</v>
      </c>
      <c r="N3475" t="s">
        <v>248</v>
      </c>
      <c r="O3475" t="s">
        <v>1338</v>
      </c>
      <c r="P3475" t="str">
        <f>HYPERLINK("https://www.youtube.com/channel/UCbGvxMcJgZWpeT0ymfG7-RQ")</f>
        <v>https://www.youtube.com/channel/UCbGvxMcJgZWpeT0ymfG7-RQ</v>
      </c>
      <c r="Q3475">
        <v>818</v>
      </c>
      <c r="R3475" t="s">
        <v>124</v>
      </c>
      <c r="W3475">
        <v>0</v>
      </c>
      <c r="X3475">
        <v>0</v>
      </c>
      <c r="AE3475">
        <v>1</v>
      </c>
      <c r="AM3475" t="s">
        <v>129</v>
      </c>
      <c r="AN3475" t="s">
        <v>130</v>
      </c>
      <c r="AP3475" t="s">
        <v>41</v>
      </c>
      <c r="AZ3475" t="s">
        <v>51</v>
      </c>
      <c r="BA3475" t="s">
        <v>52</v>
      </c>
    </row>
    <row r="3476" spans="1:100" x14ac:dyDescent="0.2">
      <c r="A3476" t="s">
        <v>11664</v>
      </c>
      <c r="B3476" t="s">
        <v>3710</v>
      </c>
      <c r="C3476" t="s">
        <v>11735</v>
      </c>
      <c r="D3476" t="s">
        <v>11736</v>
      </c>
      <c r="E3476" t="s">
        <v>11737</v>
      </c>
      <c r="F3476" t="s">
        <v>118</v>
      </c>
      <c r="G3476" t="str">
        <f>HYPERLINK("https://vk.com/wall-61202858_1077546?reply=1077824&amp;thread=1077605")</f>
        <v>https://vk.com/wall-61202858_1077546?reply=1077824&amp;thread=1077605</v>
      </c>
      <c r="H3476" t="s">
        <v>228</v>
      </c>
      <c r="I3476" t="s">
        <v>11738</v>
      </c>
      <c r="J3476" t="str">
        <f>HYPERLINK("http://vk.com/id635641006")</f>
        <v>http://vk.com/id635641006</v>
      </c>
      <c r="K3476">
        <v>34</v>
      </c>
      <c r="L3476" t="s">
        <v>151</v>
      </c>
      <c r="M3476">
        <v>31</v>
      </c>
      <c r="N3476" t="s">
        <v>122</v>
      </c>
      <c r="O3476" t="s">
        <v>2933</v>
      </c>
      <c r="P3476" t="str">
        <f>HYPERLINK("http://vk.com/club61202858")</f>
        <v>http://vk.com/club61202858</v>
      </c>
      <c r="Q3476">
        <v>28906</v>
      </c>
      <c r="R3476" t="s">
        <v>124</v>
      </c>
      <c r="S3476" t="s">
        <v>125</v>
      </c>
      <c r="T3476" t="s">
        <v>627</v>
      </c>
      <c r="U3476" t="s">
        <v>2940</v>
      </c>
      <c r="AM3476" t="s">
        <v>129</v>
      </c>
      <c r="AN3476" t="s">
        <v>130</v>
      </c>
      <c r="AP3476" t="s">
        <v>41</v>
      </c>
      <c r="AZ3476" t="s">
        <v>51</v>
      </c>
      <c r="BA3476" t="s">
        <v>52</v>
      </c>
    </row>
    <row r="3477" spans="1:100" x14ac:dyDescent="0.2">
      <c r="A3477" t="s">
        <v>11664</v>
      </c>
      <c r="B3477" t="s">
        <v>5119</v>
      </c>
      <c r="C3477" t="s">
        <v>11735</v>
      </c>
      <c r="D3477" t="s">
        <v>11736</v>
      </c>
      <c r="E3477" t="s">
        <v>11739</v>
      </c>
      <c r="F3477" t="s">
        <v>118</v>
      </c>
      <c r="G3477" t="str">
        <f>HYPERLINK("https://vk.com/wall-61202858_1077546?reply=1077823&amp;thread=1077605")</f>
        <v>https://vk.com/wall-61202858_1077546?reply=1077823&amp;thread=1077605</v>
      </c>
      <c r="H3477" t="s">
        <v>119</v>
      </c>
      <c r="I3477" t="s">
        <v>11738</v>
      </c>
      <c r="J3477" t="str">
        <f>HYPERLINK("http://vk.com/id635641006")</f>
        <v>http://vk.com/id635641006</v>
      </c>
      <c r="K3477">
        <v>34</v>
      </c>
      <c r="L3477" t="s">
        <v>151</v>
      </c>
      <c r="M3477">
        <v>31</v>
      </c>
      <c r="N3477" t="s">
        <v>122</v>
      </c>
      <c r="O3477" t="s">
        <v>2933</v>
      </c>
      <c r="P3477" t="str">
        <f>HYPERLINK("http://vk.com/club61202858")</f>
        <v>http://vk.com/club61202858</v>
      </c>
      <c r="Q3477">
        <v>28906</v>
      </c>
      <c r="R3477" t="s">
        <v>124</v>
      </c>
      <c r="S3477" t="s">
        <v>125</v>
      </c>
      <c r="T3477" t="s">
        <v>627</v>
      </c>
      <c r="U3477" t="s">
        <v>2940</v>
      </c>
      <c r="AM3477" t="s">
        <v>129</v>
      </c>
      <c r="AN3477" t="s">
        <v>130</v>
      </c>
      <c r="AP3477" t="s">
        <v>41</v>
      </c>
      <c r="AU3477" t="s">
        <v>46</v>
      </c>
      <c r="AZ3477" t="s">
        <v>51</v>
      </c>
      <c r="BA3477" t="s">
        <v>52</v>
      </c>
    </row>
    <row r="3478" spans="1:100" x14ac:dyDescent="0.2">
      <c r="A3478" t="s">
        <v>11664</v>
      </c>
      <c r="B3478" t="s">
        <v>1969</v>
      </c>
      <c r="C3478" t="s">
        <v>11740</v>
      </c>
      <c r="D3478" t="s">
        <v>11678</v>
      </c>
      <c r="E3478" t="s">
        <v>11741</v>
      </c>
      <c r="F3478" t="s">
        <v>118</v>
      </c>
      <c r="G3478" t="str">
        <f>HYPERLINK("https://vk.com/wall-186674927_11997?reply=12017")</f>
        <v>https://vk.com/wall-186674927_11997?reply=12017</v>
      </c>
      <c r="H3478" t="s">
        <v>181</v>
      </c>
      <c r="I3478" t="s">
        <v>254</v>
      </c>
      <c r="J3478" t="str">
        <f>HYPERLINK("http://vk.com/id286061518")</f>
        <v>http://vk.com/id286061518</v>
      </c>
      <c r="K3478">
        <v>5170</v>
      </c>
      <c r="L3478" t="s">
        <v>121</v>
      </c>
      <c r="M3478">
        <v>34</v>
      </c>
      <c r="N3478" t="s">
        <v>122</v>
      </c>
      <c r="O3478" t="s">
        <v>358</v>
      </c>
      <c r="P3478" t="str">
        <f>HYPERLINK("http://vk.com/club186674927")</f>
        <v>http://vk.com/club186674927</v>
      </c>
      <c r="Q3478">
        <v>706</v>
      </c>
      <c r="R3478" t="s">
        <v>124</v>
      </c>
      <c r="S3478" t="s">
        <v>125</v>
      </c>
      <c r="T3478" t="s">
        <v>256</v>
      </c>
      <c r="U3478" t="s">
        <v>257</v>
      </c>
      <c r="AM3478" t="s">
        <v>129</v>
      </c>
      <c r="AN3478" t="s">
        <v>130</v>
      </c>
      <c r="AP3478" t="s">
        <v>41</v>
      </c>
      <c r="AU3478" t="s">
        <v>46</v>
      </c>
      <c r="AZ3478" t="s">
        <v>51</v>
      </c>
      <c r="BA3478" t="s">
        <v>52</v>
      </c>
      <c r="BY3478" t="s">
        <v>76</v>
      </c>
    </row>
    <row r="3479" spans="1:100" x14ac:dyDescent="0.2">
      <c r="A3479" t="s">
        <v>11664</v>
      </c>
      <c r="B3479" t="s">
        <v>1969</v>
      </c>
      <c r="C3479" t="s">
        <v>11740</v>
      </c>
      <c r="D3479" t="s">
        <v>11678</v>
      </c>
      <c r="E3479" t="s">
        <v>11742</v>
      </c>
      <c r="F3479" t="s">
        <v>118</v>
      </c>
      <c r="G3479" t="str">
        <f>HYPERLINK("https://vk.com/wall-186674927_11997?reply=12016")</f>
        <v>https://vk.com/wall-186674927_11997?reply=12016</v>
      </c>
      <c r="H3479" t="s">
        <v>119</v>
      </c>
      <c r="I3479" t="s">
        <v>254</v>
      </c>
      <c r="J3479" t="str">
        <f>HYPERLINK("http://vk.com/id286061518")</f>
        <v>http://vk.com/id286061518</v>
      </c>
      <c r="K3479">
        <v>5170</v>
      </c>
      <c r="L3479" t="s">
        <v>121</v>
      </c>
      <c r="M3479">
        <v>34</v>
      </c>
      <c r="N3479" t="s">
        <v>122</v>
      </c>
      <c r="O3479" t="s">
        <v>358</v>
      </c>
      <c r="P3479" t="str">
        <f>HYPERLINK("http://vk.com/club186674927")</f>
        <v>http://vk.com/club186674927</v>
      </c>
      <c r="Q3479">
        <v>706</v>
      </c>
      <c r="R3479" t="s">
        <v>124</v>
      </c>
      <c r="S3479" t="s">
        <v>125</v>
      </c>
      <c r="T3479" t="s">
        <v>256</v>
      </c>
      <c r="U3479" t="s">
        <v>257</v>
      </c>
      <c r="AM3479" t="s">
        <v>129</v>
      </c>
      <c r="AN3479" t="s">
        <v>130</v>
      </c>
      <c r="AP3479" t="s">
        <v>41</v>
      </c>
      <c r="AZ3479" t="s">
        <v>51</v>
      </c>
      <c r="BA3479" t="s">
        <v>52</v>
      </c>
      <c r="BY3479" t="s">
        <v>76</v>
      </c>
    </row>
    <row r="3480" spans="1:100" x14ac:dyDescent="0.2">
      <c r="A3480" t="s">
        <v>11664</v>
      </c>
      <c r="B3480" t="s">
        <v>2993</v>
      </c>
      <c r="C3480" t="s">
        <v>11743</v>
      </c>
      <c r="D3480" t="s">
        <v>5461</v>
      </c>
      <c r="E3480" t="s">
        <v>11744</v>
      </c>
      <c r="F3480" t="s">
        <v>118</v>
      </c>
      <c r="G3480" t="str">
        <f>HYPERLINK("https://vk.com/wall-61101621_254487?reply=254496")</f>
        <v>https://vk.com/wall-61101621_254487?reply=254496</v>
      </c>
      <c r="H3480" t="s">
        <v>119</v>
      </c>
      <c r="I3480" t="s">
        <v>3106</v>
      </c>
      <c r="J3480" t="str">
        <f>HYPERLINK("http://vk.com/id3438593")</f>
        <v>http://vk.com/id3438593</v>
      </c>
      <c r="K3480">
        <v>49</v>
      </c>
      <c r="L3480" t="s">
        <v>121</v>
      </c>
      <c r="N3480" t="s">
        <v>122</v>
      </c>
      <c r="O3480" t="s">
        <v>160</v>
      </c>
      <c r="P3480" t="str">
        <f>HYPERLINK("http://vk.com/club61101621")</f>
        <v>http://vk.com/club61101621</v>
      </c>
      <c r="Q3480">
        <v>21119</v>
      </c>
      <c r="R3480" t="s">
        <v>124</v>
      </c>
      <c r="S3480" t="s">
        <v>125</v>
      </c>
      <c r="T3480" t="s">
        <v>169</v>
      </c>
      <c r="U3480" t="s">
        <v>169</v>
      </c>
      <c r="W3480">
        <v>0</v>
      </c>
      <c r="X3480">
        <v>0</v>
      </c>
      <c r="AM3480" t="s">
        <v>129</v>
      </c>
      <c r="AN3480" t="s">
        <v>130</v>
      </c>
      <c r="AP3480" t="s">
        <v>41</v>
      </c>
      <c r="AU3480" t="s">
        <v>46</v>
      </c>
      <c r="AZ3480" t="s">
        <v>51</v>
      </c>
      <c r="BA3480" t="s">
        <v>52</v>
      </c>
    </row>
    <row r="3481" spans="1:100" x14ac:dyDescent="0.2">
      <c r="A3481" t="s">
        <v>11664</v>
      </c>
      <c r="B3481" t="s">
        <v>910</v>
      </c>
      <c r="C3481" t="s">
        <v>11745</v>
      </c>
      <c r="D3481" t="s">
        <v>11736</v>
      </c>
      <c r="E3481" t="s">
        <v>11746</v>
      </c>
      <c r="F3481" t="s">
        <v>118</v>
      </c>
      <c r="G3481" t="str">
        <f>HYPERLINK("https://vk.com/wall-61202858_1077546?reply=1077817&amp;thread=1077605")</f>
        <v>https://vk.com/wall-61202858_1077546?reply=1077817&amp;thread=1077605</v>
      </c>
      <c r="H3481" t="s">
        <v>119</v>
      </c>
      <c r="I3481" t="s">
        <v>11747</v>
      </c>
      <c r="J3481" t="str">
        <f>HYPERLINK("http://vk.com/id597499787")</f>
        <v>http://vk.com/id597499787</v>
      </c>
      <c r="K3481">
        <v>29</v>
      </c>
      <c r="L3481" t="s">
        <v>121</v>
      </c>
      <c r="M3481">
        <v>30</v>
      </c>
      <c r="N3481" t="s">
        <v>122</v>
      </c>
      <c r="O3481" t="s">
        <v>2933</v>
      </c>
      <c r="P3481" t="str">
        <f>HYPERLINK("http://vk.com/club61202858")</f>
        <v>http://vk.com/club61202858</v>
      </c>
      <c r="Q3481">
        <v>28906</v>
      </c>
      <c r="R3481" t="s">
        <v>124</v>
      </c>
      <c r="S3481" t="s">
        <v>125</v>
      </c>
      <c r="T3481" t="s">
        <v>5146</v>
      </c>
      <c r="U3481" t="s">
        <v>5726</v>
      </c>
      <c r="AM3481" t="s">
        <v>129</v>
      </c>
      <c r="AN3481" t="s">
        <v>130</v>
      </c>
      <c r="AP3481" t="s">
        <v>41</v>
      </c>
      <c r="AW3481" t="s">
        <v>48</v>
      </c>
      <c r="AZ3481" t="s">
        <v>51</v>
      </c>
      <c r="BA3481" t="s">
        <v>52</v>
      </c>
      <c r="BL3481" t="s">
        <v>63</v>
      </c>
    </row>
    <row r="3482" spans="1:100" x14ac:dyDescent="0.2">
      <c r="A3482" t="s">
        <v>11664</v>
      </c>
      <c r="B3482" t="s">
        <v>11748</v>
      </c>
      <c r="C3482" t="s">
        <v>11732</v>
      </c>
      <c r="D3482" t="s">
        <v>11454</v>
      </c>
      <c r="E3482" t="s">
        <v>11749</v>
      </c>
      <c r="F3482" t="s">
        <v>118</v>
      </c>
      <c r="G3482" t="str">
        <f>HYPERLINK("https://www.youtube.com/watch?v=SXiLCG6QXjU&amp;lc=Ugx_pnmELrKUJ0ghTvN4AaABAg")</f>
        <v>https://www.youtube.com/watch?v=SXiLCG6QXjU&amp;lc=Ugx_pnmELrKUJ0ghTvN4AaABAg</v>
      </c>
      <c r="H3482" t="s">
        <v>228</v>
      </c>
      <c r="I3482" t="s">
        <v>11750</v>
      </c>
      <c r="J3482" t="str">
        <f>HYPERLINK("https://www.youtube.com/channel/UCceer05ZO7QkG9ptpuP9Q0Q")</f>
        <v>https://www.youtube.com/channel/UCceer05ZO7QkG9ptpuP9Q0Q</v>
      </c>
      <c r="K3482">
        <v>4</v>
      </c>
      <c r="L3482" t="s">
        <v>121</v>
      </c>
      <c r="N3482" t="s">
        <v>248</v>
      </c>
      <c r="O3482" t="s">
        <v>1338</v>
      </c>
      <c r="P3482" t="str">
        <f>HYPERLINK("https://www.youtube.com/channel/UCbGvxMcJgZWpeT0ymfG7-RQ")</f>
        <v>https://www.youtube.com/channel/UCbGvxMcJgZWpeT0ymfG7-RQ</v>
      </c>
      <c r="Q3482">
        <v>818</v>
      </c>
      <c r="R3482" t="s">
        <v>124</v>
      </c>
      <c r="W3482">
        <v>0</v>
      </c>
      <c r="X3482">
        <v>0</v>
      </c>
      <c r="AE3482">
        <v>0</v>
      </c>
      <c r="AM3482" t="s">
        <v>129</v>
      </c>
      <c r="AN3482" t="s">
        <v>130</v>
      </c>
      <c r="AP3482" t="s">
        <v>41</v>
      </c>
      <c r="AX3482" t="s">
        <v>49</v>
      </c>
      <c r="AY3482" t="s">
        <v>50</v>
      </c>
      <c r="AZ3482" t="s">
        <v>51</v>
      </c>
      <c r="BA3482" t="s">
        <v>52</v>
      </c>
      <c r="BL3482" t="s">
        <v>63</v>
      </c>
      <c r="BX3482" t="s">
        <v>75</v>
      </c>
      <c r="CV3482" t="s">
        <v>99</v>
      </c>
    </row>
    <row r="3483" spans="1:100" x14ac:dyDescent="0.2">
      <c r="A3483" t="s">
        <v>11664</v>
      </c>
      <c r="B3483" t="s">
        <v>354</v>
      </c>
      <c r="C3483" t="s">
        <v>11751</v>
      </c>
      <c r="D3483" t="s">
        <v>11736</v>
      </c>
      <c r="E3483" t="s">
        <v>11752</v>
      </c>
      <c r="F3483" t="s">
        <v>118</v>
      </c>
      <c r="G3483" t="str">
        <f>HYPERLINK("https://vk.com/wall-61202858_1077546?reply=1077812")</f>
        <v>https://vk.com/wall-61202858_1077546?reply=1077812</v>
      </c>
      <c r="H3483" t="s">
        <v>119</v>
      </c>
      <c r="I3483" t="s">
        <v>11753</v>
      </c>
      <c r="J3483" t="str">
        <f>HYPERLINK("http://vk.com/id222766445")</f>
        <v>http://vk.com/id222766445</v>
      </c>
      <c r="K3483">
        <v>19</v>
      </c>
      <c r="L3483" t="s">
        <v>121</v>
      </c>
      <c r="N3483" t="s">
        <v>122</v>
      </c>
      <c r="O3483" t="s">
        <v>2933</v>
      </c>
      <c r="P3483" t="str">
        <f>HYPERLINK("http://vk.com/club61202858")</f>
        <v>http://vk.com/club61202858</v>
      </c>
      <c r="Q3483">
        <v>28906</v>
      </c>
      <c r="R3483" t="s">
        <v>124</v>
      </c>
      <c r="S3483" t="s">
        <v>125</v>
      </c>
      <c r="T3483" t="s">
        <v>627</v>
      </c>
      <c r="U3483" t="s">
        <v>2940</v>
      </c>
      <c r="AM3483" t="s">
        <v>129</v>
      </c>
      <c r="AN3483" t="s">
        <v>130</v>
      </c>
      <c r="AP3483" t="s">
        <v>41</v>
      </c>
      <c r="AT3483" t="s">
        <v>45</v>
      </c>
      <c r="AW3483" t="s">
        <v>48</v>
      </c>
      <c r="AZ3483" t="s">
        <v>51</v>
      </c>
      <c r="BA3483" t="s">
        <v>52</v>
      </c>
      <c r="BM3483" t="s">
        <v>64</v>
      </c>
    </row>
    <row r="3484" spans="1:100" x14ac:dyDescent="0.2">
      <c r="A3484" t="s">
        <v>11664</v>
      </c>
      <c r="B3484" t="s">
        <v>3031</v>
      </c>
      <c r="C3484" t="s">
        <v>11754</v>
      </c>
      <c r="D3484" t="s">
        <v>10922</v>
      </c>
      <c r="E3484" t="s">
        <v>11755</v>
      </c>
      <c r="F3484" t="s">
        <v>118</v>
      </c>
      <c r="G3484" t="str">
        <f>HYPERLINK("https://vk.com/wall-128313794_61585?reply=61612")</f>
        <v>https://vk.com/wall-128313794_61585?reply=61612</v>
      </c>
      <c r="H3484" t="s">
        <v>119</v>
      </c>
      <c r="I3484" t="s">
        <v>11756</v>
      </c>
      <c r="J3484" t="str">
        <f>HYPERLINK("http://vk.com/id325673441")</f>
        <v>http://vk.com/id325673441</v>
      </c>
      <c r="K3484">
        <v>210</v>
      </c>
      <c r="L3484" t="s">
        <v>151</v>
      </c>
      <c r="N3484" t="s">
        <v>122</v>
      </c>
      <c r="O3484" t="s">
        <v>10924</v>
      </c>
      <c r="P3484" t="str">
        <f>HYPERLINK("http://vk.com/club128313794")</f>
        <v>http://vk.com/club128313794</v>
      </c>
      <c r="Q3484">
        <v>6084</v>
      </c>
      <c r="R3484" t="s">
        <v>124</v>
      </c>
      <c r="S3484" t="s">
        <v>125</v>
      </c>
      <c r="T3484" t="s">
        <v>2103</v>
      </c>
      <c r="U3484" t="s">
        <v>11415</v>
      </c>
      <c r="AM3484" t="s">
        <v>129</v>
      </c>
      <c r="AN3484" t="s">
        <v>130</v>
      </c>
      <c r="AP3484" t="s">
        <v>41</v>
      </c>
      <c r="AT3484" t="s">
        <v>45</v>
      </c>
      <c r="AU3484" t="s">
        <v>46</v>
      </c>
      <c r="AW3484" t="s">
        <v>48</v>
      </c>
      <c r="AZ3484" t="s">
        <v>51</v>
      </c>
      <c r="BA3484" t="s">
        <v>52</v>
      </c>
    </row>
    <row r="3485" spans="1:100" x14ac:dyDescent="0.2">
      <c r="A3485" t="s">
        <v>11664</v>
      </c>
      <c r="B3485" t="s">
        <v>7440</v>
      </c>
      <c r="C3485" t="s">
        <v>11757</v>
      </c>
      <c r="D3485" t="s">
        <v>9466</v>
      </c>
      <c r="E3485" t="s">
        <v>11758</v>
      </c>
      <c r="F3485" t="s">
        <v>118</v>
      </c>
      <c r="G3485" t="str">
        <f>HYPERLINK("https://vk.com/wall-27863223_291374?w=wall-27863223_291374_r291381")</f>
        <v>https://vk.com/wall-27863223_291374?w=wall-27863223_291374_r291381</v>
      </c>
      <c r="H3485" t="s">
        <v>119</v>
      </c>
      <c r="I3485" t="s">
        <v>2328</v>
      </c>
      <c r="J3485" t="str">
        <f>HYPERLINK("http://vk.com/id218965625")</f>
        <v>http://vk.com/id218965625</v>
      </c>
      <c r="K3485">
        <v>56</v>
      </c>
      <c r="L3485" t="s">
        <v>121</v>
      </c>
      <c r="N3485" t="s">
        <v>122</v>
      </c>
      <c r="O3485" t="s">
        <v>175</v>
      </c>
      <c r="P3485" t="str">
        <f>HYPERLINK("http://vk.com/club27863223")</f>
        <v>http://vk.com/club27863223</v>
      </c>
      <c r="Q3485">
        <v>134698</v>
      </c>
      <c r="R3485" t="s">
        <v>124</v>
      </c>
      <c r="S3485" t="s">
        <v>125</v>
      </c>
      <c r="T3485" t="s">
        <v>2166</v>
      </c>
      <c r="U3485" t="s">
        <v>2167</v>
      </c>
      <c r="W3485">
        <v>0</v>
      </c>
      <c r="X3485">
        <v>0</v>
      </c>
      <c r="AM3485" t="s">
        <v>129</v>
      </c>
      <c r="AN3485" t="s">
        <v>130</v>
      </c>
      <c r="AP3485" t="s">
        <v>41</v>
      </c>
      <c r="AU3485" t="s">
        <v>46</v>
      </c>
      <c r="AZ3485" t="s">
        <v>51</v>
      </c>
      <c r="BA3485" t="s">
        <v>52</v>
      </c>
    </row>
    <row r="3486" spans="1:100" x14ac:dyDescent="0.2">
      <c r="A3486" t="s">
        <v>11664</v>
      </c>
      <c r="B3486" t="s">
        <v>3041</v>
      </c>
      <c r="C3486" t="s">
        <v>11759</v>
      </c>
      <c r="D3486" t="s">
        <v>11760</v>
      </c>
      <c r="E3486" t="s">
        <v>11761</v>
      </c>
      <c r="F3486" t="s">
        <v>118</v>
      </c>
      <c r="G3486" t="str">
        <f>HYPERLINK("https://vk.com/wall-59270260_1297541?reply=1297564&amp;thread=1297550")</f>
        <v>https://vk.com/wall-59270260_1297541?reply=1297564&amp;thread=1297550</v>
      </c>
      <c r="H3486" t="s">
        <v>119</v>
      </c>
      <c r="I3486" t="s">
        <v>2212</v>
      </c>
      <c r="J3486" t="str">
        <f>HYPERLINK("http://vk.com/id140937333")</f>
        <v>http://vk.com/id140937333</v>
      </c>
      <c r="K3486">
        <v>15</v>
      </c>
      <c r="L3486" t="s">
        <v>121</v>
      </c>
      <c r="N3486" t="s">
        <v>122</v>
      </c>
      <c r="O3486" t="s">
        <v>4376</v>
      </c>
      <c r="P3486" t="str">
        <f>HYPERLINK("http://vk.com/club59270260")</f>
        <v>http://vk.com/club59270260</v>
      </c>
      <c r="Q3486">
        <v>200899</v>
      </c>
      <c r="R3486" t="s">
        <v>124</v>
      </c>
      <c r="S3486" t="s">
        <v>125</v>
      </c>
      <c r="AM3486" t="s">
        <v>129</v>
      </c>
      <c r="AN3486" t="s">
        <v>130</v>
      </c>
      <c r="AP3486" t="s">
        <v>41</v>
      </c>
      <c r="AZ3486" t="s">
        <v>51</v>
      </c>
      <c r="BA3486" t="s">
        <v>52</v>
      </c>
      <c r="BQ3486" t="s">
        <v>68</v>
      </c>
    </row>
    <row r="3487" spans="1:100" x14ac:dyDescent="0.2">
      <c r="A3487" t="s">
        <v>11664</v>
      </c>
      <c r="B3487" t="s">
        <v>3791</v>
      </c>
      <c r="C3487" t="s">
        <v>11467</v>
      </c>
      <c r="D3487" t="s">
        <v>651</v>
      </c>
      <c r="E3487" t="s">
        <v>11762</v>
      </c>
      <c r="F3487" t="s">
        <v>180</v>
      </c>
      <c r="G3487" t="str">
        <f>HYPERLINK("https://www.ozon.ru/context/detail/id/227979649/#56822887")</f>
        <v>https://www.ozon.ru/context/detail/id/227979649/#56822887</v>
      </c>
      <c r="H3487" t="s">
        <v>181</v>
      </c>
      <c r="I3487" t="s">
        <v>11763</v>
      </c>
      <c r="J3487" t="str">
        <f>HYPERLINK("https://www.ozon.ru/context/client_opinion/ClientGuid/e5aea2d1-6310-4be2-81a7-3e2d55a859b8/")</f>
        <v>https://www.ozon.ru/context/client_opinion/ClientGuid/e5aea2d1-6310-4be2-81a7-3e2d55a859b8/</v>
      </c>
      <c r="L3487" t="s">
        <v>151</v>
      </c>
      <c r="N3487" t="s">
        <v>183</v>
      </c>
      <c r="O3487" t="s">
        <v>654</v>
      </c>
      <c r="P3487" t="str">
        <f>HYPERLINK("https://www.ozon.ru/context/detail/id/227979649/")</f>
        <v>https://www.ozon.ru/context/detail/id/227979649/</v>
      </c>
      <c r="R3487" t="s">
        <v>184</v>
      </c>
      <c r="S3487" t="s">
        <v>125</v>
      </c>
      <c r="W3487">
        <v>0</v>
      </c>
      <c r="X3487">
        <v>0</v>
      </c>
      <c r="AH3487">
        <v>5</v>
      </c>
      <c r="AM3487" t="s">
        <v>129</v>
      </c>
      <c r="AN3487" t="s">
        <v>130</v>
      </c>
      <c r="AP3487" t="s">
        <v>41</v>
      </c>
      <c r="AT3487" t="s">
        <v>45</v>
      </c>
      <c r="AY3487" t="s">
        <v>50</v>
      </c>
      <c r="AZ3487" t="s">
        <v>51</v>
      </c>
      <c r="BA3487" t="s">
        <v>52</v>
      </c>
      <c r="BL3487" t="s">
        <v>63</v>
      </c>
    </row>
    <row r="3488" spans="1:100" x14ac:dyDescent="0.2">
      <c r="A3488" t="s">
        <v>11664</v>
      </c>
      <c r="B3488" t="s">
        <v>2517</v>
      </c>
      <c r="C3488" t="s">
        <v>11764</v>
      </c>
      <c r="D3488" t="s">
        <v>11765</v>
      </c>
      <c r="E3488" t="s">
        <v>11766</v>
      </c>
      <c r="F3488" t="s">
        <v>180</v>
      </c>
      <c r="G3488" t="str">
        <f>HYPERLINK("https://market.yandex.ru/product/823055058/reviews?id=133861420")</f>
        <v>https://market.yandex.ru/product/823055058/reviews?id=133861420</v>
      </c>
      <c r="H3488" t="s">
        <v>181</v>
      </c>
      <c r="I3488" t="s">
        <v>11767</v>
      </c>
      <c r="J3488" t="str">
        <f>HYPERLINK("https://market.yandex.ru/user/hf5cqtf2gk1kpt4ha5wc4hd0gg/reviews")</f>
        <v>https://market.yandex.ru/user/hf5cqtf2gk1kpt4ha5wc4hd0gg/reviews</v>
      </c>
      <c r="L3488" t="s">
        <v>151</v>
      </c>
      <c r="N3488" t="s">
        <v>611</v>
      </c>
      <c r="O3488" t="s">
        <v>11765</v>
      </c>
      <c r="P3488" t="str">
        <f>HYPERLINK("https://market.yandex.ru/product/823055058")</f>
        <v>https://market.yandex.ru/product/823055058</v>
      </c>
      <c r="R3488" t="s">
        <v>184</v>
      </c>
      <c r="S3488" t="s">
        <v>125</v>
      </c>
      <c r="T3488" t="s">
        <v>153</v>
      </c>
      <c r="U3488" t="s">
        <v>11768</v>
      </c>
      <c r="W3488">
        <v>0</v>
      </c>
      <c r="X3488">
        <v>0</v>
      </c>
      <c r="AH3488">
        <v>5</v>
      </c>
      <c r="AM3488" t="s">
        <v>129</v>
      </c>
      <c r="AN3488" t="s">
        <v>130</v>
      </c>
      <c r="AP3488" t="s">
        <v>41</v>
      </c>
      <c r="AT3488" t="s">
        <v>45</v>
      </c>
      <c r="AY3488" t="s">
        <v>50</v>
      </c>
      <c r="AZ3488" t="s">
        <v>51</v>
      </c>
      <c r="BA3488" t="s">
        <v>52</v>
      </c>
    </row>
    <row r="3489" spans="1:77" x14ac:dyDescent="0.2">
      <c r="A3489" t="s">
        <v>11664</v>
      </c>
      <c r="B3489" t="s">
        <v>2525</v>
      </c>
      <c r="C3489" t="s">
        <v>11769</v>
      </c>
      <c r="D3489" t="s">
        <v>11145</v>
      </c>
      <c r="E3489" t="s">
        <v>11770</v>
      </c>
      <c r="F3489" t="s">
        <v>118</v>
      </c>
      <c r="G3489" t="str">
        <f>HYPERLINK("https://vk.com/wall-22935147_368091?reply=368093")</f>
        <v>https://vk.com/wall-22935147_368091?reply=368093</v>
      </c>
      <c r="H3489" t="s">
        <v>119</v>
      </c>
      <c r="I3489" t="s">
        <v>11771</v>
      </c>
      <c r="J3489" t="str">
        <f>HYPERLINK("http://vk.com/id96164309")</f>
        <v>http://vk.com/id96164309</v>
      </c>
      <c r="K3489">
        <v>68</v>
      </c>
      <c r="L3489" t="s">
        <v>121</v>
      </c>
      <c r="N3489" t="s">
        <v>122</v>
      </c>
      <c r="O3489" t="s">
        <v>1093</v>
      </c>
      <c r="P3489" t="str">
        <f>HYPERLINK("http://vk.com/club22935147")</f>
        <v>http://vk.com/club22935147</v>
      </c>
      <c r="Q3489">
        <v>8943</v>
      </c>
      <c r="R3489" t="s">
        <v>124</v>
      </c>
      <c r="S3489" t="s">
        <v>125</v>
      </c>
      <c r="T3489" t="s">
        <v>230</v>
      </c>
      <c r="U3489" t="s">
        <v>231</v>
      </c>
      <c r="AM3489" t="s">
        <v>129</v>
      </c>
      <c r="AN3489" t="s">
        <v>130</v>
      </c>
      <c r="AP3489" t="s">
        <v>41</v>
      </c>
      <c r="AU3489" t="s">
        <v>46</v>
      </c>
      <c r="AZ3489" t="s">
        <v>51</v>
      </c>
      <c r="BA3489" t="s">
        <v>52</v>
      </c>
    </row>
    <row r="3490" spans="1:77" x14ac:dyDescent="0.2">
      <c r="A3490" t="s">
        <v>11664</v>
      </c>
      <c r="B3490" t="s">
        <v>1511</v>
      </c>
      <c r="C3490" t="s">
        <v>11772</v>
      </c>
      <c r="D3490" t="s">
        <v>2998</v>
      </c>
      <c r="E3490" t="s">
        <v>11773</v>
      </c>
      <c r="F3490" t="s">
        <v>118</v>
      </c>
      <c r="G3490" t="str">
        <f>HYPERLINK("https://vk.com/topic-19165918_36288387?post=26853")</f>
        <v>https://vk.com/topic-19165918_36288387?post=26853</v>
      </c>
      <c r="H3490" t="s">
        <v>119</v>
      </c>
      <c r="I3490" t="s">
        <v>11774</v>
      </c>
      <c r="J3490" t="str">
        <f>HYPERLINK("http://vk.com/id89803649")</f>
        <v>http://vk.com/id89803649</v>
      </c>
      <c r="K3490">
        <v>793</v>
      </c>
      <c r="L3490" t="s">
        <v>151</v>
      </c>
      <c r="N3490" t="s">
        <v>122</v>
      </c>
      <c r="O3490" t="s">
        <v>3001</v>
      </c>
      <c r="P3490" t="str">
        <f>HYPERLINK("http://vk.com/club19165918")</f>
        <v>http://vk.com/club19165918</v>
      </c>
      <c r="Q3490">
        <v>54433</v>
      </c>
      <c r="R3490" t="s">
        <v>124</v>
      </c>
      <c r="S3490" t="s">
        <v>125</v>
      </c>
      <c r="T3490" t="s">
        <v>1045</v>
      </c>
      <c r="U3490" t="s">
        <v>11775</v>
      </c>
      <c r="AJ3490" t="s">
        <v>11776</v>
      </c>
      <c r="AK3490" t="s">
        <v>129</v>
      </c>
      <c r="AL3490" t="str">
        <f>HYPERLINK("https://sun9-61.userapi.com/impg/vF5WjpC9X-9f0KF0HnjfQ9szmzAcY-DHIvw5JA/CxD1gU33oTE.jpg?size=1620x2160&amp;quality=96&amp;sign=472951ca9b31257252f26cf256abab82&amp;c_uniq_tag=vghwursDfPA8QV-thzlm5MEXvGrzNSuWuqxLLuByiJc&amp;type=album")</f>
        <v>https://sun9-61.userapi.com/impg/vF5WjpC9X-9f0KF0HnjfQ9szmzAcY-DHIvw5JA/CxD1gU33oTE.jpg?size=1620x2160&amp;quality=96&amp;sign=472951ca9b31257252f26cf256abab82&amp;c_uniq_tag=vghwursDfPA8QV-thzlm5MEXvGrzNSuWuqxLLuByiJc&amp;type=album</v>
      </c>
      <c r="AM3490" t="s">
        <v>129</v>
      </c>
      <c r="AN3490" t="s">
        <v>130</v>
      </c>
      <c r="AP3490" t="s">
        <v>41</v>
      </c>
      <c r="AT3490" t="s">
        <v>45</v>
      </c>
      <c r="AW3490" t="s">
        <v>48</v>
      </c>
      <c r="AZ3490" t="s">
        <v>51</v>
      </c>
      <c r="BA3490" t="s">
        <v>52</v>
      </c>
      <c r="BQ3490" t="s">
        <v>68</v>
      </c>
    </row>
    <row r="3491" spans="1:77" x14ac:dyDescent="0.2">
      <c r="A3491" t="s">
        <v>11664</v>
      </c>
      <c r="B3491" t="s">
        <v>4293</v>
      </c>
      <c r="C3491" t="s">
        <v>11777</v>
      </c>
      <c r="D3491" t="s">
        <v>11778</v>
      </c>
      <c r="E3491" t="s">
        <v>11779</v>
      </c>
      <c r="F3491" t="s">
        <v>118</v>
      </c>
      <c r="G3491" t="str">
        <f>HYPERLINK("https://vk.com/wall-101982925_11018645?reply=11018995&amp;thread=11018651")</f>
        <v>https://vk.com/wall-101982925_11018645?reply=11018995&amp;thread=11018651</v>
      </c>
      <c r="H3491" t="s">
        <v>119</v>
      </c>
      <c r="I3491" t="s">
        <v>7455</v>
      </c>
      <c r="J3491" t="str">
        <f>HYPERLINK("http://vk.com/id449680070")</f>
        <v>http://vk.com/id449680070</v>
      </c>
      <c r="K3491">
        <v>337</v>
      </c>
      <c r="L3491" t="s">
        <v>121</v>
      </c>
      <c r="N3491" t="s">
        <v>122</v>
      </c>
      <c r="O3491" t="s">
        <v>11780</v>
      </c>
      <c r="P3491" t="str">
        <f>HYPERLINK("http://vk.com/club101982925")</f>
        <v>http://vk.com/club101982925</v>
      </c>
      <c r="Q3491">
        <v>2571579</v>
      </c>
      <c r="R3491" t="s">
        <v>124</v>
      </c>
      <c r="S3491" t="s">
        <v>125</v>
      </c>
      <c r="AM3491" t="s">
        <v>129</v>
      </c>
      <c r="AN3491" t="s">
        <v>130</v>
      </c>
      <c r="AP3491" t="s">
        <v>41</v>
      </c>
      <c r="AU3491" t="s">
        <v>46</v>
      </c>
      <c r="AZ3491" t="s">
        <v>51</v>
      </c>
      <c r="BA3491" t="s">
        <v>52</v>
      </c>
    </row>
    <row r="3492" spans="1:77" x14ac:dyDescent="0.2">
      <c r="A3492" t="s">
        <v>11664</v>
      </c>
      <c r="B3492" t="s">
        <v>972</v>
      </c>
      <c r="C3492" t="s">
        <v>11781</v>
      </c>
      <c r="D3492" t="s">
        <v>11778</v>
      </c>
      <c r="E3492" t="s">
        <v>11782</v>
      </c>
      <c r="F3492" t="s">
        <v>118</v>
      </c>
      <c r="G3492" t="str">
        <f>HYPERLINK("https://vk.com/wall-101982925_11018645?reply=11018891&amp;thread=11018651")</f>
        <v>https://vk.com/wall-101982925_11018645?reply=11018891&amp;thread=11018651</v>
      </c>
      <c r="H3492" t="s">
        <v>119</v>
      </c>
      <c r="I3492" t="s">
        <v>7455</v>
      </c>
      <c r="J3492" t="str">
        <f>HYPERLINK("http://vk.com/id449680070")</f>
        <v>http://vk.com/id449680070</v>
      </c>
      <c r="K3492">
        <v>337</v>
      </c>
      <c r="L3492" t="s">
        <v>121</v>
      </c>
      <c r="N3492" t="s">
        <v>122</v>
      </c>
      <c r="O3492" t="s">
        <v>11780</v>
      </c>
      <c r="P3492" t="str">
        <f>HYPERLINK("http://vk.com/club101982925")</f>
        <v>http://vk.com/club101982925</v>
      </c>
      <c r="Q3492">
        <v>2571579</v>
      </c>
      <c r="R3492" t="s">
        <v>124</v>
      </c>
      <c r="S3492" t="s">
        <v>125</v>
      </c>
      <c r="AM3492" t="s">
        <v>129</v>
      </c>
      <c r="AN3492" t="s">
        <v>130</v>
      </c>
      <c r="AP3492" t="s">
        <v>41</v>
      </c>
      <c r="AU3492" t="s">
        <v>46</v>
      </c>
      <c r="AZ3492" t="s">
        <v>51</v>
      </c>
      <c r="BA3492" t="s">
        <v>52</v>
      </c>
    </row>
    <row r="3493" spans="1:77" x14ac:dyDescent="0.2">
      <c r="A3493" t="s">
        <v>11664</v>
      </c>
      <c r="B3493" t="s">
        <v>1527</v>
      </c>
      <c r="C3493" t="s">
        <v>5419</v>
      </c>
      <c r="D3493" t="s">
        <v>5038</v>
      </c>
      <c r="E3493" t="s">
        <v>11783</v>
      </c>
      <c r="F3493" t="s">
        <v>180</v>
      </c>
      <c r="G3493" t="str">
        <f>HYPERLINK("https://www.ozon.ru/context/detail/id/202442051/#56801996")</f>
        <v>https://www.ozon.ru/context/detail/id/202442051/#56801996</v>
      </c>
      <c r="H3493" t="s">
        <v>119</v>
      </c>
      <c r="I3493" t="s">
        <v>11784</v>
      </c>
      <c r="J3493" t="str">
        <f>HYPERLINK("https://www.ozon.ru/context/client_opinion/ClientGuid/5679135e-22ed-4ddf-8fc9-548c57287d33/")</f>
        <v>https://www.ozon.ru/context/client_opinion/ClientGuid/5679135e-22ed-4ddf-8fc9-548c57287d33/</v>
      </c>
      <c r="N3493" t="s">
        <v>183</v>
      </c>
      <c r="O3493" t="s">
        <v>5038</v>
      </c>
      <c r="P3493" t="str">
        <f>HYPERLINK("https://www.ozon.ru/context/detail/id/202442051/")</f>
        <v>https://www.ozon.ru/context/detail/id/202442051/</v>
      </c>
      <c r="R3493" t="s">
        <v>184</v>
      </c>
      <c r="S3493" t="s">
        <v>125</v>
      </c>
      <c r="W3493">
        <v>0</v>
      </c>
      <c r="X3493">
        <v>0</v>
      </c>
      <c r="AH3493">
        <v>1</v>
      </c>
      <c r="AM3493" t="s">
        <v>129</v>
      </c>
      <c r="AN3493" t="s">
        <v>130</v>
      </c>
      <c r="AP3493" t="s">
        <v>41</v>
      </c>
      <c r="AY3493" t="s">
        <v>50</v>
      </c>
      <c r="AZ3493" t="s">
        <v>51</v>
      </c>
      <c r="BA3493" t="s">
        <v>52</v>
      </c>
      <c r="BO3493" t="s">
        <v>66</v>
      </c>
    </row>
    <row r="3494" spans="1:77" x14ac:dyDescent="0.2">
      <c r="A3494" t="s">
        <v>11664</v>
      </c>
      <c r="B3494" t="s">
        <v>8174</v>
      </c>
      <c r="C3494" t="s">
        <v>11785</v>
      </c>
      <c r="D3494" t="s">
        <v>11786</v>
      </c>
      <c r="E3494" t="s">
        <v>11787</v>
      </c>
      <c r="F3494" t="s">
        <v>118</v>
      </c>
      <c r="G3494" t="str">
        <f>HYPERLINK("https://vk.com/wall-37948240_653574?reply=653738")</f>
        <v>https://vk.com/wall-37948240_653574?reply=653738</v>
      </c>
      <c r="H3494" t="s">
        <v>119</v>
      </c>
      <c r="I3494" t="s">
        <v>11788</v>
      </c>
      <c r="J3494" t="str">
        <f>HYPERLINK("http://vk.com/id77276760")</f>
        <v>http://vk.com/id77276760</v>
      </c>
      <c r="K3494">
        <v>256</v>
      </c>
      <c r="L3494" t="s">
        <v>121</v>
      </c>
      <c r="N3494" t="s">
        <v>122</v>
      </c>
      <c r="O3494" t="s">
        <v>11789</v>
      </c>
      <c r="P3494" t="str">
        <f>HYPERLINK("http://vk.com/club37948240")</f>
        <v>http://vk.com/club37948240</v>
      </c>
      <c r="Q3494">
        <v>378168</v>
      </c>
      <c r="R3494" t="s">
        <v>124</v>
      </c>
      <c r="S3494" t="s">
        <v>125</v>
      </c>
      <c r="AM3494" t="s">
        <v>129</v>
      </c>
      <c r="AN3494" t="s">
        <v>130</v>
      </c>
      <c r="AP3494" t="s">
        <v>41</v>
      </c>
      <c r="AU3494" t="s">
        <v>46</v>
      </c>
      <c r="AZ3494" t="s">
        <v>51</v>
      </c>
      <c r="BA3494" t="s">
        <v>52</v>
      </c>
    </row>
    <row r="3495" spans="1:77" x14ac:dyDescent="0.2">
      <c r="A3495" t="s">
        <v>11664</v>
      </c>
      <c r="B3495" t="s">
        <v>9870</v>
      </c>
      <c r="C3495" t="s">
        <v>11790</v>
      </c>
      <c r="D3495" t="s">
        <v>11791</v>
      </c>
      <c r="E3495" t="s">
        <v>11792</v>
      </c>
      <c r="F3495" t="s">
        <v>118</v>
      </c>
      <c r="G3495" t="str">
        <f>HYPERLINK("https://vk.com/wall-27863223_291352?reply=291378")</f>
        <v>https://vk.com/wall-27863223_291352?reply=291378</v>
      </c>
      <c r="H3495" t="s">
        <v>119</v>
      </c>
      <c r="I3495" t="s">
        <v>1831</v>
      </c>
      <c r="J3495" t="str">
        <f>HYPERLINK("http://vk.com/id71254667")</f>
        <v>http://vk.com/id71254667</v>
      </c>
      <c r="K3495">
        <v>263</v>
      </c>
      <c r="L3495" t="s">
        <v>121</v>
      </c>
      <c r="N3495" t="s">
        <v>122</v>
      </c>
      <c r="O3495" t="s">
        <v>175</v>
      </c>
      <c r="P3495" t="str">
        <f>HYPERLINK("http://vk.com/club27863223")</f>
        <v>http://vk.com/club27863223</v>
      </c>
      <c r="Q3495">
        <v>134698</v>
      </c>
      <c r="R3495" t="s">
        <v>124</v>
      </c>
      <c r="S3495" t="s">
        <v>125</v>
      </c>
      <c r="T3495" t="s">
        <v>1832</v>
      </c>
      <c r="U3495" t="s">
        <v>1833</v>
      </c>
      <c r="W3495">
        <v>0</v>
      </c>
      <c r="X3495">
        <v>0</v>
      </c>
      <c r="AM3495" t="s">
        <v>129</v>
      </c>
      <c r="AN3495" t="s">
        <v>130</v>
      </c>
      <c r="AP3495" t="s">
        <v>41</v>
      </c>
      <c r="AU3495" t="s">
        <v>46</v>
      </c>
      <c r="AZ3495" t="s">
        <v>51</v>
      </c>
      <c r="BA3495" t="s">
        <v>52</v>
      </c>
    </row>
    <row r="3496" spans="1:77" x14ac:dyDescent="0.2">
      <c r="A3496" t="s">
        <v>11664</v>
      </c>
      <c r="B3496" t="s">
        <v>3468</v>
      </c>
      <c r="C3496" t="s">
        <v>11793</v>
      </c>
      <c r="D3496" t="s">
        <v>9466</v>
      </c>
      <c r="E3496" t="s">
        <v>11794</v>
      </c>
      <c r="F3496" t="s">
        <v>118</v>
      </c>
      <c r="G3496" t="str">
        <f>HYPERLINK("https://vk.com/wall-27863223_291374?reply=291377")</f>
        <v>https://vk.com/wall-27863223_291374?reply=291377</v>
      </c>
      <c r="H3496" t="s">
        <v>228</v>
      </c>
      <c r="I3496" t="s">
        <v>5659</v>
      </c>
      <c r="J3496" t="str">
        <f>HYPERLINK("http://vk.com/id313673689")</f>
        <v>http://vk.com/id313673689</v>
      </c>
      <c r="K3496">
        <v>2</v>
      </c>
      <c r="L3496" t="s">
        <v>121</v>
      </c>
      <c r="N3496" t="s">
        <v>122</v>
      </c>
      <c r="O3496" t="s">
        <v>175</v>
      </c>
      <c r="P3496" t="str">
        <f>HYPERLINK("http://vk.com/club27863223")</f>
        <v>http://vk.com/club27863223</v>
      </c>
      <c r="Q3496">
        <v>134698</v>
      </c>
      <c r="R3496" t="s">
        <v>124</v>
      </c>
      <c r="S3496" t="s">
        <v>125</v>
      </c>
      <c r="T3496" t="s">
        <v>2225</v>
      </c>
      <c r="U3496" t="s">
        <v>2861</v>
      </c>
      <c r="AM3496" t="s">
        <v>129</v>
      </c>
      <c r="AN3496" t="s">
        <v>130</v>
      </c>
      <c r="AP3496" t="s">
        <v>41</v>
      </c>
      <c r="AU3496" t="s">
        <v>46</v>
      </c>
      <c r="AZ3496" t="s">
        <v>51</v>
      </c>
      <c r="BA3496" t="s">
        <v>52</v>
      </c>
    </row>
    <row r="3497" spans="1:77" x14ac:dyDescent="0.2">
      <c r="A3497" t="s">
        <v>11664</v>
      </c>
      <c r="B3497" t="s">
        <v>984</v>
      </c>
      <c r="C3497" t="s">
        <v>11795</v>
      </c>
      <c r="D3497" t="s">
        <v>11796</v>
      </c>
      <c r="E3497" t="s">
        <v>11797</v>
      </c>
      <c r="F3497" t="s">
        <v>118</v>
      </c>
      <c r="G3497" t="str">
        <f>HYPERLINK("https://vk.com/wall-186674927_11997?reply=12004")</f>
        <v>https://vk.com/wall-186674927_11997?reply=12004</v>
      </c>
      <c r="H3497" t="s">
        <v>119</v>
      </c>
      <c r="I3497" t="s">
        <v>3529</v>
      </c>
      <c r="J3497" t="str">
        <f>HYPERLINK("http://vk.com/id8948714")</f>
        <v>http://vk.com/id8948714</v>
      </c>
      <c r="K3497">
        <v>2455</v>
      </c>
      <c r="L3497" t="s">
        <v>121</v>
      </c>
      <c r="N3497" t="s">
        <v>122</v>
      </c>
      <c r="O3497" t="s">
        <v>358</v>
      </c>
      <c r="P3497" t="str">
        <f>HYPERLINK("http://vk.com/club186674927")</f>
        <v>http://vk.com/club186674927</v>
      </c>
      <c r="Q3497">
        <v>706</v>
      </c>
      <c r="R3497" t="s">
        <v>124</v>
      </c>
      <c r="S3497" t="s">
        <v>125</v>
      </c>
      <c r="T3497" t="s">
        <v>1466</v>
      </c>
      <c r="U3497" t="s">
        <v>3530</v>
      </c>
      <c r="AM3497" t="s">
        <v>129</v>
      </c>
      <c r="AN3497" t="s">
        <v>130</v>
      </c>
      <c r="AP3497" t="s">
        <v>41</v>
      </c>
      <c r="AZ3497" t="s">
        <v>51</v>
      </c>
      <c r="BA3497" t="s">
        <v>52</v>
      </c>
      <c r="BY3497" t="s">
        <v>76</v>
      </c>
    </row>
    <row r="3498" spans="1:77" x14ac:dyDescent="0.2">
      <c r="A3498" t="s">
        <v>11664</v>
      </c>
      <c r="B3498" t="s">
        <v>1581</v>
      </c>
      <c r="C3498" t="s">
        <v>11798</v>
      </c>
      <c r="D3498" t="s">
        <v>129</v>
      </c>
      <c r="E3498" t="s">
        <v>11799</v>
      </c>
      <c r="F3498" t="s">
        <v>180</v>
      </c>
      <c r="G3498" t="str">
        <f>HYPERLINK("https://www.facebook.com/svetlana.oskolkova.7/posts/3875167115945759")</f>
        <v>https://www.facebook.com/svetlana.oskolkova.7/posts/3875167115945759</v>
      </c>
      <c r="H3498" t="s">
        <v>228</v>
      </c>
      <c r="I3498" t="s">
        <v>11800</v>
      </c>
      <c r="J3498" t="str">
        <f>HYPERLINK("https://www.facebook.com/100003575272300")</f>
        <v>https://www.facebook.com/100003575272300</v>
      </c>
      <c r="K3498">
        <v>6335</v>
      </c>
      <c r="L3498" t="s">
        <v>151</v>
      </c>
      <c r="N3498" t="s">
        <v>305</v>
      </c>
      <c r="O3498" t="s">
        <v>11800</v>
      </c>
      <c r="P3498" t="str">
        <f>HYPERLINK("https://www.facebook.com/100003575272300")</f>
        <v>https://www.facebook.com/100003575272300</v>
      </c>
      <c r="Q3498">
        <v>6335</v>
      </c>
      <c r="R3498" t="s">
        <v>124</v>
      </c>
      <c r="S3498" t="s">
        <v>125</v>
      </c>
      <c r="T3498" t="s">
        <v>601</v>
      </c>
      <c r="U3498" t="s">
        <v>10531</v>
      </c>
      <c r="W3498">
        <v>149</v>
      </c>
      <c r="X3498">
        <v>94</v>
      </c>
      <c r="Y3498">
        <v>54</v>
      </c>
      <c r="Z3498">
        <v>0</v>
      </c>
      <c r="AA3498">
        <v>0</v>
      </c>
      <c r="AB3498">
        <v>1</v>
      </c>
      <c r="AC3498">
        <v>0</v>
      </c>
      <c r="AE3498">
        <v>82</v>
      </c>
      <c r="AF3498">
        <v>0</v>
      </c>
      <c r="AJ3498" t="s">
        <v>11801</v>
      </c>
      <c r="AK3498" t="s">
        <v>129</v>
      </c>
      <c r="AL3498" t="s">
        <v>11802</v>
      </c>
      <c r="AM3498" t="s">
        <v>129</v>
      </c>
      <c r="AN3498" t="s">
        <v>130</v>
      </c>
      <c r="AP3498" t="s">
        <v>41</v>
      </c>
      <c r="AT3498" t="s">
        <v>45</v>
      </c>
      <c r="AW3498" t="s">
        <v>48</v>
      </c>
      <c r="AZ3498" t="s">
        <v>51</v>
      </c>
      <c r="BA3498" t="s">
        <v>52</v>
      </c>
    </row>
    <row r="3499" spans="1:77" x14ac:dyDescent="0.2">
      <c r="A3499" t="s">
        <v>11664</v>
      </c>
      <c r="B3499" t="s">
        <v>2056</v>
      </c>
      <c r="C3499" t="s">
        <v>11803</v>
      </c>
      <c r="D3499" t="s">
        <v>11804</v>
      </c>
      <c r="E3499" t="s">
        <v>11805</v>
      </c>
      <c r="F3499" t="s">
        <v>118</v>
      </c>
      <c r="G3499" t="str">
        <f>HYPERLINK("https://vk.com/wall-186820627_65443?reply=65444")</f>
        <v>https://vk.com/wall-186820627_65443?reply=65444</v>
      </c>
      <c r="H3499" t="s">
        <v>119</v>
      </c>
      <c r="I3499" t="s">
        <v>11806</v>
      </c>
      <c r="J3499" t="str">
        <f>HYPERLINK("http://vk.com/id177541107")</f>
        <v>http://vk.com/id177541107</v>
      </c>
      <c r="K3499">
        <v>269</v>
      </c>
      <c r="L3499" t="s">
        <v>121</v>
      </c>
      <c r="N3499" t="s">
        <v>122</v>
      </c>
      <c r="O3499" t="s">
        <v>11807</v>
      </c>
      <c r="P3499" t="str">
        <f>HYPERLINK("http://vk.com/club186820627")</f>
        <v>http://vk.com/club186820627</v>
      </c>
      <c r="Q3499">
        <v>20394</v>
      </c>
      <c r="R3499" t="s">
        <v>124</v>
      </c>
      <c r="S3499" t="s">
        <v>125</v>
      </c>
      <c r="AM3499" t="s">
        <v>129</v>
      </c>
      <c r="AN3499" t="s">
        <v>130</v>
      </c>
      <c r="AP3499" t="s">
        <v>41</v>
      </c>
      <c r="AU3499" t="s">
        <v>46</v>
      </c>
      <c r="AY3499" t="s">
        <v>50</v>
      </c>
      <c r="AZ3499" t="s">
        <v>51</v>
      </c>
      <c r="BA3499" t="s">
        <v>52</v>
      </c>
    </row>
    <row r="3500" spans="1:77" x14ac:dyDescent="0.2">
      <c r="A3500" t="s">
        <v>11664</v>
      </c>
      <c r="B3500" t="s">
        <v>3471</v>
      </c>
      <c r="C3500" t="s">
        <v>11808</v>
      </c>
      <c r="D3500" t="s">
        <v>11395</v>
      </c>
      <c r="E3500" t="s">
        <v>11809</v>
      </c>
      <c r="F3500" t="s">
        <v>118</v>
      </c>
      <c r="G3500" t="str">
        <f>HYPERLINK("https://vk.com/wall-22935147_368046?reply=368088")</f>
        <v>https://vk.com/wall-22935147_368046?reply=368088</v>
      </c>
      <c r="H3500" t="s">
        <v>119</v>
      </c>
      <c r="I3500" t="s">
        <v>11810</v>
      </c>
      <c r="J3500" t="str">
        <f>HYPERLINK("http://vk.com/id13509850")</f>
        <v>http://vk.com/id13509850</v>
      </c>
      <c r="K3500">
        <v>2026</v>
      </c>
      <c r="L3500" t="s">
        <v>121</v>
      </c>
      <c r="N3500" t="s">
        <v>122</v>
      </c>
      <c r="O3500" t="s">
        <v>1093</v>
      </c>
      <c r="P3500" t="str">
        <f>HYPERLINK("http://vk.com/club22935147")</f>
        <v>http://vk.com/club22935147</v>
      </c>
      <c r="Q3500">
        <v>8943</v>
      </c>
      <c r="R3500" t="s">
        <v>124</v>
      </c>
      <c r="S3500" t="s">
        <v>125</v>
      </c>
      <c r="T3500" t="s">
        <v>264</v>
      </c>
      <c r="U3500" t="s">
        <v>265</v>
      </c>
      <c r="AM3500" t="s">
        <v>129</v>
      </c>
      <c r="AN3500" t="s">
        <v>130</v>
      </c>
      <c r="AP3500" t="s">
        <v>41</v>
      </c>
      <c r="AU3500" t="s">
        <v>46</v>
      </c>
      <c r="AW3500" t="s">
        <v>48</v>
      </c>
      <c r="AZ3500" t="s">
        <v>51</v>
      </c>
      <c r="BA3500" t="s">
        <v>52</v>
      </c>
    </row>
    <row r="3501" spans="1:77" x14ac:dyDescent="0.2">
      <c r="A3501" t="s">
        <v>11664</v>
      </c>
      <c r="B3501" t="s">
        <v>2596</v>
      </c>
      <c r="C3501" t="s">
        <v>11811</v>
      </c>
      <c r="D3501" t="s">
        <v>11796</v>
      </c>
      <c r="E3501" t="s">
        <v>11812</v>
      </c>
      <c r="F3501" t="s">
        <v>118</v>
      </c>
      <c r="G3501" t="str">
        <f>HYPERLINK("https://vk.com/wall-186674927_11997?reply=12001&amp;thread=11998")</f>
        <v>https://vk.com/wall-186674927_11997?reply=12001&amp;thread=11998</v>
      </c>
      <c r="H3501" t="s">
        <v>119</v>
      </c>
      <c r="I3501" t="s">
        <v>493</v>
      </c>
      <c r="J3501" t="str">
        <f>HYPERLINK("http://vk.com/id578514594")</f>
        <v>http://vk.com/id578514594</v>
      </c>
      <c r="K3501">
        <v>117</v>
      </c>
      <c r="L3501" t="s">
        <v>121</v>
      </c>
      <c r="M3501">
        <v>25</v>
      </c>
      <c r="N3501" t="s">
        <v>122</v>
      </c>
      <c r="O3501" t="s">
        <v>358</v>
      </c>
      <c r="P3501" t="str">
        <f>HYPERLINK("http://vk.com/club186674927")</f>
        <v>http://vk.com/club186674927</v>
      </c>
      <c r="Q3501">
        <v>706</v>
      </c>
      <c r="R3501" t="s">
        <v>124</v>
      </c>
      <c r="S3501" t="s">
        <v>125</v>
      </c>
      <c r="T3501" t="s">
        <v>494</v>
      </c>
      <c r="U3501" t="s">
        <v>495</v>
      </c>
      <c r="AJ3501" t="s">
        <v>11813</v>
      </c>
      <c r="AK3501" t="s">
        <v>129</v>
      </c>
      <c r="AL3501" t="str">
        <f>HYPERLINK("https://sun9-63.userapi.com/impg/S1BcLnSgDrkEednLveM0EUeic41Y7DkZmRiG3w/HQwB_3bkqRc.jpg?size=1168x865&amp;quality=96&amp;sign=f5c36736ae6ed6f6e45a510d25dfe9b5&amp;c_uniq_tag=dg9JpOISlPsqdSW0TpvxDkFpcU2HtlA8cFLrP47c_qU&amp;type=album")</f>
        <v>https://sun9-63.userapi.com/impg/S1BcLnSgDrkEednLveM0EUeic41Y7DkZmRiG3w/HQwB_3bkqRc.jpg?size=1168x865&amp;quality=96&amp;sign=f5c36736ae6ed6f6e45a510d25dfe9b5&amp;c_uniq_tag=dg9JpOISlPsqdSW0TpvxDkFpcU2HtlA8cFLrP47c_qU&amp;type=album</v>
      </c>
      <c r="AM3501" t="s">
        <v>129</v>
      </c>
      <c r="AN3501" t="s">
        <v>130</v>
      </c>
      <c r="AP3501" t="s">
        <v>41</v>
      </c>
      <c r="AU3501" t="s">
        <v>46</v>
      </c>
      <c r="AZ3501" t="s">
        <v>51</v>
      </c>
      <c r="BA3501" t="s">
        <v>52</v>
      </c>
      <c r="BY3501" t="s">
        <v>76</v>
      </c>
    </row>
    <row r="3502" spans="1:77" x14ac:dyDescent="0.2">
      <c r="A3502" t="s">
        <v>11664</v>
      </c>
      <c r="B3502" t="s">
        <v>6115</v>
      </c>
      <c r="C3502" t="s">
        <v>11814</v>
      </c>
      <c r="D3502" t="s">
        <v>10922</v>
      </c>
      <c r="E3502" t="s">
        <v>11815</v>
      </c>
      <c r="F3502" t="s">
        <v>118</v>
      </c>
      <c r="G3502" t="str">
        <f>HYPERLINK("https://vk.com/wall-128313794_61585?reply=61608")</f>
        <v>https://vk.com/wall-128313794_61585?reply=61608</v>
      </c>
      <c r="H3502" t="s">
        <v>228</v>
      </c>
      <c r="I3502" t="s">
        <v>11816</v>
      </c>
      <c r="J3502" t="str">
        <f>HYPERLINK("http://vk.com/id191436202")</f>
        <v>http://vk.com/id191436202</v>
      </c>
      <c r="K3502">
        <v>187</v>
      </c>
      <c r="L3502" t="s">
        <v>151</v>
      </c>
      <c r="N3502" t="s">
        <v>122</v>
      </c>
      <c r="O3502" t="s">
        <v>10924</v>
      </c>
      <c r="P3502" t="str">
        <f>HYPERLINK("http://vk.com/club128313794")</f>
        <v>http://vk.com/club128313794</v>
      </c>
      <c r="Q3502">
        <v>6084</v>
      </c>
      <c r="R3502" t="s">
        <v>124</v>
      </c>
      <c r="S3502" t="s">
        <v>125</v>
      </c>
      <c r="T3502" t="s">
        <v>2103</v>
      </c>
      <c r="U3502" t="s">
        <v>11415</v>
      </c>
      <c r="AM3502" t="s">
        <v>129</v>
      </c>
      <c r="AN3502" t="s">
        <v>130</v>
      </c>
      <c r="AP3502" t="s">
        <v>41</v>
      </c>
      <c r="AW3502" t="s">
        <v>48</v>
      </c>
      <c r="AX3502" t="s">
        <v>49</v>
      </c>
      <c r="AY3502" t="s">
        <v>50</v>
      </c>
      <c r="AZ3502" t="s">
        <v>51</v>
      </c>
      <c r="BA3502" t="s">
        <v>52</v>
      </c>
      <c r="BM3502" t="s">
        <v>64</v>
      </c>
    </row>
    <row r="3503" spans="1:77" x14ac:dyDescent="0.2">
      <c r="A3503" t="s">
        <v>11664</v>
      </c>
      <c r="B3503" t="s">
        <v>1595</v>
      </c>
      <c r="C3503" t="s">
        <v>11817</v>
      </c>
      <c r="D3503" t="s">
        <v>129</v>
      </c>
      <c r="E3503" t="s">
        <v>11818</v>
      </c>
      <c r="F3503" t="s">
        <v>180</v>
      </c>
      <c r="G3503" t="str">
        <f>HYPERLINK("https://telegram.me/otstRus/42244")</f>
        <v>https://telegram.me/otstRus/42244</v>
      </c>
      <c r="H3503" t="s">
        <v>119</v>
      </c>
      <c r="I3503" t="s">
        <v>11819</v>
      </c>
      <c r="J3503" t="str">
        <f>HYPERLINK("https://telegram.me/otstrus")</f>
        <v>https://telegram.me/otstrus</v>
      </c>
      <c r="K3503">
        <v>1489</v>
      </c>
      <c r="L3503" t="s">
        <v>340</v>
      </c>
      <c r="N3503" t="s">
        <v>143</v>
      </c>
      <c r="O3503" t="s">
        <v>11819</v>
      </c>
      <c r="P3503" t="str">
        <f>HYPERLINK("https://telegram.me/otstrus")</f>
        <v>https://telegram.me/otstrus</v>
      </c>
      <c r="Q3503">
        <v>1489</v>
      </c>
      <c r="R3503" t="s">
        <v>145</v>
      </c>
      <c r="AG3503">
        <v>286</v>
      </c>
      <c r="AM3503" t="s">
        <v>129</v>
      </c>
      <c r="AN3503" t="s">
        <v>130</v>
      </c>
      <c r="AP3503" t="s">
        <v>41</v>
      </c>
      <c r="AT3503" t="s">
        <v>45</v>
      </c>
      <c r="AZ3503" t="s">
        <v>51</v>
      </c>
      <c r="BA3503" t="s">
        <v>52</v>
      </c>
      <c r="BL3503" t="s">
        <v>63</v>
      </c>
    </row>
    <row r="3504" spans="1:77" x14ac:dyDescent="0.2">
      <c r="A3504" t="s">
        <v>11664</v>
      </c>
      <c r="B3504" t="s">
        <v>10252</v>
      </c>
      <c r="C3504" t="s">
        <v>11820</v>
      </c>
      <c r="D3504" t="s">
        <v>11821</v>
      </c>
      <c r="E3504" t="s">
        <v>11822</v>
      </c>
      <c r="F3504" t="s">
        <v>118</v>
      </c>
      <c r="G3504" t="str">
        <f>HYPERLINK("https://vk.com/wall-186674927_11997?reply=11998")</f>
        <v>https://vk.com/wall-186674927_11997?reply=11998</v>
      </c>
      <c r="H3504" t="s">
        <v>119</v>
      </c>
      <c r="I3504" t="s">
        <v>493</v>
      </c>
      <c r="J3504" t="str">
        <f>HYPERLINK("http://vk.com/id578514594")</f>
        <v>http://vk.com/id578514594</v>
      </c>
      <c r="K3504">
        <v>117</v>
      </c>
      <c r="L3504" t="s">
        <v>121</v>
      </c>
      <c r="M3504">
        <v>25</v>
      </c>
      <c r="N3504" t="s">
        <v>122</v>
      </c>
      <c r="O3504" t="s">
        <v>358</v>
      </c>
      <c r="P3504" t="str">
        <f>HYPERLINK("http://vk.com/club186674927")</f>
        <v>http://vk.com/club186674927</v>
      </c>
      <c r="Q3504">
        <v>706</v>
      </c>
      <c r="R3504" t="s">
        <v>124</v>
      </c>
      <c r="S3504" t="s">
        <v>125</v>
      </c>
      <c r="T3504" t="s">
        <v>494</v>
      </c>
      <c r="U3504" t="s">
        <v>495</v>
      </c>
      <c r="AM3504" t="s">
        <v>129</v>
      </c>
      <c r="AN3504" t="s">
        <v>130</v>
      </c>
      <c r="AP3504" t="s">
        <v>41</v>
      </c>
      <c r="AU3504" t="s">
        <v>46</v>
      </c>
      <c r="AZ3504" t="s">
        <v>51</v>
      </c>
      <c r="BA3504" t="s">
        <v>52</v>
      </c>
      <c r="BY3504" t="s">
        <v>76</v>
      </c>
    </row>
    <row r="3505" spans="1:90" x14ac:dyDescent="0.2">
      <c r="A3505" t="s">
        <v>11664</v>
      </c>
      <c r="B3505" t="s">
        <v>4335</v>
      </c>
      <c r="C3505" t="s">
        <v>11823</v>
      </c>
      <c r="D3505" t="s">
        <v>10354</v>
      </c>
      <c r="E3505" t="s">
        <v>11824</v>
      </c>
      <c r="F3505" t="s">
        <v>118</v>
      </c>
      <c r="G3505" t="str">
        <f>HYPERLINK("https://vk.com/wall-61101621_254486?reply=254491")</f>
        <v>https://vk.com/wall-61101621_254486?reply=254491</v>
      </c>
      <c r="H3505" t="s">
        <v>119</v>
      </c>
      <c r="I3505" t="s">
        <v>11825</v>
      </c>
      <c r="J3505" t="str">
        <f>HYPERLINK("http://vk.com/id269213082")</f>
        <v>http://vk.com/id269213082</v>
      </c>
      <c r="K3505">
        <v>50</v>
      </c>
      <c r="L3505" t="s">
        <v>151</v>
      </c>
      <c r="N3505" t="s">
        <v>122</v>
      </c>
      <c r="O3505" t="s">
        <v>160</v>
      </c>
      <c r="P3505" t="str">
        <f>HYPERLINK("http://vk.com/club61101621")</f>
        <v>http://vk.com/club61101621</v>
      </c>
      <c r="Q3505">
        <v>21119</v>
      </c>
      <c r="R3505" t="s">
        <v>124</v>
      </c>
      <c r="S3505" t="s">
        <v>125</v>
      </c>
      <c r="T3505" t="s">
        <v>2103</v>
      </c>
      <c r="U3505" t="s">
        <v>11826</v>
      </c>
      <c r="AM3505" t="s">
        <v>129</v>
      </c>
      <c r="AN3505" t="s">
        <v>130</v>
      </c>
      <c r="AP3505" t="s">
        <v>41</v>
      </c>
      <c r="AU3505" t="s">
        <v>46</v>
      </c>
      <c r="AZ3505" t="s">
        <v>51</v>
      </c>
      <c r="BA3505" t="s">
        <v>52</v>
      </c>
    </row>
    <row r="3506" spans="1:90" x14ac:dyDescent="0.2">
      <c r="A3506" t="s">
        <v>11664</v>
      </c>
      <c r="B3506" t="s">
        <v>1620</v>
      </c>
      <c r="C3506" t="s">
        <v>11827</v>
      </c>
      <c r="D3506" t="s">
        <v>11736</v>
      </c>
      <c r="E3506" t="s">
        <v>11828</v>
      </c>
      <c r="F3506" t="s">
        <v>118</v>
      </c>
      <c r="G3506" t="str">
        <f>HYPERLINK("https://vk.com/wall-61202858_1077546?reply=1077712&amp;thread=1077557")</f>
        <v>https://vk.com/wall-61202858_1077546?reply=1077712&amp;thread=1077557</v>
      </c>
      <c r="H3506" t="s">
        <v>119</v>
      </c>
      <c r="I3506" t="s">
        <v>11829</v>
      </c>
      <c r="J3506" t="str">
        <f>HYPERLINK("http://vk.com/id171944499")</f>
        <v>http://vk.com/id171944499</v>
      </c>
      <c r="K3506">
        <v>27</v>
      </c>
      <c r="L3506" t="s">
        <v>121</v>
      </c>
      <c r="N3506" t="s">
        <v>122</v>
      </c>
      <c r="O3506" t="s">
        <v>2933</v>
      </c>
      <c r="P3506" t="str">
        <f>HYPERLINK("http://vk.com/club61202858")</f>
        <v>http://vk.com/club61202858</v>
      </c>
      <c r="Q3506">
        <v>28906</v>
      </c>
      <c r="R3506" t="s">
        <v>124</v>
      </c>
      <c r="S3506" t="s">
        <v>125</v>
      </c>
      <c r="AM3506" t="s">
        <v>129</v>
      </c>
      <c r="AN3506" t="s">
        <v>130</v>
      </c>
      <c r="AP3506" t="s">
        <v>41</v>
      </c>
      <c r="AW3506" t="s">
        <v>48</v>
      </c>
      <c r="AZ3506" t="s">
        <v>51</v>
      </c>
      <c r="BA3506" t="s">
        <v>52</v>
      </c>
    </row>
    <row r="3507" spans="1:90" x14ac:dyDescent="0.2">
      <c r="A3507" t="s">
        <v>11664</v>
      </c>
      <c r="B3507" t="s">
        <v>2074</v>
      </c>
      <c r="C3507" t="s">
        <v>11830</v>
      </c>
      <c r="D3507" t="s">
        <v>9466</v>
      </c>
      <c r="E3507" t="s">
        <v>11831</v>
      </c>
      <c r="F3507" t="s">
        <v>118</v>
      </c>
      <c r="G3507" t="str">
        <f>HYPERLINK("https://vk.com/wall-27863223_291374?reply=291375")</f>
        <v>https://vk.com/wall-27863223_291374?reply=291375</v>
      </c>
      <c r="H3507" t="s">
        <v>119</v>
      </c>
      <c r="I3507" t="s">
        <v>11832</v>
      </c>
      <c r="J3507" t="str">
        <f>HYPERLINK("http://vk.com/id433745307")</f>
        <v>http://vk.com/id433745307</v>
      </c>
      <c r="K3507">
        <v>1</v>
      </c>
      <c r="L3507" t="s">
        <v>121</v>
      </c>
      <c r="N3507" t="s">
        <v>122</v>
      </c>
      <c r="O3507" t="s">
        <v>175</v>
      </c>
      <c r="P3507" t="str">
        <f>HYPERLINK("http://vk.com/club27863223")</f>
        <v>http://vk.com/club27863223</v>
      </c>
      <c r="Q3507">
        <v>134698</v>
      </c>
      <c r="R3507" t="s">
        <v>124</v>
      </c>
      <c r="W3507">
        <v>0</v>
      </c>
      <c r="X3507">
        <v>0</v>
      </c>
      <c r="AM3507" t="s">
        <v>129</v>
      </c>
      <c r="AN3507" t="s">
        <v>130</v>
      </c>
      <c r="AP3507" t="s">
        <v>41</v>
      </c>
      <c r="AU3507" t="s">
        <v>46</v>
      </c>
      <c r="AZ3507" t="s">
        <v>51</v>
      </c>
      <c r="BA3507" t="s">
        <v>52</v>
      </c>
    </row>
    <row r="3508" spans="1:90" x14ac:dyDescent="0.2">
      <c r="A3508" t="s">
        <v>11664</v>
      </c>
      <c r="B3508" t="s">
        <v>9315</v>
      </c>
      <c r="C3508" t="s">
        <v>11830</v>
      </c>
      <c r="D3508" t="s">
        <v>5461</v>
      </c>
      <c r="E3508" t="s">
        <v>11833</v>
      </c>
      <c r="F3508" t="s">
        <v>118</v>
      </c>
      <c r="G3508" t="str">
        <f>HYPERLINK("https://vk.com/wall-22935147_368066?reply=368084")</f>
        <v>https://vk.com/wall-22935147_368066?reply=368084</v>
      </c>
      <c r="H3508" t="s">
        <v>119</v>
      </c>
      <c r="I3508" t="s">
        <v>8555</v>
      </c>
      <c r="J3508" t="str">
        <f>HYPERLINK("http://vk.com/id155154685")</f>
        <v>http://vk.com/id155154685</v>
      </c>
      <c r="K3508">
        <v>493</v>
      </c>
      <c r="L3508" t="s">
        <v>121</v>
      </c>
      <c r="M3508">
        <v>27</v>
      </c>
      <c r="N3508" t="s">
        <v>122</v>
      </c>
      <c r="O3508" t="s">
        <v>1093</v>
      </c>
      <c r="P3508" t="str">
        <f>HYPERLINK("http://vk.com/club22935147")</f>
        <v>http://vk.com/club22935147</v>
      </c>
      <c r="Q3508">
        <v>8943</v>
      </c>
      <c r="R3508" t="s">
        <v>124</v>
      </c>
      <c r="S3508" t="s">
        <v>125</v>
      </c>
      <c r="T3508" t="s">
        <v>6649</v>
      </c>
      <c r="U3508" t="s">
        <v>8556</v>
      </c>
      <c r="W3508">
        <v>0</v>
      </c>
      <c r="X3508">
        <v>0</v>
      </c>
      <c r="AM3508" t="s">
        <v>129</v>
      </c>
      <c r="AN3508" t="s">
        <v>130</v>
      </c>
      <c r="AP3508" t="s">
        <v>41</v>
      </c>
      <c r="AU3508" t="s">
        <v>46</v>
      </c>
      <c r="AZ3508" t="s">
        <v>51</v>
      </c>
      <c r="BA3508" t="s">
        <v>52</v>
      </c>
    </row>
    <row r="3509" spans="1:90" x14ac:dyDescent="0.2">
      <c r="A3509" t="s">
        <v>11664</v>
      </c>
      <c r="B3509" t="s">
        <v>9315</v>
      </c>
      <c r="C3509" t="s">
        <v>11834</v>
      </c>
      <c r="D3509" t="s">
        <v>11835</v>
      </c>
      <c r="E3509" t="s">
        <v>11836</v>
      </c>
      <c r="F3509" t="s">
        <v>180</v>
      </c>
      <c r="G3509" t="str">
        <f>HYPERLINK("https://otvet.mail.ru/question/225420772")</f>
        <v>https://otvet.mail.ru/question/225420772</v>
      </c>
      <c r="H3509" t="s">
        <v>119</v>
      </c>
      <c r="I3509" t="s">
        <v>11837</v>
      </c>
      <c r="J3509" t="str">
        <f>HYPERLINK("http://otvet.mail.ru/profile/id219673207")</f>
        <v>http://otvet.mail.ru/profile/id219673207</v>
      </c>
      <c r="L3509" t="s">
        <v>151</v>
      </c>
      <c r="N3509" t="s">
        <v>690</v>
      </c>
      <c r="O3509" t="s">
        <v>11562</v>
      </c>
      <c r="P3509" t="str">
        <f>HYPERLINK("https://otvet.mail.ru/house/")</f>
        <v>https://otvet.mail.ru/house/</v>
      </c>
      <c r="R3509" t="s">
        <v>295</v>
      </c>
      <c r="S3509" t="s">
        <v>125</v>
      </c>
      <c r="AM3509" t="s">
        <v>129</v>
      </c>
      <c r="AN3509" t="s">
        <v>130</v>
      </c>
      <c r="AP3509" t="s">
        <v>41</v>
      </c>
      <c r="AT3509" t="s">
        <v>45</v>
      </c>
      <c r="AU3509" t="s">
        <v>46</v>
      </c>
      <c r="AZ3509" t="s">
        <v>51</v>
      </c>
      <c r="BA3509" t="s">
        <v>52</v>
      </c>
    </row>
    <row r="3510" spans="1:90" x14ac:dyDescent="0.2">
      <c r="A3510" t="s">
        <v>11664</v>
      </c>
      <c r="B3510" t="s">
        <v>2629</v>
      </c>
      <c r="C3510" t="s">
        <v>11838</v>
      </c>
      <c r="D3510" t="s">
        <v>204</v>
      </c>
      <c r="E3510" t="s">
        <v>11839</v>
      </c>
      <c r="F3510" t="s">
        <v>180</v>
      </c>
      <c r="G3510" t="str">
        <f>HYPERLINK("https://play.google.com/store/apps/details?id=ru.iflex.android.a3colortv&amp;reviewId=gp:AOqpTOHt1xgzYhLT-qM-mYmrn4_KXbilF87SqQZMiUUw8lNQEVFGaR--TPTznnnPJwGUXW8MiRKrERBg4SA6nA")</f>
        <v>https://play.google.com/store/apps/details?id=ru.iflex.android.a3colortv&amp;reviewId=gp:AOqpTOHt1xgzYhLT-qM-mYmrn4_KXbilF87SqQZMiUUw8lNQEVFGaR--TPTznnnPJwGUXW8MiRKrERBg4SA6nA</v>
      </c>
      <c r="H3510" t="s">
        <v>228</v>
      </c>
      <c r="I3510" t="s">
        <v>11840</v>
      </c>
      <c r="J3510" t="str">
        <f>HYPERLINK("https://plus.google.com/100228102979494810345")</f>
        <v>https://plus.google.com/100228102979494810345</v>
      </c>
      <c r="L3510" t="s">
        <v>151</v>
      </c>
      <c r="N3510" t="s">
        <v>207</v>
      </c>
      <c r="O3510" t="s">
        <v>204</v>
      </c>
      <c r="P3510" t="str">
        <f>HYPERLINK("https://play.google.com/store/apps/details?id=ru.iflex.android.a3colortv&amp;hl=ru")</f>
        <v>https://play.google.com/store/apps/details?id=ru.iflex.android.a3colortv&amp;hl=ru</v>
      </c>
      <c r="R3510" t="s">
        <v>184</v>
      </c>
      <c r="S3510" t="s">
        <v>125</v>
      </c>
      <c r="W3510">
        <v>0</v>
      </c>
      <c r="X3510">
        <v>0</v>
      </c>
      <c r="AH3510">
        <v>3</v>
      </c>
      <c r="AM3510" t="s">
        <v>129</v>
      </c>
      <c r="AN3510" t="s">
        <v>130</v>
      </c>
      <c r="AP3510" t="s">
        <v>41</v>
      </c>
      <c r="AU3510" t="s">
        <v>46</v>
      </c>
      <c r="AZ3510" t="s">
        <v>51</v>
      </c>
      <c r="BA3510" t="s">
        <v>52</v>
      </c>
      <c r="BQ3510" t="s">
        <v>68</v>
      </c>
    </row>
    <row r="3511" spans="1:90" x14ac:dyDescent="0.2">
      <c r="A3511" t="s">
        <v>11664</v>
      </c>
      <c r="B3511" t="s">
        <v>1047</v>
      </c>
      <c r="C3511" t="s">
        <v>11841</v>
      </c>
      <c r="D3511" t="s">
        <v>11671</v>
      </c>
      <c r="E3511" t="s">
        <v>11842</v>
      </c>
      <c r="F3511" t="s">
        <v>118</v>
      </c>
      <c r="G3511" t="str">
        <f>HYPERLINK("https://vk.com/wall-54813709_465057?reply=465183&amp;thread=465124")</f>
        <v>https://vk.com/wall-54813709_465057?reply=465183&amp;thread=465124</v>
      </c>
      <c r="H3511" t="s">
        <v>181</v>
      </c>
      <c r="I3511" t="s">
        <v>11747</v>
      </c>
      <c r="J3511" t="str">
        <f>HYPERLINK("http://vk.com/id597499787")</f>
        <v>http://vk.com/id597499787</v>
      </c>
      <c r="K3511">
        <v>29</v>
      </c>
      <c r="L3511" t="s">
        <v>121</v>
      </c>
      <c r="M3511">
        <v>30</v>
      </c>
      <c r="N3511" t="s">
        <v>122</v>
      </c>
      <c r="O3511" t="s">
        <v>11674</v>
      </c>
      <c r="P3511" t="str">
        <f>HYPERLINK("http://vk.com/club54813709")</f>
        <v>http://vk.com/club54813709</v>
      </c>
      <c r="Q3511">
        <v>26749</v>
      </c>
      <c r="R3511" t="s">
        <v>124</v>
      </c>
      <c r="S3511" t="s">
        <v>125</v>
      </c>
      <c r="T3511" t="s">
        <v>5146</v>
      </c>
      <c r="U3511" t="s">
        <v>5726</v>
      </c>
      <c r="AM3511" t="s">
        <v>129</v>
      </c>
      <c r="AN3511" t="s">
        <v>130</v>
      </c>
      <c r="AP3511" t="s">
        <v>41</v>
      </c>
      <c r="AT3511" t="s">
        <v>45</v>
      </c>
      <c r="AZ3511" t="s">
        <v>51</v>
      </c>
      <c r="BE3511" t="s">
        <v>56</v>
      </c>
    </row>
    <row r="3512" spans="1:90" x14ac:dyDescent="0.2">
      <c r="A3512" t="s">
        <v>11664</v>
      </c>
      <c r="B3512" t="s">
        <v>1047</v>
      </c>
      <c r="C3512" t="s">
        <v>11843</v>
      </c>
      <c r="D3512" t="s">
        <v>11736</v>
      </c>
      <c r="E3512" t="s">
        <v>11844</v>
      </c>
      <c r="F3512" t="s">
        <v>118</v>
      </c>
      <c r="G3512" t="str">
        <f>HYPERLINK("https://vk.com/wall-61202858_1077546?reply=1077702&amp;thread=1077605")</f>
        <v>https://vk.com/wall-61202858_1077546?reply=1077702&amp;thread=1077605</v>
      </c>
      <c r="H3512" t="s">
        <v>119</v>
      </c>
      <c r="I3512" t="s">
        <v>11747</v>
      </c>
      <c r="J3512" t="str">
        <f>HYPERLINK("http://vk.com/id597499787")</f>
        <v>http://vk.com/id597499787</v>
      </c>
      <c r="K3512">
        <v>29</v>
      </c>
      <c r="L3512" t="s">
        <v>121</v>
      </c>
      <c r="M3512">
        <v>30</v>
      </c>
      <c r="N3512" t="s">
        <v>122</v>
      </c>
      <c r="O3512" t="s">
        <v>2933</v>
      </c>
      <c r="P3512" t="str">
        <f>HYPERLINK("http://vk.com/club61202858")</f>
        <v>http://vk.com/club61202858</v>
      </c>
      <c r="Q3512">
        <v>28906</v>
      </c>
      <c r="R3512" t="s">
        <v>124</v>
      </c>
      <c r="S3512" t="s">
        <v>125</v>
      </c>
      <c r="T3512" t="s">
        <v>5146</v>
      </c>
      <c r="U3512" t="s">
        <v>5726</v>
      </c>
      <c r="AM3512" t="s">
        <v>129</v>
      </c>
      <c r="AN3512" t="s">
        <v>130</v>
      </c>
      <c r="AP3512" t="s">
        <v>41</v>
      </c>
      <c r="AZ3512" t="s">
        <v>51</v>
      </c>
      <c r="BA3512" t="s">
        <v>52</v>
      </c>
      <c r="BL3512" t="s">
        <v>63</v>
      </c>
    </row>
    <row r="3513" spans="1:90" x14ac:dyDescent="0.2">
      <c r="A3513" t="s">
        <v>11664</v>
      </c>
      <c r="B3513" t="s">
        <v>1047</v>
      </c>
      <c r="C3513" t="s">
        <v>11845</v>
      </c>
      <c r="D3513" t="s">
        <v>6596</v>
      </c>
      <c r="E3513" t="s">
        <v>11846</v>
      </c>
      <c r="F3513" t="s">
        <v>180</v>
      </c>
      <c r="G3513" t="str">
        <f>HYPERLINK("https://www.ozon.ru/context/detail/id/192079549/#56774250")</f>
        <v>https://www.ozon.ru/context/detail/id/192079549/#56774250</v>
      </c>
      <c r="H3513" t="s">
        <v>181</v>
      </c>
      <c r="I3513" t="s">
        <v>11847</v>
      </c>
      <c r="J3513" t="str">
        <f>HYPERLINK("https://www.ozon.ru/context/client_opinion/ClientGuid/bf7bc472-8e0f-4e3a-b75b-a25fdf0a2dfa/")</f>
        <v>https://www.ozon.ru/context/client_opinion/ClientGuid/bf7bc472-8e0f-4e3a-b75b-a25fdf0a2dfa/</v>
      </c>
      <c r="L3513" t="s">
        <v>151</v>
      </c>
      <c r="N3513" t="s">
        <v>183</v>
      </c>
      <c r="O3513" t="s">
        <v>6596</v>
      </c>
      <c r="P3513" t="str">
        <f>HYPERLINK("https://www.ozon.ru/context/detail/id/192079549/")</f>
        <v>https://www.ozon.ru/context/detail/id/192079549/</v>
      </c>
      <c r="R3513" t="s">
        <v>184</v>
      </c>
      <c r="S3513" t="s">
        <v>125</v>
      </c>
      <c r="W3513">
        <v>0</v>
      </c>
      <c r="X3513">
        <v>0</v>
      </c>
      <c r="AH3513">
        <v>5</v>
      </c>
      <c r="AM3513" t="s">
        <v>129</v>
      </c>
      <c r="AN3513" t="s">
        <v>130</v>
      </c>
      <c r="AP3513" t="s">
        <v>41</v>
      </c>
      <c r="AT3513" t="s">
        <v>45</v>
      </c>
      <c r="AU3513" t="s">
        <v>46</v>
      </c>
      <c r="AY3513" t="s">
        <v>50</v>
      </c>
      <c r="AZ3513" t="s">
        <v>51</v>
      </c>
      <c r="BA3513" t="s">
        <v>52</v>
      </c>
      <c r="BL3513" t="s">
        <v>63</v>
      </c>
    </row>
    <row r="3514" spans="1:90" x14ac:dyDescent="0.2">
      <c r="A3514" t="s">
        <v>11664</v>
      </c>
      <c r="B3514" t="s">
        <v>6457</v>
      </c>
      <c r="C3514" t="s">
        <v>11838</v>
      </c>
      <c r="D3514" t="s">
        <v>204</v>
      </c>
      <c r="E3514" t="s">
        <v>11848</v>
      </c>
      <c r="F3514" t="s">
        <v>180</v>
      </c>
      <c r="G3514" t="str">
        <f>HYPERLINK("https://play.google.com/store/apps/details?id=ru.iflex.android.a3colortv&amp;reviewId=gp:AOqpTOGg6GYjwVo2UJttZ1ErmwdsMpBykLqHEkvtrYvc1_ToSBqcOperdrhBrSgNs1TJj4PRgBwtNWwLGCrx7Q")</f>
        <v>https://play.google.com/store/apps/details?id=ru.iflex.android.a3colortv&amp;reviewId=gp:AOqpTOGg6GYjwVo2UJttZ1ErmwdsMpBykLqHEkvtrYvc1_ToSBqcOperdrhBrSgNs1TJj4PRgBwtNWwLGCrx7Q</v>
      </c>
      <c r="H3514" t="s">
        <v>181</v>
      </c>
      <c r="I3514" t="s">
        <v>11849</v>
      </c>
      <c r="J3514" t="str">
        <f>HYPERLINK("https://plus.google.com/108846481185654084199")</f>
        <v>https://plus.google.com/108846481185654084199</v>
      </c>
      <c r="L3514" t="s">
        <v>121</v>
      </c>
      <c r="N3514" t="s">
        <v>207</v>
      </c>
      <c r="O3514" t="s">
        <v>204</v>
      </c>
      <c r="P3514" t="str">
        <f>HYPERLINK("https://play.google.com/store/apps/details?id=ru.iflex.android.a3colortv&amp;hl=ru")</f>
        <v>https://play.google.com/store/apps/details?id=ru.iflex.android.a3colortv&amp;hl=ru</v>
      </c>
      <c r="R3514" t="s">
        <v>184</v>
      </c>
      <c r="S3514" t="s">
        <v>125</v>
      </c>
      <c r="W3514">
        <v>0</v>
      </c>
      <c r="X3514">
        <v>0</v>
      </c>
      <c r="AH3514">
        <v>5</v>
      </c>
      <c r="AM3514" t="s">
        <v>129</v>
      </c>
      <c r="AN3514" t="s">
        <v>130</v>
      </c>
      <c r="AP3514" t="s">
        <v>41</v>
      </c>
      <c r="AZ3514" t="s">
        <v>51</v>
      </c>
      <c r="BA3514" t="s">
        <v>52</v>
      </c>
      <c r="BQ3514" t="s">
        <v>68</v>
      </c>
    </row>
    <row r="3515" spans="1:90" x14ac:dyDescent="0.2">
      <c r="A3515" t="s">
        <v>11664</v>
      </c>
      <c r="B3515" t="s">
        <v>1641</v>
      </c>
      <c r="C3515" t="s">
        <v>11850</v>
      </c>
      <c r="D3515" t="s">
        <v>11851</v>
      </c>
      <c r="E3515" t="s">
        <v>11852</v>
      </c>
      <c r="F3515" t="s">
        <v>180</v>
      </c>
      <c r="G3515" t="str">
        <f>HYPERLINK("https://zen.yandex.ru/media/id/5ca09408134d6700b2a45fbb/60dedcd79d67ac12b2d0ff25")</f>
        <v>https://zen.yandex.ru/media/id/5ca09408134d6700b2a45fbb/60dedcd79d67ac12b2d0ff25</v>
      </c>
      <c r="H3515" t="s">
        <v>119</v>
      </c>
      <c r="I3515" t="s">
        <v>11853</v>
      </c>
      <c r="J3515" t="str">
        <f>HYPERLINK("https://zen.yandex.ru/id/5ca09408134d6700b2a45fbb")</f>
        <v>https://zen.yandex.ru/id/5ca09408134d6700b2a45fbb</v>
      </c>
      <c r="K3515">
        <v>1683</v>
      </c>
      <c r="L3515" t="s">
        <v>121</v>
      </c>
      <c r="N3515" t="s">
        <v>11854</v>
      </c>
      <c r="R3515" t="s">
        <v>404</v>
      </c>
      <c r="S3515" t="s">
        <v>125</v>
      </c>
      <c r="AE3515">
        <v>2</v>
      </c>
      <c r="AG3515">
        <v>157</v>
      </c>
      <c r="AJ3515" t="s">
        <v>11855</v>
      </c>
      <c r="AK3515" t="s">
        <v>129</v>
      </c>
      <c r="AL3515" t="str">
        <f>HYPERLINK("https://avatars.mds.yandex.net/get-zen_doc/5273824/pub_60dedcd79d67ac12b2d0ff25_60dedcf6526c5a7dab2f4c6e/scale_1200")</f>
        <v>https://avatars.mds.yandex.net/get-zen_doc/5273824/pub_60dedcd79d67ac12b2d0ff25_60dedcf6526c5a7dab2f4c6e/scale_1200</v>
      </c>
      <c r="AM3515" t="s">
        <v>129</v>
      </c>
      <c r="AN3515" t="s">
        <v>130</v>
      </c>
      <c r="AP3515" t="s">
        <v>41</v>
      </c>
      <c r="AT3515" t="s">
        <v>45</v>
      </c>
      <c r="AW3515" t="s">
        <v>48</v>
      </c>
      <c r="AZ3515" t="s">
        <v>51</v>
      </c>
      <c r="BA3515" t="s">
        <v>52</v>
      </c>
      <c r="BL3515" t="s">
        <v>63</v>
      </c>
      <c r="BM3515" t="s">
        <v>64</v>
      </c>
    </row>
    <row r="3516" spans="1:90" x14ac:dyDescent="0.2">
      <c r="A3516" t="s">
        <v>11664</v>
      </c>
      <c r="B3516" t="s">
        <v>1655</v>
      </c>
      <c r="C3516" t="s">
        <v>11856</v>
      </c>
      <c r="D3516" t="s">
        <v>175</v>
      </c>
      <c r="E3516" t="s">
        <v>11857</v>
      </c>
      <c r="F3516" t="s">
        <v>180</v>
      </c>
      <c r="G3516" t="str">
        <f>HYPERLINK("https://yandex.ru/maps/org/92845972032#m-cSUYZunk_myTSmsRvB-XYu6T4nN21")</f>
        <v>https://yandex.ru/maps/org/92845972032#m-cSUYZunk_myTSmsRvB-XYu6T4nN21</v>
      </c>
      <c r="H3516" t="s">
        <v>228</v>
      </c>
      <c r="I3516" t="s">
        <v>11858</v>
      </c>
      <c r="J3516" t="str">
        <f>HYPERLINK("https://yandex.ru/user/mxxycuewvt36yfax5u0nf9hbdg")</f>
        <v>https://yandex.ru/user/mxxycuewvt36yfax5u0nf9hbdg</v>
      </c>
      <c r="L3516" t="s">
        <v>121</v>
      </c>
      <c r="N3516" t="s">
        <v>236</v>
      </c>
      <c r="O3516" t="s">
        <v>175</v>
      </c>
      <c r="P3516" t="str">
        <f>HYPERLINK("https://yandex.ru/maps/org/92845972032")</f>
        <v>https://yandex.ru/maps/org/92845972032</v>
      </c>
      <c r="R3516" t="s">
        <v>184</v>
      </c>
      <c r="S3516" t="s">
        <v>125</v>
      </c>
      <c r="T3516" t="s">
        <v>6268</v>
      </c>
      <c r="U3516" t="s">
        <v>7533</v>
      </c>
      <c r="W3516">
        <v>0</v>
      </c>
      <c r="X3516">
        <v>0</v>
      </c>
      <c r="AH3516">
        <v>2</v>
      </c>
      <c r="AM3516" t="s">
        <v>129</v>
      </c>
      <c r="AN3516" t="s">
        <v>130</v>
      </c>
      <c r="AP3516" t="s">
        <v>41</v>
      </c>
      <c r="AX3516" t="s">
        <v>49</v>
      </c>
      <c r="BD3516" t="s">
        <v>55</v>
      </c>
      <c r="BF3516" t="s">
        <v>57</v>
      </c>
      <c r="CK3516" t="s">
        <v>88</v>
      </c>
      <c r="CL3516" t="s">
        <v>89</v>
      </c>
    </row>
    <row r="3517" spans="1:90" x14ac:dyDescent="0.2">
      <c r="A3517" t="s">
        <v>11664</v>
      </c>
      <c r="B3517" t="s">
        <v>6839</v>
      </c>
      <c r="C3517" t="s">
        <v>11859</v>
      </c>
      <c r="D3517" t="s">
        <v>5461</v>
      </c>
      <c r="E3517" t="s">
        <v>11860</v>
      </c>
      <c r="F3517" t="s">
        <v>118</v>
      </c>
      <c r="G3517" t="str">
        <f>HYPERLINK("https://vk.com/wall-22935147_368066?w=wall-22935147_368066_r368073")</f>
        <v>https://vk.com/wall-22935147_368066?w=wall-22935147_368066_r368073</v>
      </c>
      <c r="H3517" t="s">
        <v>119</v>
      </c>
      <c r="I3517" t="s">
        <v>4221</v>
      </c>
      <c r="J3517" t="str">
        <f>HYPERLINK("http://vk.com/id242717820")</f>
        <v>http://vk.com/id242717820</v>
      </c>
      <c r="K3517">
        <v>38</v>
      </c>
      <c r="L3517" t="s">
        <v>121</v>
      </c>
      <c r="M3517">
        <v>46</v>
      </c>
      <c r="N3517" t="s">
        <v>122</v>
      </c>
      <c r="O3517" t="s">
        <v>1093</v>
      </c>
      <c r="P3517" t="str">
        <f>HYPERLINK("http://vk.com/club22935147")</f>
        <v>http://vk.com/club22935147</v>
      </c>
      <c r="Q3517">
        <v>8943</v>
      </c>
      <c r="R3517" t="s">
        <v>124</v>
      </c>
      <c r="S3517" t="s">
        <v>125</v>
      </c>
      <c r="T3517" t="s">
        <v>169</v>
      </c>
      <c r="U3517" t="s">
        <v>169</v>
      </c>
      <c r="W3517">
        <v>0</v>
      </c>
      <c r="X3517">
        <v>0</v>
      </c>
      <c r="AM3517" t="s">
        <v>129</v>
      </c>
      <c r="AN3517" t="s">
        <v>130</v>
      </c>
      <c r="AP3517" t="s">
        <v>41</v>
      </c>
      <c r="AU3517" t="s">
        <v>46</v>
      </c>
      <c r="AZ3517" t="s">
        <v>51</v>
      </c>
      <c r="BA3517" t="s">
        <v>52</v>
      </c>
    </row>
    <row r="3518" spans="1:90" x14ac:dyDescent="0.2">
      <c r="A3518" t="s">
        <v>11664</v>
      </c>
      <c r="B3518" t="s">
        <v>550</v>
      </c>
      <c r="C3518" t="s">
        <v>11467</v>
      </c>
      <c r="D3518" t="s">
        <v>651</v>
      </c>
      <c r="E3518" t="s">
        <v>11861</v>
      </c>
      <c r="F3518" t="s">
        <v>180</v>
      </c>
      <c r="G3518" t="str">
        <f>HYPERLINK("https://www.ozon.ru/context/detail/id/227979649/#56758798")</f>
        <v>https://www.ozon.ru/context/detail/id/227979649/#56758798</v>
      </c>
      <c r="H3518" t="s">
        <v>181</v>
      </c>
      <c r="I3518" t="s">
        <v>1330</v>
      </c>
      <c r="J3518" t="str">
        <f>HYPERLINK("https://www.ozon.ru/context/client_opinion/ClientGuid/88bf8b49-7713-4929-88b5-90cfbb2803a2/")</f>
        <v>https://www.ozon.ru/context/client_opinion/ClientGuid/88bf8b49-7713-4929-88b5-90cfbb2803a2/</v>
      </c>
      <c r="L3518" t="s">
        <v>121</v>
      </c>
      <c r="N3518" t="s">
        <v>183</v>
      </c>
      <c r="O3518" t="s">
        <v>654</v>
      </c>
      <c r="P3518" t="str">
        <f>HYPERLINK("https://www.ozon.ru/context/detail/id/227979649/")</f>
        <v>https://www.ozon.ru/context/detail/id/227979649/</v>
      </c>
      <c r="R3518" t="s">
        <v>184</v>
      </c>
      <c r="S3518" t="s">
        <v>125</v>
      </c>
      <c r="W3518">
        <v>0</v>
      </c>
      <c r="X3518">
        <v>0</v>
      </c>
      <c r="AH3518">
        <v>5</v>
      </c>
      <c r="AM3518" t="s">
        <v>129</v>
      </c>
      <c r="AN3518" t="s">
        <v>130</v>
      </c>
      <c r="AP3518" t="s">
        <v>41</v>
      </c>
      <c r="AT3518" t="s">
        <v>45</v>
      </c>
      <c r="AZ3518" t="s">
        <v>51</v>
      </c>
      <c r="BA3518" t="s">
        <v>52</v>
      </c>
      <c r="BL3518" t="s">
        <v>63</v>
      </c>
    </row>
    <row r="3519" spans="1:90" x14ac:dyDescent="0.2">
      <c r="A3519" t="s">
        <v>11664</v>
      </c>
      <c r="B3519" t="s">
        <v>2673</v>
      </c>
      <c r="C3519" t="s">
        <v>11862</v>
      </c>
      <c r="D3519" t="s">
        <v>204</v>
      </c>
      <c r="E3519" t="s">
        <v>11863</v>
      </c>
      <c r="F3519" t="s">
        <v>180</v>
      </c>
      <c r="G3519" t="str">
        <f>HYPERLINK("https://play.google.com/store/apps/details?id=ru.iflex.android.a3colortv&amp;reviewId=gp:AOqpTOHVt890-nGpHxtTX7K8obCjDUVXPFrkOiQgLR9aFuyybqgS4m8PA6Tb6ESTEzBRKPRIvYPDDsc7xSv81Q")</f>
        <v>https://play.google.com/store/apps/details?id=ru.iflex.android.a3colortv&amp;reviewId=gp:AOqpTOHVt890-nGpHxtTX7K8obCjDUVXPFrkOiQgLR9aFuyybqgS4m8PA6Tb6ESTEzBRKPRIvYPDDsc7xSv81Q</v>
      </c>
      <c r="H3519" t="s">
        <v>181</v>
      </c>
      <c r="I3519" t="s">
        <v>11864</v>
      </c>
      <c r="J3519" t="str">
        <f>HYPERLINK("https://plus.google.com/101569931053372063762")</f>
        <v>https://plus.google.com/101569931053372063762</v>
      </c>
      <c r="L3519" t="s">
        <v>121</v>
      </c>
      <c r="N3519" t="s">
        <v>207</v>
      </c>
      <c r="O3519" t="s">
        <v>204</v>
      </c>
      <c r="P3519" t="str">
        <f>HYPERLINK("https://play.google.com/store/apps/details?id=ru.iflex.android.a3colortv&amp;hl=ru")</f>
        <v>https://play.google.com/store/apps/details?id=ru.iflex.android.a3colortv&amp;hl=ru</v>
      </c>
      <c r="R3519" t="s">
        <v>184</v>
      </c>
      <c r="S3519" t="s">
        <v>125</v>
      </c>
      <c r="W3519">
        <v>0</v>
      </c>
      <c r="X3519">
        <v>0</v>
      </c>
      <c r="AH3519">
        <v>5</v>
      </c>
      <c r="AM3519" t="s">
        <v>129</v>
      </c>
      <c r="AN3519" t="s">
        <v>130</v>
      </c>
      <c r="AP3519" t="s">
        <v>41</v>
      </c>
      <c r="AZ3519" t="s">
        <v>51</v>
      </c>
      <c r="BA3519" t="s">
        <v>52</v>
      </c>
      <c r="BQ3519" t="s">
        <v>68</v>
      </c>
    </row>
    <row r="3520" spans="1:90" x14ac:dyDescent="0.2">
      <c r="A3520" t="s">
        <v>11664</v>
      </c>
      <c r="B3520" t="s">
        <v>559</v>
      </c>
      <c r="C3520" t="s">
        <v>11865</v>
      </c>
      <c r="D3520" t="s">
        <v>5461</v>
      </c>
      <c r="E3520" t="s">
        <v>11866</v>
      </c>
      <c r="F3520" t="s">
        <v>118</v>
      </c>
      <c r="G3520" t="str">
        <f>HYPERLINK("https://vk.com/wall-22935147_368066?reply=368069&amp;thread=368067")</f>
        <v>https://vk.com/wall-22935147_368066?reply=368069&amp;thread=368067</v>
      </c>
      <c r="H3520" t="s">
        <v>119</v>
      </c>
      <c r="I3520" t="s">
        <v>1722</v>
      </c>
      <c r="J3520" t="str">
        <f>HYPERLINK("http://vk.com/id240644107")</f>
        <v>http://vk.com/id240644107</v>
      </c>
      <c r="K3520">
        <v>33</v>
      </c>
      <c r="L3520" t="s">
        <v>121</v>
      </c>
      <c r="N3520" t="s">
        <v>122</v>
      </c>
      <c r="O3520" t="s">
        <v>1093</v>
      </c>
      <c r="P3520" t="str">
        <f>HYPERLINK("http://vk.com/club22935147")</f>
        <v>http://vk.com/club22935147</v>
      </c>
      <c r="Q3520">
        <v>8943</v>
      </c>
      <c r="R3520" t="s">
        <v>124</v>
      </c>
      <c r="S3520" t="s">
        <v>125</v>
      </c>
      <c r="T3520" t="s">
        <v>169</v>
      </c>
      <c r="U3520" t="s">
        <v>169</v>
      </c>
      <c r="AJ3520" t="s">
        <v>1171</v>
      </c>
      <c r="AK3520" t="s">
        <v>129</v>
      </c>
      <c r="AL3520" t="str">
        <f>HYPERLINK("https://sun9-25.userapi.com/impg/8f-uIIFTueemRZi7HmjvRo4_pnufubPrvwF0MA/klK9DaS_ZBI.jpg?size=558x244&amp;quality=96&amp;sign=68c54b8a6e0cad6487423f088e027b23&amp;c_uniq_tag=FilQxirjJg8AfsOVw8B0vuwZhOB15drDm6071s1igRk&amp;type=album")</f>
        <v>https://sun9-25.userapi.com/impg/8f-uIIFTueemRZi7HmjvRo4_pnufubPrvwF0MA/klK9DaS_ZBI.jpg?size=558x244&amp;quality=96&amp;sign=68c54b8a6e0cad6487423f088e027b23&amp;c_uniq_tag=FilQxirjJg8AfsOVw8B0vuwZhOB15drDm6071s1igRk&amp;type=album</v>
      </c>
      <c r="AM3520" t="s">
        <v>129</v>
      </c>
      <c r="AN3520" t="s">
        <v>130</v>
      </c>
      <c r="AP3520" t="s">
        <v>41</v>
      </c>
      <c r="AU3520" t="s">
        <v>46</v>
      </c>
      <c r="AZ3520" t="s">
        <v>51</v>
      </c>
      <c r="BA3520" t="s">
        <v>52</v>
      </c>
    </row>
    <row r="3521" spans="1:90" x14ac:dyDescent="0.2">
      <c r="A3521" t="s">
        <v>11664</v>
      </c>
      <c r="B3521" t="s">
        <v>562</v>
      </c>
      <c r="C3521" t="s">
        <v>11867</v>
      </c>
      <c r="D3521" t="s">
        <v>175</v>
      </c>
      <c r="E3521" t="s">
        <v>11868</v>
      </c>
      <c r="F3521" t="s">
        <v>180</v>
      </c>
      <c r="G3521" t="str">
        <f>HYPERLINK("https://yandex.ru/maps/org/1287744132#jEAZ-Zvw0geLsr425_953o5uWI4DPbM")</f>
        <v>https://yandex.ru/maps/org/1287744132#jEAZ-Zvw0geLsr425_953o5uWI4DPbM</v>
      </c>
      <c r="H3521" t="s">
        <v>228</v>
      </c>
      <c r="I3521" t="s">
        <v>11869</v>
      </c>
      <c r="J3521" t="str">
        <f>HYPERLINK("https://yandex.ru/user/w5zq2yfth8190jr87v6hkr819r")</f>
        <v>https://yandex.ru/user/w5zq2yfth8190jr87v6hkr819r</v>
      </c>
      <c r="L3521" t="s">
        <v>121</v>
      </c>
      <c r="N3521" t="s">
        <v>236</v>
      </c>
      <c r="O3521" t="s">
        <v>175</v>
      </c>
      <c r="P3521" t="str">
        <f>HYPERLINK("https://yandex.ru/maps/org/1287744132")</f>
        <v>https://yandex.ru/maps/org/1287744132</v>
      </c>
      <c r="R3521" t="s">
        <v>184</v>
      </c>
      <c r="S3521" t="s">
        <v>125</v>
      </c>
      <c r="T3521" t="s">
        <v>2225</v>
      </c>
      <c r="U3521" t="s">
        <v>2861</v>
      </c>
      <c r="W3521">
        <v>0</v>
      </c>
      <c r="X3521">
        <v>0</v>
      </c>
      <c r="AH3521">
        <v>3</v>
      </c>
      <c r="AM3521" t="s">
        <v>129</v>
      </c>
      <c r="AN3521" t="s">
        <v>130</v>
      </c>
      <c r="AP3521" t="s">
        <v>41</v>
      </c>
      <c r="AX3521" t="s">
        <v>49</v>
      </c>
      <c r="BD3521" t="s">
        <v>55</v>
      </c>
      <c r="BF3521" t="s">
        <v>57</v>
      </c>
      <c r="CK3521" t="s">
        <v>88</v>
      </c>
    </row>
    <row r="3522" spans="1:90" x14ac:dyDescent="0.2">
      <c r="A3522" t="s">
        <v>11664</v>
      </c>
      <c r="B3522" t="s">
        <v>1105</v>
      </c>
      <c r="C3522" t="s">
        <v>11870</v>
      </c>
      <c r="D3522" t="s">
        <v>5461</v>
      </c>
      <c r="E3522" t="s">
        <v>11871</v>
      </c>
      <c r="F3522" t="s">
        <v>118</v>
      </c>
      <c r="G3522" t="str">
        <f>HYPERLINK("https://vk.com/wall-22935147_368066?reply=368068")</f>
        <v>https://vk.com/wall-22935147_368066?reply=368068</v>
      </c>
      <c r="H3522" t="s">
        <v>119</v>
      </c>
      <c r="I3522" t="s">
        <v>8133</v>
      </c>
      <c r="J3522" t="str">
        <f>HYPERLINK("http://vk.com/id42616723")</f>
        <v>http://vk.com/id42616723</v>
      </c>
      <c r="K3522">
        <v>38</v>
      </c>
      <c r="L3522" t="s">
        <v>121</v>
      </c>
      <c r="M3522">
        <v>36</v>
      </c>
      <c r="N3522" t="s">
        <v>122</v>
      </c>
      <c r="O3522" t="s">
        <v>1093</v>
      </c>
      <c r="P3522" t="str">
        <f>HYPERLINK("http://vk.com/club22935147")</f>
        <v>http://vk.com/club22935147</v>
      </c>
      <c r="Q3522">
        <v>8943</v>
      </c>
      <c r="R3522" t="s">
        <v>124</v>
      </c>
      <c r="S3522" t="s">
        <v>125</v>
      </c>
      <c r="T3522" t="s">
        <v>4130</v>
      </c>
      <c r="U3522" t="s">
        <v>8134</v>
      </c>
      <c r="W3522">
        <v>0</v>
      </c>
      <c r="X3522">
        <v>0</v>
      </c>
      <c r="AM3522" t="s">
        <v>129</v>
      </c>
      <c r="AN3522" t="s">
        <v>130</v>
      </c>
      <c r="AP3522" t="s">
        <v>41</v>
      </c>
      <c r="AU3522" t="s">
        <v>46</v>
      </c>
      <c r="AZ3522" t="s">
        <v>51</v>
      </c>
      <c r="BA3522" t="s">
        <v>52</v>
      </c>
    </row>
    <row r="3523" spans="1:90" x14ac:dyDescent="0.2">
      <c r="A3523" t="s">
        <v>11664</v>
      </c>
      <c r="B3523" t="s">
        <v>1700</v>
      </c>
      <c r="C3523" t="s">
        <v>5419</v>
      </c>
      <c r="D3523" t="s">
        <v>4921</v>
      </c>
      <c r="E3523" t="s">
        <v>11872</v>
      </c>
      <c r="F3523" t="s">
        <v>180</v>
      </c>
      <c r="G3523" t="str">
        <f>HYPERLINK("https://www.ozon.ru/context/detail/id/178886264/#56749153")</f>
        <v>https://www.ozon.ru/context/detail/id/178886264/#56749153</v>
      </c>
      <c r="H3523" t="s">
        <v>181</v>
      </c>
      <c r="I3523" t="s">
        <v>11873</v>
      </c>
      <c r="J3523" t="str">
        <f>HYPERLINK("https://www.ozon.ru/context/client_opinion/ClientGuid/9d29ba12-7663-4c5d-925b-8d389a893174/")</f>
        <v>https://www.ozon.ru/context/client_opinion/ClientGuid/9d29ba12-7663-4c5d-925b-8d389a893174/</v>
      </c>
      <c r="L3523" t="s">
        <v>121</v>
      </c>
      <c r="N3523" t="s">
        <v>183</v>
      </c>
      <c r="O3523" t="s">
        <v>4921</v>
      </c>
      <c r="P3523" t="str">
        <f>HYPERLINK("https://www.ozon.ru/context/detail/id/178886264/")</f>
        <v>https://www.ozon.ru/context/detail/id/178886264/</v>
      </c>
      <c r="R3523" t="s">
        <v>184</v>
      </c>
      <c r="S3523" t="s">
        <v>125</v>
      </c>
      <c r="W3523">
        <v>0</v>
      </c>
      <c r="X3523">
        <v>0</v>
      </c>
      <c r="AH3523">
        <v>5</v>
      </c>
      <c r="AM3523" t="s">
        <v>129</v>
      </c>
      <c r="AN3523" t="s">
        <v>130</v>
      </c>
      <c r="AP3523" t="s">
        <v>41</v>
      </c>
      <c r="AU3523" t="s">
        <v>46</v>
      </c>
      <c r="AZ3523" t="s">
        <v>51</v>
      </c>
      <c r="BA3523" t="s">
        <v>52</v>
      </c>
      <c r="BO3523" t="s">
        <v>66</v>
      </c>
    </row>
    <row r="3524" spans="1:90" x14ac:dyDescent="0.2">
      <c r="A3524" t="s">
        <v>11664</v>
      </c>
      <c r="B3524" t="s">
        <v>586</v>
      </c>
      <c r="C3524" t="s">
        <v>11874</v>
      </c>
      <c r="D3524" t="s">
        <v>11736</v>
      </c>
      <c r="E3524" t="s">
        <v>11875</v>
      </c>
      <c r="F3524" t="s">
        <v>118</v>
      </c>
      <c r="G3524" t="str">
        <f>HYPERLINK("https://vk.com/wall-61202858_1077546?reply=1077638&amp;thread=1077605")</f>
        <v>https://vk.com/wall-61202858_1077546?reply=1077638&amp;thread=1077605</v>
      </c>
      <c r="H3524" t="s">
        <v>228</v>
      </c>
      <c r="I3524" t="s">
        <v>11738</v>
      </c>
      <c r="J3524" t="str">
        <f>HYPERLINK("http://vk.com/id635641006")</f>
        <v>http://vk.com/id635641006</v>
      </c>
      <c r="K3524">
        <v>34</v>
      </c>
      <c r="L3524" t="s">
        <v>151</v>
      </c>
      <c r="M3524">
        <v>31</v>
      </c>
      <c r="N3524" t="s">
        <v>122</v>
      </c>
      <c r="O3524" t="s">
        <v>2933</v>
      </c>
      <c r="P3524" t="str">
        <f>HYPERLINK("http://vk.com/club61202858")</f>
        <v>http://vk.com/club61202858</v>
      </c>
      <c r="Q3524">
        <v>28906</v>
      </c>
      <c r="R3524" t="s">
        <v>124</v>
      </c>
      <c r="S3524" t="s">
        <v>125</v>
      </c>
      <c r="T3524" t="s">
        <v>627</v>
      </c>
      <c r="U3524" t="s">
        <v>2940</v>
      </c>
      <c r="AM3524" t="s">
        <v>129</v>
      </c>
      <c r="AN3524" t="s">
        <v>130</v>
      </c>
      <c r="AP3524" t="s">
        <v>41</v>
      </c>
      <c r="AT3524" t="s">
        <v>45</v>
      </c>
      <c r="AU3524" t="s">
        <v>46</v>
      </c>
      <c r="AW3524" t="s">
        <v>48</v>
      </c>
      <c r="AZ3524" t="s">
        <v>51</v>
      </c>
      <c r="BA3524" t="s">
        <v>52</v>
      </c>
      <c r="BN3524" t="s">
        <v>65</v>
      </c>
      <c r="BW3524" t="s">
        <v>74</v>
      </c>
      <c r="BY3524" t="s">
        <v>76</v>
      </c>
      <c r="CH3524" t="s">
        <v>85</v>
      </c>
    </row>
    <row r="3525" spans="1:90" x14ac:dyDescent="0.2">
      <c r="A3525" t="s">
        <v>11664</v>
      </c>
      <c r="B3525" t="s">
        <v>3919</v>
      </c>
      <c r="C3525" t="s">
        <v>11876</v>
      </c>
      <c r="D3525" t="s">
        <v>11877</v>
      </c>
      <c r="E3525" t="s">
        <v>11878</v>
      </c>
      <c r="F3525" t="s">
        <v>118</v>
      </c>
      <c r="G3525" t="str">
        <f>HYPERLINK("https://vk.com/wall-61101621_254464?reply=254484")</f>
        <v>https://vk.com/wall-61101621_254464?reply=254484</v>
      </c>
      <c r="H3525" t="s">
        <v>119</v>
      </c>
      <c r="I3525" t="s">
        <v>3544</v>
      </c>
      <c r="J3525" t="str">
        <f>HYPERLINK("http://vk.com/id651980680")</f>
        <v>http://vk.com/id651980680</v>
      </c>
      <c r="K3525">
        <v>0</v>
      </c>
      <c r="L3525" t="s">
        <v>121</v>
      </c>
      <c r="M3525">
        <v>58</v>
      </c>
      <c r="N3525" t="s">
        <v>122</v>
      </c>
      <c r="O3525" t="s">
        <v>160</v>
      </c>
      <c r="P3525" t="str">
        <f>HYPERLINK("http://vk.com/club61101621")</f>
        <v>http://vk.com/club61101621</v>
      </c>
      <c r="Q3525">
        <v>21119</v>
      </c>
      <c r="R3525" t="s">
        <v>124</v>
      </c>
      <c r="S3525" t="s">
        <v>125</v>
      </c>
      <c r="T3525" t="s">
        <v>487</v>
      </c>
      <c r="U3525" t="s">
        <v>488</v>
      </c>
      <c r="W3525">
        <v>0</v>
      </c>
      <c r="X3525">
        <v>0</v>
      </c>
      <c r="AM3525" t="s">
        <v>129</v>
      </c>
      <c r="AN3525" t="s">
        <v>130</v>
      </c>
      <c r="AP3525" t="s">
        <v>41</v>
      </c>
      <c r="AU3525" t="s">
        <v>46</v>
      </c>
      <c r="AZ3525" t="s">
        <v>51</v>
      </c>
      <c r="BA3525" t="s">
        <v>52</v>
      </c>
    </row>
    <row r="3526" spans="1:90" x14ac:dyDescent="0.2">
      <c r="A3526" t="s">
        <v>11664</v>
      </c>
      <c r="B3526" t="s">
        <v>1723</v>
      </c>
      <c r="C3526" t="s">
        <v>11879</v>
      </c>
      <c r="D3526" t="s">
        <v>11736</v>
      </c>
      <c r="E3526" t="s">
        <v>11880</v>
      </c>
      <c r="F3526" t="s">
        <v>118</v>
      </c>
      <c r="G3526" t="str">
        <f>HYPERLINK("https://vk.com/wall-61202858_1077546?reply=1077633&amp;thread=1077605")</f>
        <v>https://vk.com/wall-61202858_1077546?reply=1077633&amp;thread=1077605</v>
      </c>
      <c r="H3526" t="s">
        <v>119</v>
      </c>
      <c r="I3526" t="s">
        <v>11881</v>
      </c>
      <c r="J3526" t="str">
        <f>HYPERLINK("http://vk.com/id165924921")</f>
        <v>http://vk.com/id165924921</v>
      </c>
      <c r="K3526">
        <v>2096</v>
      </c>
      <c r="L3526" t="s">
        <v>151</v>
      </c>
      <c r="N3526" t="s">
        <v>122</v>
      </c>
      <c r="O3526" t="s">
        <v>2933</v>
      </c>
      <c r="P3526" t="str">
        <f>HYPERLINK("http://vk.com/club61202858")</f>
        <v>http://vk.com/club61202858</v>
      </c>
      <c r="Q3526">
        <v>28906</v>
      </c>
      <c r="R3526" t="s">
        <v>124</v>
      </c>
      <c r="S3526" t="s">
        <v>125</v>
      </c>
      <c r="T3526" t="s">
        <v>627</v>
      </c>
      <c r="U3526" t="s">
        <v>2940</v>
      </c>
      <c r="AM3526" t="s">
        <v>129</v>
      </c>
      <c r="AN3526" t="s">
        <v>130</v>
      </c>
      <c r="AP3526" t="s">
        <v>41</v>
      </c>
      <c r="AW3526" t="s">
        <v>48</v>
      </c>
      <c r="AZ3526" t="s">
        <v>51</v>
      </c>
      <c r="BA3526" t="s">
        <v>52</v>
      </c>
    </row>
    <row r="3527" spans="1:90" x14ac:dyDescent="0.2">
      <c r="A3527" t="s">
        <v>11664</v>
      </c>
      <c r="B3527" t="s">
        <v>3216</v>
      </c>
      <c r="C3527" t="s">
        <v>11882</v>
      </c>
      <c r="D3527" t="s">
        <v>11395</v>
      </c>
      <c r="E3527" t="s">
        <v>11883</v>
      </c>
      <c r="F3527" t="s">
        <v>118</v>
      </c>
      <c r="G3527" t="str">
        <f>HYPERLINK("https://vk.com/wall-22935147_368046?reply=368064")</f>
        <v>https://vk.com/wall-22935147_368046?reply=368064</v>
      </c>
      <c r="H3527" t="s">
        <v>119</v>
      </c>
      <c r="I3527" t="s">
        <v>6267</v>
      </c>
      <c r="J3527" t="str">
        <f>HYPERLINK("http://vk.com/id124014423")</f>
        <v>http://vk.com/id124014423</v>
      </c>
      <c r="K3527">
        <v>731</v>
      </c>
      <c r="L3527" t="s">
        <v>121</v>
      </c>
      <c r="M3527">
        <v>29</v>
      </c>
      <c r="N3527" t="s">
        <v>122</v>
      </c>
      <c r="O3527" t="s">
        <v>1093</v>
      </c>
      <c r="P3527" t="str">
        <f>HYPERLINK("http://vk.com/club22935147")</f>
        <v>http://vk.com/club22935147</v>
      </c>
      <c r="Q3527">
        <v>8943</v>
      </c>
      <c r="R3527" t="s">
        <v>124</v>
      </c>
      <c r="S3527" t="s">
        <v>125</v>
      </c>
      <c r="T3527" t="s">
        <v>6268</v>
      </c>
      <c r="U3527" t="s">
        <v>6269</v>
      </c>
      <c r="AM3527" t="s">
        <v>129</v>
      </c>
      <c r="AN3527" t="s">
        <v>130</v>
      </c>
      <c r="AP3527" t="s">
        <v>41</v>
      </c>
      <c r="AZ3527" t="s">
        <v>51</v>
      </c>
      <c r="BA3527" t="s">
        <v>52</v>
      </c>
      <c r="BL3527" t="s">
        <v>63</v>
      </c>
      <c r="BM3527" t="s">
        <v>64</v>
      </c>
    </row>
    <row r="3528" spans="1:90" x14ac:dyDescent="0.2">
      <c r="A3528" t="s">
        <v>11664</v>
      </c>
      <c r="B3528" t="s">
        <v>3216</v>
      </c>
      <c r="C3528" t="s">
        <v>11882</v>
      </c>
      <c r="D3528" t="s">
        <v>11395</v>
      </c>
      <c r="E3528" t="s">
        <v>11883</v>
      </c>
      <c r="F3528" t="s">
        <v>118</v>
      </c>
      <c r="G3528" t="str">
        <f>HYPERLINK("https://vk.com/wall-22935147_368046?reply=368065")</f>
        <v>https://vk.com/wall-22935147_368046?reply=368065</v>
      </c>
      <c r="H3528" t="s">
        <v>119</v>
      </c>
      <c r="I3528" t="s">
        <v>6267</v>
      </c>
      <c r="J3528" t="str">
        <f>HYPERLINK("http://vk.com/id124014423")</f>
        <v>http://vk.com/id124014423</v>
      </c>
      <c r="K3528">
        <v>731</v>
      </c>
      <c r="L3528" t="s">
        <v>121</v>
      </c>
      <c r="M3528">
        <v>29</v>
      </c>
      <c r="N3528" t="s">
        <v>122</v>
      </c>
      <c r="O3528" t="s">
        <v>1093</v>
      </c>
      <c r="P3528" t="str">
        <f>HYPERLINK("http://vk.com/club22935147")</f>
        <v>http://vk.com/club22935147</v>
      </c>
      <c r="Q3528">
        <v>8943</v>
      </c>
      <c r="R3528" t="s">
        <v>124</v>
      </c>
      <c r="S3528" t="s">
        <v>125</v>
      </c>
      <c r="T3528" t="s">
        <v>6268</v>
      </c>
      <c r="U3528" t="s">
        <v>6269</v>
      </c>
      <c r="AM3528" t="s">
        <v>129</v>
      </c>
      <c r="AN3528" t="s">
        <v>130</v>
      </c>
      <c r="AP3528" t="s">
        <v>41</v>
      </c>
      <c r="AZ3528" t="s">
        <v>51</v>
      </c>
      <c r="BA3528" t="s">
        <v>52</v>
      </c>
      <c r="BL3528" t="s">
        <v>63</v>
      </c>
      <c r="BM3528" t="s">
        <v>64</v>
      </c>
    </row>
    <row r="3529" spans="1:90" x14ac:dyDescent="0.2">
      <c r="A3529" t="s">
        <v>11664</v>
      </c>
      <c r="B3529" t="s">
        <v>3219</v>
      </c>
      <c r="C3529" t="s">
        <v>11884</v>
      </c>
      <c r="D3529" t="s">
        <v>11885</v>
      </c>
      <c r="E3529" t="s">
        <v>11886</v>
      </c>
      <c r="F3529" t="s">
        <v>118</v>
      </c>
      <c r="G3529" t="str">
        <f>HYPERLINK("https://vk.com/wall-199277766_675?reply=677")</f>
        <v>https://vk.com/wall-199277766_675?reply=677</v>
      </c>
      <c r="H3529" t="s">
        <v>119</v>
      </c>
      <c r="I3529" t="s">
        <v>254</v>
      </c>
      <c r="J3529" t="str">
        <f>HYPERLINK("http://vk.com/id286061518")</f>
        <v>http://vk.com/id286061518</v>
      </c>
      <c r="K3529">
        <v>5170</v>
      </c>
      <c r="L3529" t="s">
        <v>121</v>
      </c>
      <c r="M3529">
        <v>34</v>
      </c>
      <c r="N3529" t="s">
        <v>122</v>
      </c>
      <c r="O3529" t="s">
        <v>255</v>
      </c>
      <c r="P3529" t="str">
        <f>HYPERLINK("http://vk.com/club199277766")</f>
        <v>http://vk.com/club199277766</v>
      </c>
      <c r="Q3529">
        <v>53</v>
      </c>
      <c r="R3529" t="s">
        <v>124</v>
      </c>
      <c r="S3529" t="s">
        <v>125</v>
      </c>
      <c r="T3529" t="s">
        <v>256</v>
      </c>
      <c r="U3529" t="s">
        <v>257</v>
      </c>
      <c r="AM3529" t="s">
        <v>129</v>
      </c>
      <c r="AN3529" t="s">
        <v>130</v>
      </c>
      <c r="AP3529" t="s">
        <v>41</v>
      </c>
      <c r="AU3529" t="s">
        <v>46</v>
      </c>
      <c r="AZ3529" t="s">
        <v>51</v>
      </c>
      <c r="BA3529" t="s">
        <v>52</v>
      </c>
    </row>
    <row r="3530" spans="1:90" x14ac:dyDescent="0.2">
      <c r="A3530" t="s">
        <v>11664</v>
      </c>
      <c r="B3530" t="s">
        <v>649</v>
      </c>
      <c r="C3530" t="s">
        <v>11887</v>
      </c>
      <c r="D3530" t="s">
        <v>175</v>
      </c>
      <c r="E3530" t="s">
        <v>11888</v>
      </c>
      <c r="F3530" t="s">
        <v>180</v>
      </c>
      <c r="G3530" t="str">
        <f>HYPERLINK("https://yandex.ru/maps/org/1930784358#ppg0-4_pqYW76aQ32zR1Q6QtiYwDCWa")</f>
        <v>https://yandex.ru/maps/org/1930784358#ppg0-4_pqYW76aQ32zR1Q6QtiYwDCWa</v>
      </c>
      <c r="H3530" t="s">
        <v>228</v>
      </c>
      <c r="I3530" t="s">
        <v>11889</v>
      </c>
      <c r="J3530" t="str">
        <f>HYPERLINK("https://yandex.ru/user/znxanvc8n0rwt6ygwww7mymuj4")</f>
        <v>https://yandex.ru/user/znxanvc8n0rwt6ygwww7mymuj4</v>
      </c>
      <c r="L3530" t="s">
        <v>151</v>
      </c>
      <c r="N3530" t="s">
        <v>236</v>
      </c>
      <c r="O3530" t="s">
        <v>175</v>
      </c>
      <c r="P3530" t="str">
        <f>HYPERLINK("https://yandex.ru/maps/org/1930784358")</f>
        <v>https://yandex.ru/maps/org/1930784358</v>
      </c>
      <c r="R3530" t="s">
        <v>184</v>
      </c>
      <c r="S3530" t="s">
        <v>125</v>
      </c>
      <c r="T3530" t="s">
        <v>3158</v>
      </c>
      <c r="U3530" t="s">
        <v>3159</v>
      </c>
      <c r="W3530">
        <v>0</v>
      </c>
      <c r="X3530">
        <v>0</v>
      </c>
      <c r="AH3530">
        <v>1</v>
      </c>
      <c r="AM3530" t="s">
        <v>129</v>
      </c>
      <c r="AN3530" t="s">
        <v>130</v>
      </c>
      <c r="AP3530" t="s">
        <v>41</v>
      </c>
      <c r="AX3530" t="s">
        <v>49</v>
      </c>
      <c r="BD3530" t="s">
        <v>55</v>
      </c>
      <c r="BF3530" t="s">
        <v>57</v>
      </c>
      <c r="CK3530" t="s">
        <v>88</v>
      </c>
      <c r="CL3530" t="s">
        <v>89</v>
      </c>
    </row>
    <row r="3531" spans="1:90" x14ac:dyDescent="0.2">
      <c r="A3531" t="s">
        <v>11664</v>
      </c>
      <c r="B3531" t="s">
        <v>6177</v>
      </c>
      <c r="C3531" t="s">
        <v>11890</v>
      </c>
      <c r="D3531" t="s">
        <v>11671</v>
      </c>
      <c r="E3531" t="s">
        <v>11891</v>
      </c>
      <c r="F3531" t="s">
        <v>118</v>
      </c>
      <c r="G3531" t="str">
        <f>HYPERLINK("https://vk.com/wall-54813709_465057?reply=465161")</f>
        <v>https://vk.com/wall-54813709_465057?reply=465161</v>
      </c>
      <c r="H3531" t="s">
        <v>181</v>
      </c>
      <c r="I3531" t="s">
        <v>11892</v>
      </c>
      <c r="J3531" t="str">
        <f>HYPERLINK("http://vk.com/id597480387")</f>
        <v>http://vk.com/id597480387</v>
      </c>
      <c r="K3531">
        <v>12</v>
      </c>
      <c r="L3531" t="s">
        <v>121</v>
      </c>
      <c r="M3531">
        <v>36</v>
      </c>
      <c r="N3531" t="s">
        <v>122</v>
      </c>
      <c r="O3531" t="s">
        <v>11674</v>
      </c>
      <c r="P3531" t="str">
        <f>HYPERLINK("http://vk.com/club54813709")</f>
        <v>http://vk.com/club54813709</v>
      </c>
      <c r="Q3531">
        <v>26749</v>
      </c>
      <c r="R3531" t="s">
        <v>124</v>
      </c>
      <c r="S3531" t="s">
        <v>125</v>
      </c>
      <c r="T3531" t="s">
        <v>3158</v>
      </c>
      <c r="U3531" t="s">
        <v>3159</v>
      </c>
      <c r="AM3531" t="s">
        <v>129</v>
      </c>
      <c r="AN3531" t="s">
        <v>130</v>
      </c>
      <c r="AP3531" t="s">
        <v>41</v>
      </c>
      <c r="AW3531" t="s">
        <v>48</v>
      </c>
      <c r="AZ3531" t="s">
        <v>51</v>
      </c>
      <c r="BA3531" t="s">
        <v>52</v>
      </c>
    </row>
    <row r="3532" spans="1:90" x14ac:dyDescent="0.2">
      <c r="A3532" t="s">
        <v>11664</v>
      </c>
      <c r="B3532" t="s">
        <v>1756</v>
      </c>
      <c r="C3532" t="s">
        <v>11893</v>
      </c>
      <c r="D3532" t="s">
        <v>11671</v>
      </c>
      <c r="E3532" t="s">
        <v>11894</v>
      </c>
      <c r="F3532" t="s">
        <v>118</v>
      </c>
      <c r="G3532" t="str">
        <f>HYPERLINK("https://vk.com/wall-54813709_465057?reply=465159&amp;thread=465059")</f>
        <v>https://vk.com/wall-54813709_465057?reply=465159&amp;thread=465059</v>
      </c>
      <c r="H3532" t="s">
        <v>181</v>
      </c>
      <c r="I3532" t="s">
        <v>11892</v>
      </c>
      <c r="J3532" t="str">
        <f>HYPERLINK("http://vk.com/id597480387")</f>
        <v>http://vk.com/id597480387</v>
      </c>
      <c r="K3532">
        <v>12</v>
      </c>
      <c r="L3532" t="s">
        <v>121</v>
      </c>
      <c r="M3532">
        <v>36</v>
      </c>
      <c r="N3532" t="s">
        <v>122</v>
      </c>
      <c r="O3532" t="s">
        <v>11674</v>
      </c>
      <c r="P3532" t="str">
        <f>HYPERLINK("http://vk.com/club54813709")</f>
        <v>http://vk.com/club54813709</v>
      </c>
      <c r="Q3532">
        <v>26749</v>
      </c>
      <c r="R3532" t="s">
        <v>124</v>
      </c>
      <c r="S3532" t="s">
        <v>125</v>
      </c>
      <c r="T3532" t="s">
        <v>3158</v>
      </c>
      <c r="U3532" t="s">
        <v>3159</v>
      </c>
      <c r="AM3532" t="s">
        <v>129</v>
      </c>
      <c r="AN3532" t="s">
        <v>130</v>
      </c>
      <c r="AP3532" t="s">
        <v>41</v>
      </c>
      <c r="AW3532" t="s">
        <v>48</v>
      </c>
      <c r="AZ3532" t="s">
        <v>51</v>
      </c>
      <c r="BA3532" t="s">
        <v>52</v>
      </c>
    </row>
    <row r="3533" spans="1:90" x14ac:dyDescent="0.2">
      <c r="A3533" t="s">
        <v>11664</v>
      </c>
      <c r="B3533" t="s">
        <v>8660</v>
      </c>
      <c r="C3533" t="s">
        <v>11895</v>
      </c>
      <c r="D3533" t="s">
        <v>11671</v>
      </c>
      <c r="E3533" t="s">
        <v>11896</v>
      </c>
      <c r="F3533" t="s">
        <v>118</v>
      </c>
      <c r="G3533" t="str">
        <f>HYPERLINK("https://vk.com/wall-54813709_465057?reply=465158")</f>
        <v>https://vk.com/wall-54813709_465057?reply=465158</v>
      </c>
      <c r="H3533" t="s">
        <v>181</v>
      </c>
      <c r="I3533" t="s">
        <v>11892</v>
      </c>
      <c r="J3533" t="str">
        <f>HYPERLINK("http://vk.com/id597480387")</f>
        <v>http://vk.com/id597480387</v>
      </c>
      <c r="K3533">
        <v>12</v>
      </c>
      <c r="L3533" t="s">
        <v>121</v>
      </c>
      <c r="M3533">
        <v>36</v>
      </c>
      <c r="N3533" t="s">
        <v>122</v>
      </c>
      <c r="O3533" t="s">
        <v>11674</v>
      </c>
      <c r="P3533" t="str">
        <f>HYPERLINK("http://vk.com/club54813709")</f>
        <v>http://vk.com/club54813709</v>
      </c>
      <c r="Q3533">
        <v>26749</v>
      </c>
      <c r="R3533" t="s">
        <v>124</v>
      </c>
      <c r="S3533" t="s">
        <v>125</v>
      </c>
      <c r="T3533" t="s">
        <v>3158</v>
      </c>
      <c r="U3533" t="s">
        <v>3159</v>
      </c>
      <c r="AM3533" t="s">
        <v>129</v>
      </c>
      <c r="AN3533" t="s">
        <v>130</v>
      </c>
      <c r="AP3533" t="s">
        <v>41</v>
      </c>
      <c r="AW3533" t="s">
        <v>48</v>
      </c>
      <c r="AZ3533" t="s">
        <v>51</v>
      </c>
      <c r="BA3533" t="s">
        <v>52</v>
      </c>
    </row>
    <row r="3534" spans="1:90" x14ac:dyDescent="0.2">
      <c r="A3534" t="s">
        <v>11664</v>
      </c>
      <c r="B3534" t="s">
        <v>3247</v>
      </c>
      <c r="C3534" t="s">
        <v>11897</v>
      </c>
      <c r="D3534" t="s">
        <v>204</v>
      </c>
      <c r="E3534" t="s">
        <v>11898</v>
      </c>
      <c r="F3534" t="s">
        <v>180</v>
      </c>
      <c r="G3534" t="str">
        <f>HYPERLINK("https://play.google.com/store/apps/details?id=ru.iflex.android.a3colortv&amp;reviewId=gp:AOqpTOF06j_g25iKM86gMGcqGs2RagXfbhrEQc9Y4zqbKW_AvZqkAl7jAlWLHyW8Z0ezSwPCIdg382xann-H3A")</f>
        <v>https://play.google.com/store/apps/details?id=ru.iflex.android.a3colortv&amp;reviewId=gp:AOqpTOF06j_g25iKM86gMGcqGs2RagXfbhrEQc9Y4zqbKW_AvZqkAl7jAlWLHyW8Z0ezSwPCIdg382xann-H3A</v>
      </c>
      <c r="H3534" t="s">
        <v>181</v>
      </c>
      <c r="I3534" t="s">
        <v>11899</v>
      </c>
      <c r="J3534" t="str">
        <f>HYPERLINK("https://plus.google.com/114303771958171672382")</f>
        <v>https://plus.google.com/114303771958171672382</v>
      </c>
      <c r="L3534" t="s">
        <v>121</v>
      </c>
      <c r="N3534" t="s">
        <v>207</v>
      </c>
      <c r="O3534" t="s">
        <v>204</v>
      </c>
      <c r="P3534" t="str">
        <f>HYPERLINK("https://play.google.com/store/apps/details?id=ru.iflex.android.a3colortv&amp;hl=ru")</f>
        <v>https://play.google.com/store/apps/details?id=ru.iflex.android.a3colortv&amp;hl=ru</v>
      </c>
      <c r="R3534" t="s">
        <v>184</v>
      </c>
      <c r="S3534" t="s">
        <v>125</v>
      </c>
      <c r="W3534">
        <v>0</v>
      </c>
      <c r="X3534">
        <v>0</v>
      </c>
      <c r="AH3534">
        <v>5</v>
      </c>
      <c r="AM3534" t="s">
        <v>129</v>
      </c>
      <c r="AN3534" t="s">
        <v>130</v>
      </c>
      <c r="AP3534" t="s">
        <v>41</v>
      </c>
      <c r="AZ3534" t="s">
        <v>51</v>
      </c>
      <c r="BA3534" t="s">
        <v>52</v>
      </c>
      <c r="BQ3534" t="s">
        <v>68</v>
      </c>
    </row>
    <row r="3535" spans="1:90" x14ac:dyDescent="0.2">
      <c r="A3535" t="s">
        <v>11664</v>
      </c>
      <c r="B3535" t="s">
        <v>675</v>
      </c>
      <c r="C3535" t="s">
        <v>11900</v>
      </c>
      <c r="D3535" t="s">
        <v>11901</v>
      </c>
      <c r="E3535" t="s">
        <v>11902</v>
      </c>
      <c r="F3535" t="s">
        <v>118</v>
      </c>
      <c r="G3535" t="str">
        <f>HYPERLINK("https://vk.com/wall-22935147_368044?reply=368063")</f>
        <v>https://vk.com/wall-22935147_368044?reply=368063</v>
      </c>
      <c r="H3535" t="s">
        <v>119</v>
      </c>
      <c r="I3535" t="s">
        <v>11903</v>
      </c>
      <c r="J3535" t="str">
        <f>HYPERLINK("http://vk.com/id545665087")</f>
        <v>http://vk.com/id545665087</v>
      </c>
      <c r="K3535">
        <v>20</v>
      </c>
      <c r="L3535" t="s">
        <v>121</v>
      </c>
      <c r="M3535">
        <v>45</v>
      </c>
      <c r="N3535" t="s">
        <v>122</v>
      </c>
      <c r="O3535" t="s">
        <v>1093</v>
      </c>
      <c r="P3535" t="str">
        <f>HYPERLINK("http://vk.com/club22935147")</f>
        <v>http://vk.com/club22935147</v>
      </c>
      <c r="Q3535">
        <v>8943</v>
      </c>
      <c r="R3535" t="s">
        <v>124</v>
      </c>
      <c r="S3535" t="s">
        <v>125</v>
      </c>
      <c r="T3535" t="s">
        <v>169</v>
      </c>
      <c r="U3535" t="s">
        <v>169</v>
      </c>
      <c r="W3535">
        <v>0</v>
      </c>
      <c r="X3535">
        <v>0</v>
      </c>
      <c r="AM3535" t="s">
        <v>129</v>
      </c>
      <c r="AN3535" t="s">
        <v>130</v>
      </c>
      <c r="AP3535" t="s">
        <v>41</v>
      </c>
      <c r="AU3535" t="s">
        <v>46</v>
      </c>
      <c r="AZ3535" t="s">
        <v>51</v>
      </c>
      <c r="BA3535" t="s">
        <v>52</v>
      </c>
    </row>
    <row r="3536" spans="1:90" x14ac:dyDescent="0.2">
      <c r="A3536" t="s">
        <v>11664</v>
      </c>
      <c r="B3536" t="s">
        <v>2204</v>
      </c>
      <c r="C3536" t="s">
        <v>11904</v>
      </c>
      <c r="D3536" t="s">
        <v>11905</v>
      </c>
      <c r="E3536" t="s">
        <v>11906</v>
      </c>
      <c r="F3536" t="s">
        <v>118</v>
      </c>
      <c r="G3536" t="str">
        <f>HYPERLINK("https://vk.com/wall-59316330_620777?reply=620948")</f>
        <v>https://vk.com/wall-59316330_620777?reply=620948</v>
      </c>
      <c r="H3536" t="s">
        <v>181</v>
      </c>
      <c r="I3536" t="s">
        <v>11907</v>
      </c>
      <c r="J3536" t="str">
        <f>HYPERLINK("http://vk.com/id653559268")</f>
        <v>http://vk.com/id653559268</v>
      </c>
      <c r="L3536" t="s">
        <v>121</v>
      </c>
      <c r="M3536">
        <v>55</v>
      </c>
      <c r="N3536" t="s">
        <v>122</v>
      </c>
      <c r="O3536" t="s">
        <v>11908</v>
      </c>
      <c r="P3536" t="str">
        <f>HYPERLINK("http://vk.com/club59316330")</f>
        <v>http://vk.com/club59316330</v>
      </c>
      <c r="Q3536">
        <v>16675</v>
      </c>
      <c r="R3536" t="s">
        <v>124</v>
      </c>
      <c r="S3536" t="s">
        <v>125</v>
      </c>
      <c r="T3536" t="s">
        <v>2225</v>
      </c>
      <c r="U3536" t="s">
        <v>2861</v>
      </c>
      <c r="AM3536" t="s">
        <v>129</v>
      </c>
      <c r="AN3536" t="s">
        <v>130</v>
      </c>
      <c r="AP3536" t="s">
        <v>41</v>
      </c>
      <c r="AT3536" t="s">
        <v>45</v>
      </c>
      <c r="AW3536" t="s">
        <v>48</v>
      </c>
      <c r="AZ3536" t="s">
        <v>51</v>
      </c>
      <c r="BA3536" t="s">
        <v>52</v>
      </c>
      <c r="BL3536" t="s">
        <v>63</v>
      </c>
      <c r="BM3536" t="s">
        <v>64</v>
      </c>
    </row>
    <row r="3537" spans="1:69" x14ac:dyDescent="0.2">
      <c r="A3537" t="s">
        <v>11664</v>
      </c>
      <c r="B3537" t="s">
        <v>11909</v>
      </c>
      <c r="C3537" t="s">
        <v>11910</v>
      </c>
      <c r="D3537" t="s">
        <v>11911</v>
      </c>
      <c r="E3537" t="s">
        <v>11912</v>
      </c>
      <c r="F3537" t="s">
        <v>118</v>
      </c>
      <c r="G3537" t="str">
        <f>HYPERLINK("https://vk.com/wall-61101621_254456?reply=254483")</f>
        <v>https://vk.com/wall-61101621_254456?reply=254483</v>
      </c>
      <c r="H3537" t="s">
        <v>119</v>
      </c>
      <c r="I3537" t="s">
        <v>2565</v>
      </c>
      <c r="J3537" t="str">
        <f>HYPERLINK("http://vk.com/id247785400")</f>
        <v>http://vk.com/id247785400</v>
      </c>
      <c r="K3537">
        <v>19</v>
      </c>
      <c r="L3537" t="s">
        <v>121</v>
      </c>
      <c r="M3537">
        <v>56</v>
      </c>
      <c r="N3537" t="s">
        <v>122</v>
      </c>
      <c r="O3537" t="s">
        <v>160</v>
      </c>
      <c r="P3537" t="str">
        <f>HYPERLINK("http://vk.com/club61101621")</f>
        <v>http://vk.com/club61101621</v>
      </c>
      <c r="Q3537">
        <v>21119</v>
      </c>
      <c r="R3537" t="s">
        <v>124</v>
      </c>
      <c r="S3537" t="s">
        <v>125</v>
      </c>
      <c r="T3537" t="s">
        <v>2566</v>
      </c>
      <c r="U3537" t="s">
        <v>2567</v>
      </c>
      <c r="W3537">
        <v>0</v>
      </c>
      <c r="X3537">
        <v>0</v>
      </c>
      <c r="AM3537" t="s">
        <v>129</v>
      </c>
      <c r="AN3537" t="s">
        <v>130</v>
      </c>
      <c r="AP3537" t="s">
        <v>41</v>
      </c>
      <c r="AZ3537" t="s">
        <v>51</v>
      </c>
      <c r="BD3537" t="s">
        <v>55</v>
      </c>
      <c r="BM3537" t="s">
        <v>64</v>
      </c>
    </row>
    <row r="3538" spans="1:69" x14ac:dyDescent="0.2">
      <c r="A3538" t="s">
        <v>11664</v>
      </c>
      <c r="B3538" t="s">
        <v>9737</v>
      </c>
      <c r="C3538" t="s">
        <v>11913</v>
      </c>
      <c r="D3538" t="s">
        <v>11914</v>
      </c>
      <c r="E3538" t="s">
        <v>11915</v>
      </c>
      <c r="F3538" t="s">
        <v>180</v>
      </c>
      <c r="G3538" t="str">
        <f>HYPERLINK("https://rspectr.com/novosti/62405/obzor-smi-vybor-redakcii-02-07-2021")</f>
        <v>https://rspectr.com/novosti/62405/obzor-smi-vybor-redakcii-02-07-2021</v>
      </c>
      <c r="H3538" t="s">
        <v>119</v>
      </c>
      <c r="N3538" t="s">
        <v>1012</v>
      </c>
      <c r="R3538" t="s">
        <v>785</v>
      </c>
      <c r="S3538" t="s">
        <v>125</v>
      </c>
      <c r="AJ3538" t="s">
        <v>129</v>
      </c>
      <c r="AK3538" t="s">
        <v>876</v>
      </c>
      <c r="AL3538" t="str">
        <f>HYPERLINK("https://rspectr.com/files/news/obzor_smi_-9a851df52b59d8e1311d382ce62d4665-9eb8673eb1c52c79675e50bc6da39604-thumb-800x450-662ffebc805dea9ba7b8897a69991892-ce8a21480fc8b25c4b170362d1e202c9.jpeg")</f>
        <v>https://rspectr.com/files/news/obzor_smi_-9a851df52b59d8e1311d382ce62d4665-9eb8673eb1c52c79675e50bc6da39604-thumb-800x450-662ffebc805dea9ba7b8897a69991892-ce8a21480fc8b25c4b170362d1e202c9.jpeg</v>
      </c>
      <c r="AM3538" t="s">
        <v>129</v>
      </c>
      <c r="AN3538" t="s">
        <v>130</v>
      </c>
      <c r="AV3538" t="s">
        <v>47</v>
      </c>
    </row>
    <row r="3539" spans="1:69" x14ac:dyDescent="0.2">
      <c r="A3539" t="s">
        <v>11664</v>
      </c>
      <c r="B3539" t="s">
        <v>9743</v>
      </c>
      <c r="C3539" t="s">
        <v>11803</v>
      </c>
      <c r="D3539" t="s">
        <v>11916</v>
      </c>
      <c r="E3539" t="s">
        <v>11917</v>
      </c>
      <c r="F3539" t="s">
        <v>180</v>
      </c>
      <c r="G3539" t="str">
        <f>HYPERLINK("https://www.wildberries.ru/catalog/13483949/detail.aspx?targetUrl=ES#Comments")</f>
        <v>https://www.wildberries.ru/catalog/13483949/detail.aspx?targetUrl=ES#Comments</v>
      </c>
      <c r="H3539" t="s">
        <v>181</v>
      </c>
      <c r="I3539" t="s">
        <v>10223</v>
      </c>
      <c r="J3539" t="str">
        <f>HYPERLINK("https://www.wildberries.ru/profile/w7TDssOkw7PCu8KwwrLCuMKzwrDCssKzwrY=")</f>
        <v>https://www.wildberries.ru/profile/w7TDssOkw7PCu8KwwrLCuMKzwrDCssKzwrY=</v>
      </c>
      <c r="L3539" t="s">
        <v>151</v>
      </c>
      <c r="N3539" t="s">
        <v>534</v>
      </c>
      <c r="O3539" t="s">
        <v>11916</v>
      </c>
      <c r="P3539" t="str">
        <f>HYPERLINK("https://www.wildberries.ru/catalog/10097142/detail.aspx")</f>
        <v>https://www.wildberries.ru/catalog/10097142/detail.aspx</v>
      </c>
      <c r="R3539" t="s">
        <v>184</v>
      </c>
      <c r="S3539" t="s">
        <v>125</v>
      </c>
      <c r="W3539">
        <v>0</v>
      </c>
      <c r="X3539">
        <v>0</v>
      </c>
      <c r="AH3539">
        <v>5</v>
      </c>
      <c r="AM3539" t="s">
        <v>129</v>
      </c>
      <c r="AN3539" t="s">
        <v>130</v>
      </c>
      <c r="AP3539" t="s">
        <v>41</v>
      </c>
      <c r="AT3539" t="s">
        <v>45</v>
      </c>
      <c r="AZ3539" t="s">
        <v>51</v>
      </c>
      <c r="BA3539" t="s">
        <v>52</v>
      </c>
      <c r="BL3539" t="s">
        <v>63</v>
      </c>
    </row>
    <row r="3540" spans="1:69" x14ac:dyDescent="0.2">
      <c r="A3540" t="s">
        <v>11664</v>
      </c>
      <c r="B3540" t="s">
        <v>9743</v>
      </c>
      <c r="C3540" t="s">
        <v>11803</v>
      </c>
      <c r="D3540" t="s">
        <v>11916</v>
      </c>
      <c r="E3540" t="s">
        <v>4761</v>
      </c>
      <c r="F3540" t="s">
        <v>118</v>
      </c>
      <c r="G3540" t="str">
        <f>HYPERLINK("https://www.wildberries.ru/catalog/13483949/detail.aspx?targetUrl=ES#Comments")</f>
        <v>https://www.wildberries.ru/catalog/13483949/detail.aspx?targetUrl=ES#Comments</v>
      </c>
      <c r="H3540" t="s">
        <v>119</v>
      </c>
      <c r="I3540" t="s">
        <v>3023</v>
      </c>
      <c r="J3540" t="str">
        <f>HYPERLINK("https://www.wildberries.ru/brands/trikolor")</f>
        <v>https://www.wildberries.ru/brands/trikolor</v>
      </c>
      <c r="L3540" t="s">
        <v>340</v>
      </c>
      <c r="N3540" t="s">
        <v>534</v>
      </c>
      <c r="O3540" t="s">
        <v>11916</v>
      </c>
      <c r="P3540" t="str">
        <f>HYPERLINK("https://www.wildberries.ru/catalog/10097142/detail.aspx")</f>
        <v>https://www.wildberries.ru/catalog/10097142/detail.aspx</v>
      </c>
      <c r="R3540" t="s">
        <v>184</v>
      </c>
      <c r="S3540" t="s">
        <v>125</v>
      </c>
      <c r="AM3540" t="s">
        <v>129</v>
      </c>
      <c r="AN3540" t="s">
        <v>130</v>
      </c>
      <c r="BI3540" t="s">
        <v>60</v>
      </c>
    </row>
    <row r="3541" spans="1:69" x14ac:dyDescent="0.2">
      <c r="A3541" t="s">
        <v>11664</v>
      </c>
      <c r="B3541" t="s">
        <v>6906</v>
      </c>
      <c r="C3541" t="s">
        <v>11918</v>
      </c>
      <c r="D3541" t="s">
        <v>11919</v>
      </c>
      <c r="E3541" t="s">
        <v>11920</v>
      </c>
      <c r="F3541" t="s">
        <v>180</v>
      </c>
      <c r="G3541" t="str">
        <f>HYPERLINK("https://telesputnik.ru/forum/viewtopic.php?f=36&amp;t=36698&amp;start=10280#p2478939")</f>
        <v>https://telesputnik.ru/forum/viewtopic.php?f=36&amp;t=36698&amp;start=10280#p2478939</v>
      </c>
      <c r="H3541" t="s">
        <v>119</v>
      </c>
      <c r="I3541" t="s">
        <v>1789</v>
      </c>
      <c r="J3541" t="str">
        <f>HYPERLINK("https://telesputnik.ru/forum/memberlist.php?mode=viewprofile&amp;u=50240")</f>
        <v>https://telesputnik.ru/forum/memberlist.php?mode=viewprofile&amp;u=50240</v>
      </c>
      <c r="N3541" t="s">
        <v>335</v>
      </c>
      <c r="O3541" t="s">
        <v>909</v>
      </c>
      <c r="P3541" t="str">
        <f>HYPERLINK("https://telesputnik.ru/forum/viewforum.php?f=36")</f>
        <v>https://telesputnik.ru/forum/viewforum.php?f=36</v>
      </c>
      <c r="R3541" t="s">
        <v>295</v>
      </c>
      <c r="S3541" t="s">
        <v>125</v>
      </c>
      <c r="AM3541" t="s">
        <v>129</v>
      </c>
      <c r="AN3541" t="s">
        <v>130</v>
      </c>
      <c r="AP3541" t="s">
        <v>41</v>
      </c>
      <c r="AU3541" t="s">
        <v>46</v>
      </c>
      <c r="AZ3541" t="s">
        <v>51</v>
      </c>
      <c r="BA3541" t="s">
        <v>52</v>
      </c>
    </row>
    <row r="3542" spans="1:69" x14ac:dyDescent="0.2">
      <c r="A3542" t="s">
        <v>11664</v>
      </c>
      <c r="B3542" t="s">
        <v>3569</v>
      </c>
      <c r="C3542" t="s">
        <v>11921</v>
      </c>
      <c r="D3542" t="s">
        <v>11922</v>
      </c>
      <c r="E3542" t="s">
        <v>11923</v>
      </c>
      <c r="F3542" t="s">
        <v>118</v>
      </c>
      <c r="G3542" t="str">
        <f>HYPERLINK("https://vk.com/wall-27863223_291334?reply=291372")</f>
        <v>https://vk.com/wall-27863223_291334?reply=291372</v>
      </c>
      <c r="H3542" t="s">
        <v>119</v>
      </c>
      <c r="I3542" t="s">
        <v>11924</v>
      </c>
      <c r="J3542" t="str">
        <f>HYPERLINK("http://vk.com/id531025171")</f>
        <v>http://vk.com/id531025171</v>
      </c>
      <c r="M3542">
        <v>50</v>
      </c>
      <c r="N3542" t="s">
        <v>122</v>
      </c>
      <c r="O3542" t="s">
        <v>175</v>
      </c>
      <c r="P3542" t="str">
        <f>HYPERLINK("http://vk.com/club27863223")</f>
        <v>http://vk.com/club27863223</v>
      </c>
      <c r="Q3542">
        <v>134698</v>
      </c>
      <c r="R3542" t="s">
        <v>124</v>
      </c>
      <c r="W3542">
        <v>0</v>
      </c>
      <c r="X3542">
        <v>0</v>
      </c>
      <c r="AM3542" t="s">
        <v>129</v>
      </c>
      <c r="AN3542" t="s">
        <v>130</v>
      </c>
      <c r="AP3542" t="s">
        <v>41</v>
      </c>
      <c r="AZ3542" t="s">
        <v>51</v>
      </c>
      <c r="BA3542" t="s">
        <v>52</v>
      </c>
      <c r="BQ3542" t="s">
        <v>68</v>
      </c>
    </row>
    <row r="3543" spans="1:69" x14ac:dyDescent="0.2">
      <c r="A3543" t="s">
        <v>11664</v>
      </c>
      <c r="B3543" t="s">
        <v>8692</v>
      </c>
      <c r="C3543" t="s">
        <v>11925</v>
      </c>
      <c r="D3543" t="s">
        <v>11926</v>
      </c>
      <c r="E3543" t="s">
        <v>11927</v>
      </c>
      <c r="F3543" t="s">
        <v>118</v>
      </c>
      <c r="G3543" t="str">
        <f>HYPERLINK("https://vk.com/wall-16462767_658288?reply=658541")</f>
        <v>https://vk.com/wall-16462767_658288?reply=658541</v>
      </c>
      <c r="H3543" t="s">
        <v>119</v>
      </c>
      <c r="I3543" t="s">
        <v>11928</v>
      </c>
      <c r="J3543" t="str">
        <f>HYPERLINK("http://vk.com/id341656351")</f>
        <v>http://vk.com/id341656351</v>
      </c>
      <c r="K3543">
        <v>84</v>
      </c>
      <c r="L3543" t="s">
        <v>151</v>
      </c>
      <c r="N3543" t="s">
        <v>122</v>
      </c>
      <c r="O3543" t="s">
        <v>11929</v>
      </c>
      <c r="P3543" t="str">
        <f>HYPERLINK("http://vk.com/club16462767")</f>
        <v>http://vk.com/club16462767</v>
      </c>
      <c r="Q3543">
        <v>469718</v>
      </c>
      <c r="R3543" t="s">
        <v>124</v>
      </c>
      <c r="S3543" t="s">
        <v>125</v>
      </c>
      <c r="T3543" t="s">
        <v>487</v>
      </c>
      <c r="U3543" t="s">
        <v>488</v>
      </c>
      <c r="AM3543" t="s">
        <v>129</v>
      </c>
      <c r="AN3543" t="s">
        <v>130</v>
      </c>
      <c r="AP3543" t="s">
        <v>41</v>
      </c>
      <c r="AZ3543" t="s">
        <v>51</v>
      </c>
      <c r="BB3543" t="s">
        <v>53</v>
      </c>
    </row>
    <row r="3544" spans="1:69" x14ac:dyDescent="0.2">
      <c r="A3544" t="s">
        <v>11664</v>
      </c>
      <c r="B3544" t="s">
        <v>685</v>
      </c>
      <c r="C3544" t="s">
        <v>11930</v>
      </c>
      <c r="D3544" t="s">
        <v>204</v>
      </c>
      <c r="E3544" t="s">
        <v>11931</v>
      </c>
      <c r="F3544" t="s">
        <v>180</v>
      </c>
      <c r="G3544" t="str">
        <f>HYPERLINK("https://play.google.com/store/apps/details?id=ru.iflex.android.a3colortv&amp;reviewId=gp:AOqpTOF-8L6dQoes10IJH251GKTRiThgfKQed3Z5XD3ck1rjuaykl_Z0v4Q86u95_fviCfclqqjl4c2vg-896A")</f>
        <v>https://play.google.com/store/apps/details?id=ru.iflex.android.a3colortv&amp;reviewId=gp:AOqpTOF-8L6dQoes10IJH251GKTRiThgfKQed3Z5XD3ck1rjuaykl_Z0v4Q86u95_fviCfclqqjl4c2vg-896A</v>
      </c>
      <c r="H3544" t="s">
        <v>181</v>
      </c>
      <c r="I3544" t="s">
        <v>11932</v>
      </c>
      <c r="J3544" t="str">
        <f>HYPERLINK("https://plus.google.com/117903039736128106397")</f>
        <v>https://plus.google.com/117903039736128106397</v>
      </c>
      <c r="L3544" t="s">
        <v>121</v>
      </c>
      <c r="N3544" t="s">
        <v>207</v>
      </c>
      <c r="O3544" t="s">
        <v>204</v>
      </c>
      <c r="P3544" t="str">
        <f>HYPERLINK("https://play.google.com/store/apps/details?id=ru.iflex.android.a3colortv&amp;hl=ru")</f>
        <v>https://play.google.com/store/apps/details?id=ru.iflex.android.a3colortv&amp;hl=ru</v>
      </c>
      <c r="R3544" t="s">
        <v>184</v>
      </c>
      <c r="S3544" t="s">
        <v>125</v>
      </c>
      <c r="W3544">
        <v>0</v>
      </c>
      <c r="X3544">
        <v>0</v>
      </c>
      <c r="AH3544">
        <v>5</v>
      </c>
      <c r="AM3544" t="s">
        <v>129</v>
      </c>
      <c r="AN3544" t="s">
        <v>130</v>
      </c>
      <c r="AP3544" t="s">
        <v>41</v>
      </c>
      <c r="AZ3544" t="s">
        <v>51</v>
      </c>
      <c r="BA3544" t="s">
        <v>52</v>
      </c>
      <c r="BQ3544" t="s">
        <v>68</v>
      </c>
    </row>
    <row r="3545" spans="1:69" x14ac:dyDescent="0.2">
      <c r="A3545" t="s">
        <v>11664</v>
      </c>
      <c r="B3545" t="s">
        <v>3991</v>
      </c>
      <c r="C3545" t="s">
        <v>11615</v>
      </c>
      <c r="D3545" t="s">
        <v>11616</v>
      </c>
      <c r="E3545" t="s">
        <v>11933</v>
      </c>
      <c r="F3545" t="s">
        <v>118</v>
      </c>
      <c r="G3545" t="str">
        <f>HYPERLINK("https://otzovik.com/review_12104920.html#89762128")</f>
        <v>https://otzovik.com/review_12104920.html#89762128</v>
      </c>
      <c r="H3545" t="s">
        <v>119</v>
      </c>
      <c r="I3545" t="s">
        <v>4551</v>
      </c>
      <c r="J3545" t="str">
        <f>HYPERLINK("http://otzovik.com/profile/aepihin70")</f>
        <v>http://otzovik.com/profile/aepihin70</v>
      </c>
      <c r="N3545" t="s">
        <v>390</v>
      </c>
      <c r="O3545" t="s">
        <v>1067</v>
      </c>
      <c r="P3545" t="str">
        <f>HYPERLINK("https://otzovik.com/reviews/sputnikovoe_televidenie_trikolor_tv/")</f>
        <v>https://otzovik.com/reviews/sputnikovoe_televidenie_trikolor_tv/</v>
      </c>
      <c r="R3545" t="s">
        <v>184</v>
      </c>
      <c r="S3545" t="s">
        <v>125</v>
      </c>
      <c r="AM3545" t="s">
        <v>129</v>
      </c>
      <c r="AN3545" t="s">
        <v>130</v>
      </c>
      <c r="AP3545" t="s">
        <v>41</v>
      </c>
      <c r="AU3545" t="s">
        <v>46</v>
      </c>
      <c r="AZ3545" t="s">
        <v>51</v>
      </c>
      <c r="BA3545" t="s">
        <v>52</v>
      </c>
    </row>
    <row r="3546" spans="1:69" x14ac:dyDescent="0.2">
      <c r="A3546" t="s">
        <v>11664</v>
      </c>
      <c r="B3546" t="s">
        <v>10029</v>
      </c>
      <c r="C3546" t="s">
        <v>11934</v>
      </c>
      <c r="D3546" t="s">
        <v>11395</v>
      </c>
      <c r="E3546" t="s">
        <v>11935</v>
      </c>
      <c r="F3546" t="s">
        <v>118</v>
      </c>
      <c r="G3546" t="str">
        <f>HYPERLINK("https://vk.com/wall-22935147_368046?reply=368062")</f>
        <v>https://vk.com/wall-22935147_368046?reply=368062</v>
      </c>
      <c r="H3546" t="s">
        <v>119</v>
      </c>
      <c r="I3546" t="s">
        <v>4699</v>
      </c>
      <c r="J3546" t="str">
        <f>HYPERLINK("http://vk.com/id282258755")</f>
        <v>http://vk.com/id282258755</v>
      </c>
      <c r="K3546">
        <v>953</v>
      </c>
      <c r="L3546" t="s">
        <v>121</v>
      </c>
      <c r="M3546">
        <v>20</v>
      </c>
      <c r="N3546" t="s">
        <v>122</v>
      </c>
      <c r="O3546" t="s">
        <v>1093</v>
      </c>
      <c r="P3546" t="str">
        <f>HYPERLINK("http://vk.com/club22935147")</f>
        <v>http://vk.com/club22935147</v>
      </c>
      <c r="Q3546">
        <v>8943</v>
      </c>
      <c r="R3546" t="s">
        <v>124</v>
      </c>
      <c r="S3546" t="s">
        <v>125</v>
      </c>
      <c r="T3546" t="s">
        <v>487</v>
      </c>
      <c r="U3546" t="s">
        <v>488</v>
      </c>
      <c r="AM3546" t="s">
        <v>129</v>
      </c>
      <c r="AN3546" t="s">
        <v>130</v>
      </c>
      <c r="AP3546" t="s">
        <v>41</v>
      </c>
      <c r="AW3546" t="s">
        <v>48</v>
      </c>
      <c r="AZ3546" t="s">
        <v>51</v>
      </c>
      <c r="BA3546" t="s">
        <v>52</v>
      </c>
      <c r="BM3546" t="s">
        <v>64</v>
      </c>
    </row>
    <row r="3547" spans="1:69" x14ac:dyDescent="0.2">
      <c r="A3547" t="s">
        <v>11664</v>
      </c>
      <c r="B3547" t="s">
        <v>4481</v>
      </c>
      <c r="C3547" t="s">
        <v>11936</v>
      </c>
      <c r="D3547" t="s">
        <v>11395</v>
      </c>
      <c r="E3547" t="s">
        <v>11937</v>
      </c>
      <c r="F3547" t="s">
        <v>118</v>
      </c>
      <c r="G3547" t="str">
        <f>HYPERLINK("https://vk.com/wall-22935147_368046?reply=368061")</f>
        <v>https://vk.com/wall-22935147_368046?reply=368061</v>
      </c>
      <c r="H3547" t="s">
        <v>119</v>
      </c>
      <c r="I3547" t="s">
        <v>4699</v>
      </c>
      <c r="J3547" t="str">
        <f>HYPERLINK("http://vk.com/id282258755")</f>
        <v>http://vk.com/id282258755</v>
      </c>
      <c r="K3547">
        <v>953</v>
      </c>
      <c r="L3547" t="s">
        <v>121</v>
      </c>
      <c r="M3547">
        <v>20</v>
      </c>
      <c r="N3547" t="s">
        <v>122</v>
      </c>
      <c r="O3547" t="s">
        <v>1093</v>
      </c>
      <c r="P3547" t="str">
        <f>HYPERLINK("http://vk.com/club22935147")</f>
        <v>http://vk.com/club22935147</v>
      </c>
      <c r="Q3547">
        <v>8943</v>
      </c>
      <c r="R3547" t="s">
        <v>124</v>
      </c>
      <c r="S3547" t="s">
        <v>125</v>
      </c>
      <c r="T3547" t="s">
        <v>487</v>
      </c>
      <c r="U3547" t="s">
        <v>488</v>
      </c>
      <c r="AM3547" t="s">
        <v>129</v>
      </c>
      <c r="AN3547" t="s">
        <v>130</v>
      </c>
      <c r="AP3547" t="s">
        <v>41</v>
      </c>
      <c r="AW3547" t="s">
        <v>48</v>
      </c>
      <c r="AZ3547" t="s">
        <v>51</v>
      </c>
      <c r="BA3547" t="s">
        <v>52</v>
      </c>
      <c r="BM3547" t="s">
        <v>64</v>
      </c>
    </row>
    <row r="3548" spans="1:69" x14ac:dyDescent="0.2">
      <c r="A3548" t="s">
        <v>11664</v>
      </c>
      <c r="B3548" t="s">
        <v>11938</v>
      </c>
      <c r="C3548" t="s">
        <v>11939</v>
      </c>
      <c r="D3548" t="s">
        <v>4373</v>
      </c>
      <c r="E3548" t="s">
        <v>11940</v>
      </c>
      <c r="F3548" t="s">
        <v>118</v>
      </c>
      <c r="G3548" t="str">
        <f>HYPERLINK("https://vk.com/wall-59270260_1297468?reply=1297477")</f>
        <v>https://vk.com/wall-59270260_1297468?reply=1297477</v>
      </c>
      <c r="H3548" t="s">
        <v>119</v>
      </c>
      <c r="I3548" t="s">
        <v>11771</v>
      </c>
      <c r="J3548" t="str">
        <f>HYPERLINK("http://vk.com/id96164309")</f>
        <v>http://vk.com/id96164309</v>
      </c>
      <c r="K3548">
        <v>68</v>
      </c>
      <c r="L3548" t="s">
        <v>121</v>
      </c>
      <c r="N3548" t="s">
        <v>122</v>
      </c>
      <c r="O3548" t="s">
        <v>4376</v>
      </c>
      <c r="P3548" t="str">
        <f>HYPERLINK("http://vk.com/club59270260")</f>
        <v>http://vk.com/club59270260</v>
      </c>
      <c r="Q3548">
        <v>200899</v>
      </c>
      <c r="R3548" t="s">
        <v>124</v>
      </c>
      <c r="S3548" t="s">
        <v>125</v>
      </c>
      <c r="T3548" t="s">
        <v>230</v>
      </c>
      <c r="U3548" t="s">
        <v>231</v>
      </c>
      <c r="AM3548" t="s">
        <v>129</v>
      </c>
      <c r="AN3548" t="s">
        <v>130</v>
      </c>
      <c r="AP3548" t="s">
        <v>41</v>
      </c>
      <c r="AU3548" t="s">
        <v>46</v>
      </c>
      <c r="AZ3548" t="s">
        <v>51</v>
      </c>
      <c r="BA3548" t="s">
        <v>52</v>
      </c>
    </row>
    <row r="3549" spans="1:69" x14ac:dyDescent="0.2">
      <c r="A3549" t="s">
        <v>11664</v>
      </c>
      <c r="B3549" t="s">
        <v>4014</v>
      </c>
      <c r="C3549" t="s">
        <v>11941</v>
      </c>
      <c r="D3549" t="s">
        <v>129</v>
      </c>
      <c r="E3549" t="s">
        <v>11942</v>
      </c>
      <c r="F3549" t="s">
        <v>180</v>
      </c>
      <c r="G3549" t="str">
        <f>HYPERLINK("https://twitter.com/259771708/status/1410789483910512640")</f>
        <v>https://twitter.com/259771708/status/1410789483910512640</v>
      </c>
      <c r="H3549" t="s">
        <v>228</v>
      </c>
      <c r="I3549" t="s">
        <v>11943</v>
      </c>
      <c r="J3549" t="str">
        <f>HYPERLINK("http://twitter.com/KremlinDoc")</f>
        <v>http://twitter.com/KremlinDoc</v>
      </c>
      <c r="K3549">
        <v>1834</v>
      </c>
      <c r="N3549" t="s">
        <v>350</v>
      </c>
      <c r="R3549" t="s">
        <v>124</v>
      </c>
      <c r="S3549" t="s">
        <v>125</v>
      </c>
      <c r="T3549" t="s">
        <v>1229</v>
      </c>
      <c r="U3549" t="s">
        <v>11944</v>
      </c>
      <c r="W3549">
        <v>2</v>
      </c>
      <c r="X3549">
        <v>2</v>
      </c>
      <c r="AE3549">
        <v>1</v>
      </c>
      <c r="AF3549">
        <v>0</v>
      </c>
      <c r="AM3549" t="s">
        <v>129</v>
      </c>
      <c r="AN3549" t="s">
        <v>130</v>
      </c>
      <c r="AP3549" t="s">
        <v>41</v>
      </c>
      <c r="AT3549" t="s">
        <v>45</v>
      </c>
      <c r="AU3549" t="s">
        <v>46</v>
      </c>
      <c r="AY3549" t="s">
        <v>50</v>
      </c>
      <c r="AZ3549" t="s">
        <v>51</v>
      </c>
      <c r="BA3549" t="s">
        <v>52</v>
      </c>
    </row>
    <row r="3550" spans="1:69" x14ac:dyDescent="0.2">
      <c r="A3550" t="s">
        <v>11664</v>
      </c>
      <c r="B3550" t="s">
        <v>6937</v>
      </c>
      <c r="C3550" t="s">
        <v>11945</v>
      </c>
      <c r="D3550" t="s">
        <v>11395</v>
      </c>
      <c r="E3550" t="s">
        <v>11946</v>
      </c>
      <c r="F3550" t="s">
        <v>118</v>
      </c>
      <c r="G3550" t="str">
        <f>HYPERLINK("https://vk.com/wall-22935147_368046?reply=368060")</f>
        <v>https://vk.com/wall-22935147_368046?reply=368060</v>
      </c>
      <c r="H3550" t="s">
        <v>119</v>
      </c>
      <c r="I3550" t="s">
        <v>9836</v>
      </c>
      <c r="J3550" t="str">
        <f>HYPERLINK("http://vk.com/id106840295")</f>
        <v>http://vk.com/id106840295</v>
      </c>
      <c r="K3550">
        <v>35</v>
      </c>
      <c r="L3550" t="s">
        <v>121</v>
      </c>
      <c r="N3550" t="s">
        <v>122</v>
      </c>
      <c r="O3550" t="s">
        <v>1093</v>
      </c>
      <c r="P3550" t="str">
        <f>HYPERLINK("http://vk.com/club22935147")</f>
        <v>http://vk.com/club22935147</v>
      </c>
      <c r="Q3550">
        <v>8943</v>
      </c>
      <c r="R3550" t="s">
        <v>124</v>
      </c>
      <c r="S3550" t="s">
        <v>125</v>
      </c>
      <c r="W3550">
        <v>0</v>
      </c>
      <c r="X3550">
        <v>0</v>
      </c>
      <c r="AM3550" t="s">
        <v>129</v>
      </c>
      <c r="AN3550" t="s">
        <v>130</v>
      </c>
      <c r="AP3550" t="s">
        <v>41</v>
      </c>
      <c r="AT3550" t="s">
        <v>45</v>
      </c>
      <c r="AZ3550" t="s">
        <v>51</v>
      </c>
      <c r="BA3550" t="s">
        <v>52</v>
      </c>
    </row>
    <row r="3551" spans="1:69" x14ac:dyDescent="0.2">
      <c r="A3551" t="s">
        <v>11664</v>
      </c>
      <c r="B3551" t="s">
        <v>5891</v>
      </c>
      <c r="C3551" t="s">
        <v>11947</v>
      </c>
      <c r="D3551" t="s">
        <v>5893</v>
      </c>
      <c r="E3551" t="s">
        <v>5894</v>
      </c>
      <c r="F3551" t="s">
        <v>180</v>
      </c>
      <c r="G3551" t="str">
        <f>HYPERLINK("https://0412ua.com/ukraina/item/62380-1625177287")</f>
        <v>https://0412ua.com/ukraina/item/62380-1625177287</v>
      </c>
      <c r="H3551" t="s">
        <v>119</v>
      </c>
      <c r="N3551" t="s">
        <v>11948</v>
      </c>
      <c r="R3551" t="s">
        <v>785</v>
      </c>
      <c r="AJ3551" t="s">
        <v>5896</v>
      </c>
      <c r="AK3551" t="s">
        <v>5897</v>
      </c>
      <c r="AL3551" t="str">
        <f>HYPERLINK("https://kompromat.wiki/images/thumb/7/73/Shamalov02-1.jpg/300px-Shamalov02-1.jpg")</f>
        <v>https://kompromat.wiki/images/thumb/7/73/Shamalov02-1.jpg/300px-Shamalov02-1.jpg</v>
      </c>
      <c r="AM3551" t="s">
        <v>129</v>
      </c>
      <c r="AN3551" t="s">
        <v>130</v>
      </c>
      <c r="AV3551" t="s">
        <v>47</v>
      </c>
    </row>
    <row r="3552" spans="1:69" x14ac:dyDescent="0.2">
      <c r="A3552" t="s">
        <v>11664</v>
      </c>
      <c r="B3552" t="s">
        <v>5891</v>
      </c>
      <c r="C3552" t="s">
        <v>11740</v>
      </c>
      <c r="D3552" t="s">
        <v>11949</v>
      </c>
      <c r="E3552" t="s">
        <v>11950</v>
      </c>
      <c r="F3552" t="s">
        <v>180</v>
      </c>
      <c r="G3552" t="str">
        <f>HYPERLINK("http://www.iksmedia.ru/news/5841225-Ustanovleny-osobennosti-televizionn.html")</f>
        <v>http://www.iksmedia.ru/news/5841225-Ustanovleny-osobennosti-televizionn.html</v>
      </c>
      <c r="H3552" t="s">
        <v>119</v>
      </c>
      <c r="N3552" t="s">
        <v>1235</v>
      </c>
      <c r="R3552" t="s">
        <v>785</v>
      </c>
      <c r="S3552" t="s">
        <v>125</v>
      </c>
      <c r="AJ3552" t="s">
        <v>129</v>
      </c>
      <c r="AK3552" t="s">
        <v>129</v>
      </c>
      <c r="AL3552" t="str">
        <f>HYPERLINK("http://www.iksmedia.ru/images/logos/ikslogo-200.jpg")</f>
        <v>http://www.iksmedia.ru/images/logos/ikslogo-200.jpg</v>
      </c>
      <c r="AM3552" t="s">
        <v>129</v>
      </c>
      <c r="AN3552" t="s">
        <v>130</v>
      </c>
      <c r="AV3552" t="s">
        <v>47</v>
      </c>
    </row>
    <row r="3553" spans="1:69" x14ac:dyDescent="0.2">
      <c r="A3553" t="s">
        <v>11664</v>
      </c>
      <c r="B3553" t="s">
        <v>1839</v>
      </c>
      <c r="C3553" t="s">
        <v>11951</v>
      </c>
      <c r="D3553" t="s">
        <v>11952</v>
      </c>
      <c r="E3553" t="s">
        <v>11953</v>
      </c>
      <c r="F3553" t="s">
        <v>180</v>
      </c>
      <c r="G3553" t="str">
        <f>HYPERLINK("https://otzovik.com/review_12122018.html")</f>
        <v>https://otzovik.com/review_12122018.html</v>
      </c>
      <c r="H3553" t="s">
        <v>181</v>
      </c>
      <c r="I3553" t="s">
        <v>11954</v>
      </c>
      <c r="J3553" t="str">
        <f>HYPERLINK("http://otzovik.com/profile/Graffa2")</f>
        <v>http://otzovik.com/profile/Graffa2</v>
      </c>
      <c r="N3553" t="s">
        <v>390</v>
      </c>
      <c r="O3553" t="s">
        <v>11955</v>
      </c>
      <c r="P3553" t="str">
        <f>HYPERLINK("https://otzovik.com/reviews/magazin_sputnik_timashevsk/")</f>
        <v>https://otzovik.com/reviews/magazin_sputnik_timashevsk/</v>
      </c>
      <c r="R3553" t="s">
        <v>184</v>
      </c>
      <c r="S3553" t="s">
        <v>125</v>
      </c>
      <c r="T3553" t="s">
        <v>759</v>
      </c>
      <c r="U3553" t="s">
        <v>2080</v>
      </c>
      <c r="W3553">
        <v>0</v>
      </c>
      <c r="X3553">
        <v>0</v>
      </c>
      <c r="AE3553">
        <v>0</v>
      </c>
      <c r="AH3553">
        <v>5</v>
      </c>
      <c r="AM3553" t="s">
        <v>129</v>
      </c>
      <c r="AN3553" t="s">
        <v>130</v>
      </c>
      <c r="AP3553" t="s">
        <v>41</v>
      </c>
      <c r="AT3553" t="s">
        <v>45</v>
      </c>
      <c r="AX3553" t="s">
        <v>49</v>
      </c>
      <c r="AZ3553" t="s">
        <v>51</v>
      </c>
      <c r="BA3553" t="s">
        <v>52</v>
      </c>
      <c r="BK3553" t="s">
        <v>62</v>
      </c>
      <c r="BL3553" t="s">
        <v>63</v>
      </c>
    </row>
    <row r="3554" spans="1:69" x14ac:dyDescent="0.2">
      <c r="A3554" t="s">
        <v>11664</v>
      </c>
      <c r="B3554" t="s">
        <v>11956</v>
      </c>
      <c r="C3554" t="s">
        <v>11957</v>
      </c>
      <c r="D3554" t="s">
        <v>11395</v>
      </c>
      <c r="E3554" t="s">
        <v>11958</v>
      </c>
      <c r="F3554" t="s">
        <v>118</v>
      </c>
      <c r="G3554" t="str">
        <f>HYPERLINK("https://vk.com/wall-22935147_368046?reply=368059")</f>
        <v>https://vk.com/wall-22935147_368046?reply=368059</v>
      </c>
      <c r="H3554" t="s">
        <v>119</v>
      </c>
      <c r="I3554" t="s">
        <v>10966</v>
      </c>
      <c r="J3554" t="str">
        <f>HYPERLINK("http://vk.com/id282022969")</f>
        <v>http://vk.com/id282022969</v>
      </c>
      <c r="K3554">
        <v>106</v>
      </c>
      <c r="L3554" t="s">
        <v>121</v>
      </c>
      <c r="N3554" t="s">
        <v>122</v>
      </c>
      <c r="O3554" t="s">
        <v>1093</v>
      </c>
      <c r="P3554" t="str">
        <f>HYPERLINK("http://vk.com/club22935147")</f>
        <v>http://vk.com/club22935147</v>
      </c>
      <c r="Q3554">
        <v>8943</v>
      </c>
      <c r="R3554" t="s">
        <v>124</v>
      </c>
      <c r="S3554" t="s">
        <v>125</v>
      </c>
      <c r="T3554" t="s">
        <v>3890</v>
      </c>
      <c r="U3554" t="s">
        <v>10967</v>
      </c>
      <c r="AM3554" t="s">
        <v>129</v>
      </c>
      <c r="AN3554" t="s">
        <v>130</v>
      </c>
      <c r="AP3554" t="s">
        <v>41</v>
      </c>
      <c r="AU3554" t="s">
        <v>46</v>
      </c>
      <c r="AZ3554" t="s">
        <v>51</v>
      </c>
      <c r="BA3554" t="s">
        <v>52</v>
      </c>
      <c r="BL3554" t="s">
        <v>63</v>
      </c>
    </row>
    <row r="3555" spans="1:69" x14ac:dyDescent="0.2">
      <c r="A3555" t="s">
        <v>11664</v>
      </c>
      <c r="B3555" t="s">
        <v>11959</v>
      </c>
      <c r="C3555" t="s">
        <v>11960</v>
      </c>
      <c r="D3555" t="s">
        <v>11616</v>
      </c>
      <c r="E3555" t="s">
        <v>11961</v>
      </c>
      <c r="F3555" t="s">
        <v>118</v>
      </c>
      <c r="G3555" t="str">
        <f>HYPERLINK("https://otzovik.com/review_12104920.html#89761178")</f>
        <v>https://otzovik.com/review_12104920.html#89761178</v>
      </c>
      <c r="H3555" t="s">
        <v>119</v>
      </c>
      <c r="I3555" t="s">
        <v>11687</v>
      </c>
      <c r="J3555" t="str">
        <f>HYPERLINK("http://otzovik.com/profile/kisa7")</f>
        <v>http://otzovik.com/profile/kisa7</v>
      </c>
      <c r="N3555" t="s">
        <v>390</v>
      </c>
      <c r="O3555" t="s">
        <v>1067</v>
      </c>
      <c r="P3555" t="str">
        <f>HYPERLINK("https://otzovik.com/reviews/sputnikovoe_televidenie_trikolor_tv/")</f>
        <v>https://otzovik.com/reviews/sputnikovoe_televidenie_trikolor_tv/</v>
      </c>
      <c r="R3555" t="s">
        <v>184</v>
      </c>
      <c r="S3555" t="s">
        <v>125</v>
      </c>
      <c r="AM3555" t="s">
        <v>129</v>
      </c>
      <c r="AN3555" t="s">
        <v>130</v>
      </c>
      <c r="AP3555" t="s">
        <v>41</v>
      </c>
      <c r="AZ3555" t="s">
        <v>51</v>
      </c>
      <c r="BA3555" t="s">
        <v>52</v>
      </c>
      <c r="BM3555" t="s">
        <v>64</v>
      </c>
    </row>
    <row r="3556" spans="1:69" x14ac:dyDescent="0.2">
      <c r="A3556" t="s">
        <v>11664</v>
      </c>
      <c r="B3556" t="s">
        <v>11959</v>
      </c>
      <c r="C3556" t="s">
        <v>11962</v>
      </c>
      <c r="D3556" t="s">
        <v>11671</v>
      </c>
      <c r="E3556" t="s">
        <v>11963</v>
      </c>
      <c r="F3556" t="s">
        <v>118</v>
      </c>
      <c r="G3556" t="str">
        <f>HYPERLINK("https://vk.com/wall-54813709_465057?reply=465135")</f>
        <v>https://vk.com/wall-54813709_465057?reply=465135</v>
      </c>
      <c r="H3556" t="s">
        <v>181</v>
      </c>
      <c r="I3556" t="s">
        <v>11964</v>
      </c>
      <c r="J3556" t="str">
        <f>HYPERLINK("http://vk.com/id15377152")</f>
        <v>http://vk.com/id15377152</v>
      </c>
      <c r="K3556">
        <v>60</v>
      </c>
      <c r="L3556" t="s">
        <v>121</v>
      </c>
      <c r="N3556" t="s">
        <v>122</v>
      </c>
      <c r="O3556" t="s">
        <v>11674</v>
      </c>
      <c r="P3556" t="str">
        <f>HYPERLINK("http://vk.com/club54813709")</f>
        <v>http://vk.com/club54813709</v>
      </c>
      <c r="Q3556">
        <v>26749</v>
      </c>
      <c r="R3556" t="s">
        <v>124</v>
      </c>
      <c r="S3556" t="s">
        <v>125</v>
      </c>
      <c r="T3556" t="s">
        <v>169</v>
      </c>
      <c r="U3556" t="s">
        <v>169</v>
      </c>
      <c r="AM3556" t="s">
        <v>129</v>
      </c>
      <c r="AN3556" t="s">
        <v>130</v>
      </c>
      <c r="AP3556" t="s">
        <v>41</v>
      </c>
      <c r="AW3556" t="s">
        <v>48</v>
      </c>
      <c r="AZ3556" t="s">
        <v>51</v>
      </c>
      <c r="BA3556" t="s">
        <v>52</v>
      </c>
    </row>
    <row r="3557" spans="1:69" x14ac:dyDescent="0.2">
      <c r="A3557" t="s">
        <v>11664</v>
      </c>
      <c r="B3557" t="s">
        <v>11965</v>
      </c>
      <c r="C3557" t="s">
        <v>10298</v>
      </c>
      <c r="D3557" t="s">
        <v>1727</v>
      </c>
      <c r="E3557" t="s">
        <v>11966</v>
      </c>
      <c r="F3557" t="s">
        <v>180</v>
      </c>
      <c r="G3557" t="str">
        <f>HYPERLINK("https://www.ozon.ru/context/detail/id/248909251/#56687520")</f>
        <v>https://www.ozon.ru/context/detail/id/248909251/#56687520</v>
      </c>
      <c r="H3557" t="s">
        <v>181</v>
      </c>
      <c r="I3557" t="s">
        <v>11967</v>
      </c>
      <c r="J3557" t="str">
        <f>HYPERLINK("https://www.ozon.ru/context/client_opinion/ClientGuid/54dcb57f-25b7-4312-9b1e-379d1264f23a/")</f>
        <v>https://www.ozon.ru/context/client_opinion/ClientGuid/54dcb57f-25b7-4312-9b1e-379d1264f23a/</v>
      </c>
      <c r="L3557" t="s">
        <v>151</v>
      </c>
      <c r="N3557" t="s">
        <v>183</v>
      </c>
      <c r="O3557" t="s">
        <v>1729</v>
      </c>
      <c r="P3557" t="str">
        <f>HYPERLINK("https://www.ozon.ru/context/detail/id/248909251/")</f>
        <v>https://www.ozon.ru/context/detail/id/248909251/</v>
      </c>
      <c r="R3557" t="s">
        <v>184</v>
      </c>
      <c r="S3557" t="s">
        <v>125</v>
      </c>
      <c r="W3557">
        <v>0</v>
      </c>
      <c r="X3557">
        <v>0</v>
      </c>
      <c r="AH3557">
        <v>5</v>
      </c>
      <c r="AM3557" t="s">
        <v>129</v>
      </c>
      <c r="AN3557" t="s">
        <v>130</v>
      </c>
      <c r="AP3557" t="s">
        <v>41</v>
      </c>
      <c r="AT3557" t="s">
        <v>45</v>
      </c>
      <c r="AZ3557" t="s">
        <v>51</v>
      </c>
      <c r="BB3557" t="s">
        <v>53</v>
      </c>
      <c r="BL3557" t="s">
        <v>63</v>
      </c>
    </row>
    <row r="3558" spans="1:69" x14ac:dyDescent="0.2">
      <c r="A3558" t="s">
        <v>11664</v>
      </c>
      <c r="B3558" t="s">
        <v>1219</v>
      </c>
      <c r="C3558" t="s">
        <v>11867</v>
      </c>
      <c r="D3558" t="s">
        <v>1408</v>
      </c>
      <c r="E3558" t="s">
        <v>11968</v>
      </c>
      <c r="F3558" t="s">
        <v>180</v>
      </c>
      <c r="G3558" t="str">
        <f>HYPERLINK("https://apps.apple.com/ru/app/триколор-кино-и-тв-онлайн/id1412797916#7528367124")</f>
        <v>https://apps.apple.com/ru/app/триколор-кино-и-тв-онлайн/id1412797916#7528367124</v>
      </c>
      <c r="H3558" t="s">
        <v>228</v>
      </c>
      <c r="I3558" t="s">
        <v>11969</v>
      </c>
      <c r="J3558" t="str">
        <f>HYPERLINK("https://itunes.apple.com/reviews?userProfileId=1205695574")</f>
        <v>https://itunes.apple.com/reviews?userProfileId=1205695574</v>
      </c>
      <c r="N3558" t="s">
        <v>1411</v>
      </c>
      <c r="O3558" t="s">
        <v>1408</v>
      </c>
      <c r="P3558" t="str">
        <f>HYPERLINK("https://apps.apple.com/ru/app/триколор-кино-и-тв-онлайн/id1412797916")</f>
        <v>https://apps.apple.com/ru/app/триколор-кино-и-тв-онлайн/id1412797916</v>
      </c>
      <c r="R3558" t="s">
        <v>184</v>
      </c>
      <c r="S3558" t="s">
        <v>125</v>
      </c>
      <c r="AH3558">
        <v>1</v>
      </c>
      <c r="AM3558" t="s">
        <v>129</v>
      </c>
      <c r="AN3558" t="s">
        <v>130</v>
      </c>
      <c r="AP3558" t="s">
        <v>41</v>
      </c>
      <c r="AZ3558" t="s">
        <v>51</v>
      </c>
      <c r="BA3558" t="s">
        <v>52</v>
      </c>
      <c r="BQ3558" t="s">
        <v>68</v>
      </c>
    </row>
    <row r="3559" spans="1:69" x14ac:dyDescent="0.2">
      <c r="A3559" t="s">
        <v>11664</v>
      </c>
      <c r="B3559" t="s">
        <v>4047</v>
      </c>
      <c r="C3559" t="s">
        <v>11970</v>
      </c>
      <c r="D3559" t="s">
        <v>11901</v>
      </c>
      <c r="E3559" t="s">
        <v>11971</v>
      </c>
      <c r="F3559" t="s">
        <v>118</v>
      </c>
      <c r="G3559" t="str">
        <f>HYPERLINK("https://vk.com/wall-22935147_368044?reply=368056")</f>
        <v>https://vk.com/wall-22935147_368044?reply=368056</v>
      </c>
      <c r="H3559" t="s">
        <v>119</v>
      </c>
      <c r="I3559" t="s">
        <v>11972</v>
      </c>
      <c r="J3559" t="str">
        <f>HYPERLINK("http://vk.com/id256540597")</f>
        <v>http://vk.com/id256540597</v>
      </c>
      <c r="K3559">
        <v>13</v>
      </c>
      <c r="L3559" t="s">
        <v>121</v>
      </c>
      <c r="M3559">
        <v>66</v>
      </c>
      <c r="N3559" t="s">
        <v>122</v>
      </c>
      <c r="O3559" t="s">
        <v>1093</v>
      </c>
      <c r="P3559" t="str">
        <f>HYPERLINK("http://vk.com/club22935147")</f>
        <v>http://vk.com/club22935147</v>
      </c>
      <c r="Q3559">
        <v>8943</v>
      </c>
      <c r="R3559" t="s">
        <v>124</v>
      </c>
      <c r="S3559" t="s">
        <v>125</v>
      </c>
      <c r="T3559" t="s">
        <v>169</v>
      </c>
      <c r="U3559" t="s">
        <v>169</v>
      </c>
      <c r="W3559">
        <v>0</v>
      </c>
      <c r="X3559">
        <v>0</v>
      </c>
      <c r="AM3559" t="s">
        <v>129</v>
      </c>
      <c r="AN3559" t="s">
        <v>130</v>
      </c>
      <c r="AP3559" t="s">
        <v>41</v>
      </c>
      <c r="AU3559" t="s">
        <v>46</v>
      </c>
      <c r="AZ3559" t="s">
        <v>51</v>
      </c>
      <c r="BA3559" t="s">
        <v>52</v>
      </c>
    </row>
    <row r="3560" spans="1:69" x14ac:dyDescent="0.2">
      <c r="A3560" t="s">
        <v>11664</v>
      </c>
      <c r="B3560" t="s">
        <v>1231</v>
      </c>
      <c r="C3560" t="s">
        <v>11714</v>
      </c>
      <c r="D3560" t="s">
        <v>11949</v>
      </c>
      <c r="E3560" t="s">
        <v>11973</v>
      </c>
      <c r="F3560" t="s">
        <v>180</v>
      </c>
      <c r="G3560" t="str">
        <f>HYPERLINK("https://www.iksmedia.ru/news/5841225-Ustanovleny-osobennosti-televizionn.html")</f>
        <v>https://www.iksmedia.ru/news/5841225-Ustanovleny-osobennosti-televizionn.html</v>
      </c>
      <c r="H3560" t="s">
        <v>119</v>
      </c>
      <c r="N3560" t="s">
        <v>1235</v>
      </c>
      <c r="R3560" t="s">
        <v>785</v>
      </c>
      <c r="S3560" t="s">
        <v>125</v>
      </c>
      <c r="AM3560" t="s">
        <v>129</v>
      </c>
      <c r="AN3560" t="s">
        <v>130</v>
      </c>
      <c r="AV3560" t="s">
        <v>47</v>
      </c>
    </row>
    <row r="3561" spans="1:69" x14ac:dyDescent="0.2">
      <c r="A3561" t="s">
        <v>11974</v>
      </c>
      <c r="B3561" t="s">
        <v>11975</v>
      </c>
      <c r="C3561" t="s">
        <v>11976</v>
      </c>
      <c r="D3561" t="s">
        <v>11736</v>
      </c>
      <c r="E3561" t="s">
        <v>11977</v>
      </c>
      <c r="F3561" t="s">
        <v>118</v>
      </c>
      <c r="G3561" t="str">
        <f>HYPERLINK("https://vk.com/wall-61202858_1077546?reply=1077605")</f>
        <v>https://vk.com/wall-61202858_1077546?reply=1077605</v>
      </c>
      <c r="H3561" t="s">
        <v>228</v>
      </c>
      <c r="I3561" t="s">
        <v>11738</v>
      </c>
      <c r="J3561" t="str">
        <f>HYPERLINK("http://vk.com/id635641006")</f>
        <v>http://vk.com/id635641006</v>
      </c>
      <c r="K3561">
        <v>34</v>
      </c>
      <c r="L3561" t="s">
        <v>151</v>
      </c>
      <c r="M3561">
        <v>31</v>
      </c>
      <c r="N3561" t="s">
        <v>122</v>
      </c>
      <c r="O3561" t="s">
        <v>2933</v>
      </c>
      <c r="P3561" t="str">
        <f>HYPERLINK("http://vk.com/club61202858")</f>
        <v>http://vk.com/club61202858</v>
      </c>
      <c r="Q3561">
        <v>28906</v>
      </c>
      <c r="R3561" t="s">
        <v>124</v>
      </c>
      <c r="S3561" t="s">
        <v>125</v>
      </c>
      <c r="T3561" t="s">
        <v>627</v>
      </c>
      <c r="U3561" t="s">
        <v>2940</v>
      </c>
      <c r="AM3561" t="s">
        <v>129</v>
      </c>
      <c r="AN3561" t="s">
        <v>130</v>
      </c>
      <c r="AP3561" t="s">
        <v>41</v>
      </c>
      <c r="AT3561" t="s">
        <v>45</v>
      </c>
      <c r="AW3561" t="s">
        <v>48</v>
      </c>
      <c r="AZ3561" t="s">
        <v>51</v>
      </c>
      <c r="BA3561" t="s">
        <v>52</v>
      </c>
    </row>
    <row r="3562" spans="1:69" x14ac:dyDescent="0.2">
      <c r="A3562" t="s">
        <v>11974</v>
      </c>
      <c r="B3562" t="s">
        <v>1241</v>
      </c>
      <c r="C3562" t="s">
        <v>11978</v>
      </c>
      <c r="D3562" t="s">
        <v>11979</v>
      </c>
      <c r="E3562" t="s">
        <v>11980</v>
      </c>
      <c r="F3562" t="s">
        <v>118</v>
      </c>
      <c r="G3562" t="str">
        <f>HYPERLINK("https://vk.com/wall-22935147_368052?reply=368055")</f>
        <v>https://vk.com/wall-22935147_368052?reply=368055</v>
      </c>
      <c r="H3562" t="s">
        <v>119</v>
      </c>
      <c r="I3562" t="s">
        <v>11981</v>
      </c>
      <c r="J3562" t="str">
        <f>HYPERLINK("http://vk.com/id3197588")</f>
        <v>http://vk.com/id3197588</v>
      </c>
      <c r="K3562">
        <v>252</v>
      </c>
      <c r="L3562" t="s">
        <v>121</v>
      </c>
      <c r="N3562" t="s">
        <v>122</v>
      </c>
      <c r="O3562" t="s">
        <v>1093</v>
      </c>
      <c r="P3562" t="str">
        <f>HYPERLINK("http://vk.com/club22935147")</f>
        <v>http://vk.com/club22935147</v>
      </c>
      <c r="Q3562">
        <v>8943</v>
      </c>
      <c r="R3562" t="s">
        <v>124</v>
      </c>
      <c r="S3562" t="s">
        <v>125</v>
      </c>
      <c r="T3562" t="s">
        <v>667</v>
      </c>
      <c r="U3562" t="s">
        <v>668</v>
      </c>
      <c r="W3562">
        <v>0</v>
      </c>
      <c r="X3562">
        <v>0</v>
      </c>
      <c r="AM3562" t="s">
        <v>129</v>
      </c>
      <c r="AN3562" t="s">
        <v>130</v>
      </c>
      <c r="AP3562" t="s">
        <v>41</v>
      </c>
      <c r="AU3562" t="s">
        <v>46</v>
      </c>
      <c r="AZ3562" t="s">
        <v>51</v>
      </c>
      <c r="BA3562" t="s">
        <v>52</v>
      </c>
    </row>
    <row r="3563" spans="1:69" x14ac:dyDescent="0.2">
      <c r="A3563" t="s">
        <v>11974</v>
      </c>
      <c r="B3563" t="s">
        <v>4541</v>
      </c>
      <c r="C3563" t="s">
        <v>11982</v>
      </c>
      <c r="D3563" t="s">
        <v>204</v>
      </c>
      <c r="E3563" t="s">
        <v>11983</v>
      </c>
      <c r="F3563" t="s">
        <v>180</v>
      </c>
      <c r="G3563" t="str">
        <f>HYPERLINK("https://play.google.com/store/apps/details?id=ru.iflex.android.a3colortv&amp;reviewId=gp:AOqpTOEBs26ijkaPPSUfzutxDSw8lue2iJxA1kDqsUSpuV-j53mnICywo9quOF6_wPKaBipd_FcJCVieqLYGqg")</f>
        <v>https://play.google.com/store/apps/details?id=ru.iflex.android.a3colortv&amp;reviewId=gp:AOqpTOEBs26ijkaPPSUfzutxDSw8lue2iJxA1kDqsUSpuV-j53mnICywo9quOF6_wPKaBipd_FcJCVieqLYGqg</v>
      </c>
      <c r="H3563" t="s">
        <v>181</v>
      </c>
      <c r="I3563" t="s">
        <v>11984</v>
      </c>
      <c r="J3563" t="str">
        <f>HYPERLINK("https://plus.google.com/102976363114393295934")</f>
        <v>https://plus.google.com/102976363114393295934</v>
      </c>
      <c r="L3563" t="s">
        <v>121</v>
      </c>
      <c r="N3563" t="s">
        <v>207</v>
      </c>
      <c r="O3563" t="s">
        <v>204</v>
      </c>
      <c r="P3563" t="str">
        <f>HYPERLINK("https://play.google.com/store/apps/details?id=ru.iflex.android.a3colortv&amp;hl=ru")</f>
        <v>https://play.google.com/store/apps/details?id=ru.iflex.android.a3colortv&amp;hl=ru</v>
      </c>
      <c r="R3563" t="s">
        <v>184</v>
      </c>
      <c r="S3563" t="s">
        <v>125</v>
      </c>
      <c r="W3563">
        <v>0</v>
      </c>
      <c r="X3563">
        <v>0</v>
      </c>
      <c r="AH3563">
        <v>5</v>
      </c>
      <c r="AM3563" t="s">
        <v>129</v>
      </c>
      <c r="AN3563" t="s">
        <v>130</v>
      </c>
      <c r="AP3563" t="s">
        <v>41</v>
      </c>
      <c r="AZ3563" t="s">
        <v>51</v>
      </c>
      <c r="BA3563" t="s">
        <v>52</v>
      </c>
      <c r="BQ3563" t="s">
        <v>68</v>
      </c>
    </row>
    <row r="3564" spans="1:69" x14ac:dyDescent="0.2">
      <c r="A3564" t="s">
        <v>11974</v>
      </c>
      <c r="B3564" t="s">
        <v>1249</v>
      </c>
      <c r="C3564" t="s">
        <v>11985</v>
      </c>
      <c r="D3564" t="s">
        <v>11671</v>
      </c>
      <c r="E3564" t="s">
        <v>11986</v>
      </c>
      <c r="F3564" t="s">
        <v>118</v>
      </c>
      <c r="G3564" t="str">
        <f>HYPERLINK("https://vk.com/wall-54813709_465057?reply=465128&amp;thread=465124")</f>
        <v>https://vk.com/wall-54813709_465057?reply=465128&amp;thread=465124</v>
      </c>
      <c r="H3564" t="s">
        <v>119</v>
      </c>
      <c r="I3564" t="s">
        <v>11987</v>
      </c>
      <c r="J3564" t="str">
        <f>HYPERLINK("http://vk.com/id12906523")</f>
        <v>http://vk.com/id12906523</v>
      </c>
      <c r="K3564">
        <v>421</v>
      </c>
      <c r="L3564" t="s">
        <v>151</v>
      </c>
      <c r="N3564" t="s">
        <v>122</v>
      </c>
      <c r="O3564" t="s">
        <v>11674</v>
      </c>
      <c r="P3564" t="str">
        <f>HYPERLINK("http://vk.com/club54813709")</f>
        <v>http://vk.com/club54813709</v>
      </c>
      <c r="Q3564">
        <v>26749</v>
      </c>
      <c r="R3564" t="s">
        <v>124</v>
      </c>
      <c r="S3564" t="s">
        <v>125</v>
      </c>
      <c r="T3564" t="s">
        <v>612</v>
      </c>
      <c r="U3564" t="s">
        <v>613</v>
      </c>
      <c r="AM3564" t="s">
        <v>129</v>
      </c>
      <c r="AN3564" t="s">
        <v>130</v>
      </c>
      <c r="AP3564" t="s">
        <v>41</v>
      </c>
      <c r="AZ3564" t="s">
        <v>51</v>
      </c>
      <c r="BA3564" t="s">
        <v>52</v>
      </c>
      <c r="BM3564" t="s">
        <v>64</v>
      </c>
    </row>
    <row r="3565" spans="1:69" x14ac:dyDescent="0.2">
      <c r="A3565" t="s">
        <v>11974</v>
      </c>
      <c r="B3565" t="s">
        <v>2882</v>
      </c>
      <c r="C3565" t="s">
        <v>11988</v>
      </c>
      <c r="D3565" t="s">
        <v>11989</v>
      </c>
      <c r="E3565" t="s">
        <v>11990</v>
      </c>
      <c r="F3565" t="s">
        <v>118</v>
      </c>
      <c r="G3565" t="str">
        <f>HYPERLINK("https://vk.com/wall-187774972_83146?reply=83216&amp;thread=83149")</f>
        <v>https://vk.com/wall-187774972_83146?reply=83216&amp;thread=83149</v>
      </c>
      <c r="H3565" t="s">
        <v>119</v>
      </c>
      <c r="I3565" t="s">
        <v>11991</v>
      </c>
      <c r="J3565" t="str">
        <f>HYPERLINK("http://vk.com/id425646029")</f>
        <v>http://vk.com/id425646029</v>
      </c>
      <c r="K3565">
        <v>143</v>
      </c>
      <c r="L3565" t="s">
        <v>121</v>
      </c>
      <c r="N3565" t="s">
        <v>122</v>
      </c>
      <c r="O3565" t="s">
        <v>11992</v>
      </c>
      <c r="P3565" t="str">
        <f>HYPERLINK("http://vk.com/club187774972")</f>
        <v>http://vk.com/club187774972</v>
      </c>
      <c r="Q3565">
        <v>20132</v>
      </c>
      <c r="R3565" t="s">
        <v>124</v>
      </c>
      <c r="S3565" t="s">
        <v>125</v>
      </c>
      <c r="T3565" t="s">
        <v>627</v>
      </c>
      <c r="U3565" t="s">
        <v>10466</v>
      </c>
      <c r="AM3565" t="s">
        <v>129</v>
      </c>
      <c r="AN3565" t="s">
        <v>130</v>
      </c>
      <c r="AP3565" t="s">
        <v>41</v>
      </c>
      <c r="AW3565" t="s">
        <v>48</v>
      </c>
      <c r="AZ3565" t="s">
        <v>51</v>
      </c>
      <c r="BA3565" t="s">
        <v>52</v>
      </c>
    </row>
    <row r="3566" spans="1:69" x14ac:dyDescent="0.2">
      <c r="A3566" t="s">
        <v>11974</v>
      </c>
      <c r="B3566" t="s">
        <v>7996</v>
      </c>
      <c r="C3566" t="s">
        <v>11993</v>
      </c>
      <c r="D3566" t="s">
        <v>11395</v>
      </c>
      <c r="E3566" t="s">
        <v>11994</v>
      </c>
      <c r="F3566" t="s">
        <v>118</v>
      </c>
      <c r="G3566" t="str">
        <f>HYPERLINK("https://vk.com/wall-22935147_368046?reply=368054")</f>
        <v>https://vk.com/wall-22935147_368046?reply=368054</v>
      </c>
      <c r="H3566" t="s">
        <v>119</v>
      </c>
      <c r="I3566" t="s">
        <v>11995</v>
      </c>
      <c r="J3566" t="str">
        <f>HYPERLINK("http://vk.com/id174087883")</f>
        <v>http://vk.com/id174087883</v>
      </c>
      <c r="K3566">
        <v>4</v>
      </c>
      <c r="L3566" t="s">
        <v>121</v>
      </c>
      <c r="N3566" t="s">
        <v>122</v>
      </c>
      <c r="O3566" t="s">
        <v>1093</v>
      </c>
      <c r="P3566" t="str">
        <f>HYPERLINK("http://vk.com/club22935147")</f>
        <v>http://vk.com/club22935147</v>
      </c>
      <c r="Q3566">
        <v>8943</v>
      </c>
      <c r="R3566" t="s">
        <v>124</v>
      </c>
      <c r="S3566" t="s">
        <v>125</v>
      </c>
      <c r="T3566" t="s">
        <v>169</v>
      </c>
      <c r="U3566" t="s">
        <v>169</v>
      </c>
      <c r="W3566">
        <v>0</v>
      </c>
      <c r="X3566">
        <v>0</v>
      </c>
      <c r="AM3566" t="s">
        <v>129</v>
      </c>
      <c r="AN3566" t="s">
        <v>130</v>
      </c>
      <c r="AP3566" t="s">
        <v>41</v>
      </c>
      <c r="AZ3566" t="s">
        <v>51</v>
      </c>
      <c r="BA3566" t="s">
        <v>52</v>
      </c>
      <c r="BM3566" t="s">
        <v>64</v>
      </c>
    </row>
    <row r="3567" spans="1:69" x14ac:dyDescent="0.2">
      <c r="A3567" t="s">
        <v>11974</v>
      </c>
      <c r="B3567" t="s">
        <v>3327</v>
      </c>
      <c r="C3567" t="s">
        <v>11996</v>
      </c>
      <c r="D3567" t="s">
        <v>9645</v>
      </c>
      <c r="E3567" t="s">
        <v>11997</v>
      </c>
      <c r="F3567" t="s">
        <v>180</v>
      </c>
      <c r="G3567" t="str">
        <f>HYPERLINK("https://www.wildberries.ru/catalog/28143891/detail.aspx?targetUrl=ES#Comments")</f>
        <v>https://www.wildberries.ru/catalog/28143891/detail.aspx?targetUrl=ES#Comments</v>
      </c>
      <c r="H3567" t="s">
        <v>181</v>
      </c>
      <c r="I3567" t="s">
        <v>11998</v>
      </c>
      <c r="J3567" t="str">
        <f>HYPERLINK("https://www.wildberries.ru/profile/w7TDssOkw7PCu8KzwrLCs8KywrLCtsK5wrc=")</f>
        <v>https://www.wildberries.ru/profile/w7TDssOkw7PCu8KzwrLCs8KywrLCtsK5wrc=</v>
      </c>
      <c r="N3567" t="s">
        <v>534</v>
      </c>
      <c r="O3567" t="s">
        <v>9645</v>
      </c>
      <c r="P3567" t="str">
        <f>HYPERLINK("https://www.wildberries.ru/catalog/20660391/detail.aspx")</f>
        <v>https://www.wildberries.ru/catalog/20660391/detail.aspx</v>
      </c>
      <c r="R3567" t="s">
        <v>184</v>
      </c>
      <c r="S3567" t="s">
        <v>125</v>
      </c>
      <c r="W3567">
        <v>0</v>
      </c>
      <c r="X3567">
        <v>0</v>
      </c>
      <c r="AH3567">
        <v>5</v>
      </c>
      <c r="AM3567" t="s">
        <v>129</v>
      </c>
      <c r="AN3567" t="s">
        <v>130</v>
      </c>
      <c r="AP3567" t="s">
        <v>41</v>
      </c>
      <c r="AZ3567" t="s">
        <v>51</v>
      </c>
      <c r="BA3567" t="s">
        <v>52</v>
      </c>
      <c r="BK3567" t="s">
        <v>62</v>
      </c>
      <c r="BL3567" t="s">
        <v>63</v>
      </c>
    </row>
    <row r="3568" spans="1:69" x14ac:dyDescent="0.2">
      <c r="A3568" t="s">
        <v>11974</v>
      </c>
      <c r="B3568" t="s">
        <v>2309</v>
      </c>
      <c r="C3568" t="s">
        <v>11993</v>
      </c>
      <c r="D3568" t="s">
        <v>7717</v>
      </c>
      <c r="E3568" t="s">
        <v>11999</v>
      </c>
      <c r="F3568" t="s">
        <v>118</v>
      </c>
      <c r="G3568" t="str">
        <f>HYPERLINK("https://vk.com/wall-61101621_254438?reply=254481")</f>
        <v>https://vk.com/wall-61101621_254438?reply=254481</v>
      </c>
      <c r="H3568" t="s">
        <v>119</v>
      </c>
      <c r="I3568" t="s">
        <v>12000</v>
      </c>
      <c r="J3568" t="str">
        <f>HYPERLINK("http://vk.com/id60384365")</f>
        <v>http://vk.com/id60384365</v>
      </c>
      <c r="K3568">
        <v>150</v>
      </c>
      <c r="L3568" t="s">
        <v>151</v>
      </c>
      <c r="N3568" t="s">
        <v>122</v>
      </c>
      <c r="O3568" t="s">
        <v>160</v>
      </c>
      <c r="P3568" t="str">
        <f>HYPERLINK("http://vk.com/club61101621")</f>
        <v>http://vk.com/club61101621</v>
      </c>
      <c r="Q3568">
        <v>21119</v>
      </c>
      <c r="R3568" t="s">
        <v>124</v>
      </c>
      <c r="S3568" t="s">
        <v>125</v>
      </c>
      <c r="T3568" t="s">
        <v>1283</v>
      </c>
      <c r="U3568" t="s">
        <v>12001</v>
      </c>
      <c r="W3568">
        <v>0</v>
      </c>
      <c r="X3568">
        <v>0</v>
      </c>
      <c r="AM3568" t="s">
        <v>129</v>
      </c>
      <c r="AN3568" t="s">
        <v>130</v>
      </c>
      <c r="AP3568" t="s">
        <v>41</v>
      </c>
      <c r="AZ3568" t="s">
        <v>51</v>
      </c>
      <c r="BA3568" t="s">
        <v>52</v>
      </c>
    </row>
    <row r="3569" spans="1:100" x14ac:dyDescent="0.2">
      <c r="A3569" t="s">
        <v>11974</v>
      </c>
      <c r="B3569" t="s">
        <v>12002</v>
      </c>
      <c r="C3569" t="s">
        <v>12003</v>
      </c>
      <c r="D3569" t="s">
        <v>11671</v>
      </c>
      <c r="E3569" t="s">
        <v>12004</v>
      </c>
      <c r="F3569" t="s">
        <v>118</v>
      </c>
      <c r="G3569" t="str">
        <f>HYPERLINK("https://vk.com/wall-54813709_465057?reply=465124")</f>
        <v>https://vk.com/wall-54813709_465057?reply=465124</v>
      </c>
      <c r="H3569" t="s">
        <v>228</v>
      </c>
      <c r="I3569" t="s">
        <v>11673</v>
      </c>
      <c r="J3569" t="str">
        <f>HYPERLINK("http://vk.com/id157328428")</f>
        <v>http://vk.com/id157328428</v>
      </c>
      <c r="K3569">
        <v>6</v>
      </c>
      <c r="L3569" t="s">
        <v>121</v>
      </c>
      <c r="N3569" t="s">
        <v>122</v>
      </c>
      <c r="O3569" t="s">
        <v>11674</v>
      </c>
      <c r="P3569" t="str">
        <f>HYPERLINK("http://vk.com/club54813709")</f>
        <v>http://vk.com/club54813709</v>
      </c>
      <c r="Q3569">
        <v>26749</v>
      </c>
      <c r="R3569" t="s">
        <v>124</v>
      </c>
      <c r="S3569" t="s">
        <v>125</v>
      </c>
      <c r="T3569" t="s">
        <v>612</v>
      </c>
      <c r="U3569" t="s">
        <v>613</v>
      </c>
      <c r="AM3569" t="s">
        <v>129</v>
      </c>
      <c r="AN3569" t="s">
        <v>130</v>
      </c>
      <c r="AP3569" t="s">
        <v>41</v>
      </c>
      <c r="AT3569" t="s">
        <v>45</v>
      </c>
      <c r="AU3569" t="s">
        <v>46</v>
      </c>
      <c r="AZ3569" t="s">
        <v>51</v>
      </c>
      <c r="BA3569" t="s">
        <v>52</v>
      </c>
      <c r="CV3569" t="s">
        <v>99</v>
      </c>
    </row>
    <row r="3570" spans="1:100" x14ac:dyDescent="0.2">
      <c r="A3570" t="s">
        <v>11974</v>
      </c>
      <c r="B3570" t="s">
        <v>2903</v>
      </c>
      <c r="C3570" t="s">
        <v>12005</v>
      </c>
      <c r="D3570" t="s">
        <v>11395</v>
      </c>
      <c r="E3570" t="s">
        <v>12006</v>
      </c>
      <c r="F3570" t="s">
        <v>118</v>
      </c>
      <c r="G3570" t="str">
        <f>HYPERLINK("https://vk.com/wall-22935147_368046?reply=368051")</f>
        <v>https://vk.com/wall-22935147_368046?reply=368051</v>
      </c>
      <c r="H3570" t="s">
        <v>119</v>
      </c>
      <c r="I3570" t="s">
        <v>12007</v>
      </c>
      <c r="J3570" t="str">
        <f>HYPERLINK("http://vk.com/id23098073")</f>
        <v>http://vk.com/id23098073</v>
      </c>
      <c r="K3570">
        <v>57</v>
      </c>
      <c r="L3570" t="s">
        <v>121</v>
      </c>
      <c r="M3570">
        <v>36</v>
      </c>
      <c r="N3570" t="s">
        <v>122</v>
      </c>
      <c r="O3570" t="s">
        <v>1093</v>
      </c>
      <c r="P3570" t="str">
        <f>HYPERLINK("http://vk.com/club22935147")</f>
        <v>http://vk.com/club22935147</v>
      </c>
      <c r="Q3570">
        <v>8943</v>
      </c>
      <c r="R3570" t="s">
        <v>124</v>
      </c>
      <c r="S3570" t="s">
        <v>125</v>
      </c>
      <c r="T3570" t="s">
        <v>137</v>
      </c>
      <c r="U3570" t="s">
        <v>137</v>
      </c>
      <c r="AM3570" t="s">
        <v>129</v>
      </c>
      <c r="AN3570" t="s">
        <v>130</v>
      </c>
      <c r="AP3570" t="s">
        <v>41</v>
      </c>
      <c r="AW3570" t="s">
        <v>48</v>
      </c>
      <c r="AZ3570" t="s">
        <v>51</v>
      </c>
      <c r="BA3570" t="s">
        <v>52</v>
      </c>
      <c r="BL3570" t="s">
        <v>63</v>
      </c>
      <c r="BM3570" t="s">
        <v>64</v>
      </c>
    </row>
    <row r="3571" spans="1:100" x14ac:dyDescent="0.2">
      <c r="A3571" t="s">
        <v>11974</v>
      </c>
      <c r="B3571" t="s">
        <v>4580</v>
      </c>
      <c r="C3571" t="s">
        <v>12008</v>
      </c>
      <c r="D3571" t="s">
        <v>3261</v>
      </c>
      <c r="E3571" t="s">
        <v>12009</v>
      </c>
      <c r="F3571" t="s">
        <v>180</v>
      </c>
      <c r="G3571" t="str">
        <f>HYPERLINK("https://www.wildberries.ru/catalog/5691258/detail.aspx?targetUrl=ES#Comments")</f>
        <v>https://www.wildberries.ru/catalog/5691258/detail.aspx?targetUrl=ES#Comments</v>
      </c>
      <c r="H3571" t="s">
        <v>181</v>
      </c>
      <c r="I3571" t="s">
        <v>3026</v>
      </c>
      <c r="J3571" t="str">
        <f>HYPERLINK("https://www.wildberries.ru/profile/w7TDssOkw7PCu8KwwrjCuMKzwrnCucK3wrA=")</f>
        <v>https://www.wildberries.ru/profile/w7TDssOkw7PCu8KwwrjCuMKzwrnCucK3wrA=</v>
      </c>
      <c r="L3571" t="s">
        <v>151</v>
      </c>
      <c r="N3571" t="s">
        <v>534</v>
      </c>
      <c r="O3571" t="s">
        <v>3261</v>
      </c>
      <c r="P3571" t="str">
        <f>HYPERLINK("https://www.wildberries.ru/catalog/4570035/detail.aspx")</f>
        <v>https://www.wildberries.ru/catalog/4570035/detail.aspx</v>
      </c>
      <c r="R3571" t="s">
        <v>184</v>
      </c>
      <c r="S3571" t="s">
        <v>125</v>
      </c>
      <c r="W3571">
        <v>0</v>
      </c>
      <c r="X3571">
        <v>0</v>
      </c>
      <c r="AH3571">
        <v>5</v>
      </c>
      <c r="AM3571" t="s">
        <v>129</v>
      </c>
      <c r="AN3571" t="s">
        <v>130</v>
      </c>
      <c r="AP3571" t="s">
        <v>41</v>
      </c>
      <c r="AZ3571" t="s">
        <v>51</v>
      </c>
      <c r="BA3571" t="s">
        <v>52</v>
      </c>
      <c r="BK3571" t="s">
        <v>62</v>
      </c>
      <c r="BL3571" t="s">
        <v>63</v>
      </c>
    </row>
    <row r="3572" spans="1:100" x14ac:dyDescent="0.2">
      <c r="A3572" t="s">
        <v>11974</v>
      </c>
      <c r="B3572" t="s">
        <v>8805</v>
      </c>
      <c r="C3572" t="s">
        <v>12010</v>
      </c>
      <c r="D3572" t="s">
        <v>12011</v>
      </c>
      <c r="E3572" t="s">
        <v>12012</v>
      </c>
      <c r="F3572" t="s">
        <v>118</v>
      </c>
      <c r="G3572" t="str">
        <f>HYPERLINK("https://vk.com/wall-22935147_368027?reply=368050")</f>
        <v>https://vk.com/wall-22935147_368027?reply=368050</v>
      </c>
      <c r="H3572" t="s">
        <v>119</v>
      </c>
      <c r="I3572" t="s">
        <v>5007</v>
      </c>
      <c r="J3572" t="str">
        <f>HYPERLINK("http://vk.com/id655114577")</f>
        <v>http://vk.com/id655114577</v>
      </c>
      <c r="K3572">
        <v>0</v>
      </c>
      <c r="L3572" t="s">
        <v>121</v>
      </c>
      <c r="M3572">
        <v>44</v>
      </c>
      <c r="N3572" t="s">
        <v>122</v>
      </c>
      <c r="O3572" t="s">
        <v>1093</v>
      </c>
      <c r="P3572" t="str">
        <f>HYPERLINK("http://vk.com/club22935147")</f>
        <v>http://vk.com/club22935147</v>
      </c>
      <c r="Q3572">
        <v>8943</v>
      </c>
      <c r="R3572" t="s">
        <v>124</v>
      </c>
      <c r="S3572" t="s">
        <v>125</v>
      </c>
      <c r="T3572" t="s">
        <v>169</v>
      </c>
      <c r="U3572" t="s">
        <v>169</v>
      </c>
      <c r="AM3572" t="s">
        <v>129</v>
      </c>
      <c r="AN3572" t="s">
        <v>130</v>
      </c>
      <c r="AP3572" t="s">
        <v>41</v>
      </c>
      <c r="AU3572" t="s">
        <v>46</v>
      </c>
      <c r="AY3572" t="s">
        <v>50</v>
      </c>
      <c r="AZ3572" t="s">
        <v>51</v>
      </c>
      <c r="BA3572" t="s">
        <v>52</v>
      </c>
    </row>
    <row r="3573" spans="1:100" x14ac:dyDescent="0.2">
      <c r="A3573" t="s">
        <v>11974</v>
      </c>
      <c r="B3573" t="s">
        <v>1317</v>
      </c>
      <c r="C3573" t="s">
        <v>12010</v>
      </c>
      <c r="D3573" t="s">
        <v>11395</v>
      </c>
      <c r="E3573" t="s">
        <v>12013</v>
      </c>
      <c r="F3573" t="s">
        <v>118</v>
      </c>
      <c r="G3573" t="str">
        <f>HYPERLINK("https://vk.com/wall-22935147_368046?reply=368049")</f>
        <v>https://vk.com/wall-22935147_368046?reply=368049</v>
      </c>
      <c r="H3573" t="s">
        <v>119</v>
      </c>
      <c r="I3573" t="s">
        <v>12014</v>
      </c>
      <c r="J3573" t="str">
        <f>HYPERLINK("http://vk.com/id293426937")</f>
        <v>http://vk.com/id293426937</v>
      </c>
      <c r="K3573">
        <v>318</v>
      </c>
      <c r="L3573" t="s">
        <v>121</v>
      </c>
      <c r="N3573" t="s">
        <v>122</v>
      </c>
      <c r="O3573" t="s">
        <v>1093</v>
      </c>
      <c r="P3573" t="str">
        <f>HYPERLINK("http://vk.com/club22935147")</f>
        <v>http://vk.com/club22935147</v>
      </c>
      <c r="Q3573">
        <v>8943</v>
      </c>
      <c r="R3573" t="s">
        <v>124</v>
      </c>
      <c r="S3573" t="s">
        <v>125</v>
      </c>
      <c r="W3573">
        <v>0</v>
      </c>
      <c r="X3573">
        <v>0</v>
      </c>
      <c r="AM3573" t="s">
        <v>129</v>
      </c>
      <c r="AN3573" t="s">
        <v>130</v>
      </c>
      <c r="AP3573" t="s">
        <v>41</v>
      </c>
      <c r="AW3573" t="s">
        <v>48</v>
      </c>
      <c r="AZ3573" t="s">
        <v>51</v>
      </c>
      <c r="BA3573" t="s">
        <v>52</v>
      </c>
    </row>
    <row r="3574" spans="1:100" x14ac:dyDescent="0.2">
      <c r="A3574" t="s">
        <v>11974</v>
      </c>
      <c r="B3574" t="s">
        <v>5480</v>
      </c>
      <c r="C3574" t="s">
        <v>5345</v>
      </c>
      <c r="D3574" t="s">
        <v>2572</v>
      </c>
      <c r="E3574" t="s">
        <v>12015</v>
      </c>
      <c r="F3574" t="s">
        <v>180</v>
      </c>
      <c r="G3574" t="str">
        <f>HYPERLINK("https://www.ozon.ru/context/detail/id/258848407/#56667978")</f>
        <v>https://www.ozon.ru/context/detail/id/258848407/#56667978</v>
      </c>
      <c r="H3574" t="s">
        <v>181</v>
      </c>
      <c r="I3574" t="s">
        <v>512</v>
      </c>
      <c r="J3574" t="str">
        <f>HYPERLINK("https://www.ozon.ru/context/client_opinion/ClientGuid//")</f>
        <v>https://www.ozon.ru/context/client_opinion/ClientGuid//</v>
      </c>
      <c r="N3574" t="s">
        <v>183</v>
      </c>
      <c r="O3574" t="s">
        <v>2572</v>
      </c>
      <c r="P3574" t="str">
        <f>HYPERLINK("https://www.ozon.ru/context/detail/id/258848407/")</f>
        <v>https://www.ozon.ru/context/detail/id/258848407/</v>
      </c>
      <c r="R3574" t="s">
        <v>184</v>
      </c>
      <c r="S3574" t="s">
        <v>125</v>
      </c>
      <c r="W3574">
        <v>0</v>
      </c>
      <c r="X3574">
        <v>0</v>
      </c>
      <c r="AH3574">
        <v>5</v>
      </c>
      <c r="AM3574" t="s">
        <v>129</v>
      </c>
      <c r="AN3574" t="s">
        <v>130</v>
      </c>
      <c r="AP3574" t="s">
        <v>41</v>
      </c>
      <c r="AT3574" t="s">
        <v>45</v>
      </c>
      <c r="AZ3574" t="s">
        <v>51</v>
      </c>
      <c r="BA3574" t="s">
        <v>52</v>
      </c>
    </row>
    <row r="3575" spans="1:100" x14ac:dyDescent="0.2">
      <c r="A3575" t="s">
        <v>11974</v>
      </c>
      <c r="B3575" t="s">
        <v>198</v>
      </c>
      <c r="C3575" t="s">
        <v>12016</v>
      </c>
      <c r="D3575" t="s">
        <v>11736</v>
      </c>
      <c r="E3575" t="s">
        <v>12017</v>
      </c>
      <c r="F3575" t="s">
        <v>118</v>
      </c>
      <c r="G3575" t="str">
        <f>HYPERLINK("https://vk.com/wall-61202858_1077546?reply=1077557")</f>
        <v>https://vk.com/wall-61202858_1077546?reply=1077557</v>
      </c>
      <c r="H3575" t="s">
        <v>119</v>
      </c>
      <c r="I3575" t="s">
        <v>12018</v>
      </c>
      <c r="J3575" t="str">
        <f>HYPERLINK("http://vk.com/id485740095")</f>
        <v>http://vk.com/id485740095</v>
      </c>
      <c r="L3575" t="s">
        <v>121</v>
      </c>
      <c r="M3575">
        <v>25</v>
      </c>
      <c r="N3575" t="s">
        <v>122</v>
      </c>
      <c r="O3575" t="s">
        <v>2933</v>
      </c>
      <c r="P3575" t="str">
        <f>HYPERLINK("http://vk.com/club61202858")</f>
        <v>http://vk.com/club61202858</v>
      </c>
      <c r="Q3575">
        <v>28906</v>
      </c>
      <c r="R3575" t="s">
        <v>124</v>
      </c>
      <c r="S3575" t="s">
        <v>125</v>
      </c>
      <c r="T3575" t="s">
        <v>169</v>
      </c>
      <c r="U3575" t="s">
        <v>169</v>
      </c>
      <c r="AM3575" t="s">
        <v>129</v>
      </c>
      <c r="AN3575" t="s">
        <v>130</v>
      </c>
      <c r="AP3575" t="s">
        <v>41</v>
      </c>
      <c r="AW3575" t="s">
        <v>48</v>
      </c>
      <c r="AZ3575" t="s">
        <v>51</v>
      </c>
      <c r="BA3575" t="s">
        <v>52</v>
      </c>
      <c r="BL3575" t="s">
        <v>63</v>
      </c>
      <c r="BM3575" t="s">
        <v>64</v>
      </c>
    </row>
    <row r="3576" spans="1:100" x14ac:dyDescent="0.2">
      <c r="A3576" t="s">
        <v>11974</v>
      </c>
      <c r="B3576" t="s">
        <v>198</v>
      </c>
      <c r="C3576" t="s">
        <v>12010</v>
      </c>
      <c r="D3576" t="s">
        <v>11791</v>
      </c>
      <c r="E3576" t="s">
        <v>12019</v>
      </c>
      <c r="F3576" t="s">
        <v>118</v>
      </c>
      <c r="G3576" t="str">
        <f>HYPERLINK("https://vk.com/wall-27863223_291352?w=wall-27863223_291352_r291365")</f>
        <v>https://vk.com/wall-27863223_291352?w=wall-27863223_291352_r291365</v>
      </c>
      <c r="H3576" t="s">
        <v>119</v>
      </c>
      <c r="I3576" t="s">
        <v>2212</v>
      </c>
      <c r="J3576" t="str">
        <f>HYPERLINK("http://vk.com/id140937333")</f>
        <v>http://vk.com/id140937333</v>
      </c>
      <c r="K3576">
        <v>15</v>
      </c>
      <c r="L3576" t="s">
        <v>121</v>
      </c>
      <c r="N3576" t="s">
        <v>122</v>
      </c>
      <c r="O3576" t="s">
        <v>175</v>
      </c>
      <c r="P3576" t="str">
        <f>HYPERLINK("http://vk.com/club27863223")</f>
        <v>http://vk.com/club27863223</v>
      </c>
      <c r="Q3576">
        <v>134698</v>
      </c>
      <c r="R3576" t="s">
        <v>124</v>
      </c>
      <c r="S3576" t="s">
        <v>125</v>
      </c>
      <c r="W3576">
        <v>0</v>
      </c>
      <c r="X3576">
        <v>0</v>
      </c>
      <c r="AM3576" t="s">
        <v>129</v>
      </c>
      <c r="AN3576" t="s">
        <v>130</v>
      </c>
      <c r="AP3576" t="s">
        <v>41</v>
      </c>
      <c r="AU3576" t="s">
        <v>46</v>
      </c>
      <c r="AZ3576" t="s">
        <v>51</v>
      </c>
      <c r="BA3576" t="s">
        <v>52</v>
      </c>
    </row>
    <row r="3577" spans="1:100" x14ac:dyDescent="0.2">
      <c r="A3577" t="s">
        <v>11974</v>
      </c>
      <c r="B3577" t="s">
        <v>200</v>
      </c>
      <c r="C3577" t="s">
        <v>12010</v>
      </c>
      <c r="D3577" t="s">
        <v>12020</v>
      </c>
      <c r="E3577" t="s">
        <v>12021</v>
      </c>
      <c r="F3577" t="s">
        <v>118</v>
      </c>
      <c r="G3577" t="str">
        <f>HYPERLINK("https://vk.com/wall-61101621_254477?reply=254479")</f>
        <v>https://vk.com/wall-61101621_254477?reply=254479</v>
      </c>
      <c r="H3577" t="s">
        <v>119</v>
      </c>
      <c r="I3577" t="s">
        <v>7312</v>
      </c>
      <c r="J3577" t="str">
        <f>HYPERLINK("http://vk.com/id405320478")</f>
        <v>http://vk.com/id405320478</v>
      </c>
      <c r="K3577">
        <v>11</v>
      </c>
      <c r="L3577" t="s">
        <v>121</v>
      </c>
      <c r="M3577">
        <v>46</v>
      </c>
      <c r="N3577" t="s">
        <v>122</v>
      </c>
      <c r="O3577" t="s">
        <v>160</v>
      </c>
      <c r="P3577" t="str">
        <f>HYPERLINK("http://vk.com/club61101621")</f>
        <v>http://vk.com/club61101621</v>
      </c>
      <c r="Q3577">
        <v>21119</v>
      </c>
      <c r="R3577" t="s">
        <v>124</v>
      </c>
      <c r="S3577" t="s">
        <v>125</v>
      </c>
      <c r="T3577" t="s">
        <v>169</v>
      </c>
      <c r="U3577" t="s">
        <v>169</v>
      </c>
      <c r="W3577">
        <v>0</v>
      </c>
      <c r="X3577">
        <v>0</v>
      </c>
      <c r="AM3577" t="s">
        <v>129</v>
      </c>
      <c r="AN3577" t="s">
        <v>130</v>
      </c>
      <c r="AP3577" t="s">
        <v>41</v>
      </c>
      <c r="AY3577" t="s">
        <v>50</v>
      </c>
      <c r="AZ3577" t="s">
        <v>51</v>
      </c>
      <c r="BA3577" t="s">
        <v>52</v>
      </c>
    </row>
    <row r="3578" spans="1:100" x14ac:dyDescent="0.2">
      <c r="A3578" t="s">
        <v>11974</v>
      </c>
      <c r="B3578" t="s">
        <v>4601</v>
      </c>
      <c r="C3578" t="s">
        <v>12022</v>
      </c>
      <c r="D3578" t="s">
        <v>12023</v>
      </c>
      <c r="E3578" t="s">
        <v>12024</v>
      </c>
      <c r="F3578" t="s">
        <v>118</v>
      </c>
      <c r="G3578" t="str">
        <f>HYPERLINK("https://vk.com/wall-125673397_43879?reply=43954&amp;thread=43897")</f>
        <v>https://vk.com/wall-125673397_43879?reply=43954&amp;thread=43897</v>
      </c>
      <c r="H3578" t="s">
        <v>119</v>
      </c>
      <c r="I3578" t="s">
        <v>12025</v>
      </c>
      <c r="J3578" t="str">
        <f>HYPERLINK("http://vk.com/id407071736")</f>
        <v>http://vk.com/id407071736</v>
      </c>
      <c r="K3578">
        <v>301</v>
      </c>
      <c r="L3578" t="s">
        <v>121</v>
      </c>
      <c r="M3578">
        <v>35</v>
      </c>
      <c r="N3578" t="s">
        <v>122</v>
      </c>
      <c r="O3578" t="s">
        <v>12026</v>
      </c>
      <c r="P3578" t="str">
        <f>HYPERLINK("http://vk.com/club125673397")</f>
        <v>http://vk.com/club125673397</v>
      </c>
      <c r="Q3578">
        <v>7153</v>
      </c>
      <c r="R3578" t="s">
        <v>124</v>
      </c>
      <c r="S3578" t="s">
        <v>125</v>
      </c>
      <c r="T3578" t="s">
        <v>372</v>
      </c>
      <c r="U3578" t="s">
        <v>1441</v>
      </c>
      <c r="AM3578" t="s">
        <v>129</v>
      </c>
      <c r="AN3578" t="s">
        <v>130</v>
      </c>
      <c r="AP3578" t="s">
        <v>41</v>
      </c>
      <c r="AT3578" t="s">
        <v>45</v>
      </c>
      <c r="AY3578" t="s">
        <v>50</v>
      </c>
      <c r="AZ3578" t="s">
        <v>51</v>
      </c>
      <c r="BA3578" t="s">
        <v>52</v>
      </c>
    </row>
    <row r="3579" spans="1:100" x14ac:dyDescent="0.2">
      <c r="A3579" t="s">
        <v>11974</v>
      </c>
      <c r="B3579" t="s">
        <v>4120</v>
      </c>
      <c r="C3579" t="s">
        <v>12027</v>
      </c>
      <c r="D3579" t="s">
        <v>129</v>
      </c>
      <c r="E3579" t="s">
        <v>12028</v>
      </c>
      <c r="F3579" t="s">
        <v>180</v>
      </c>
      <c r="G3579" t="str">
        <f>HYPERLINK("https://vk.com/wall-61101621_254477")</f>
        <v>https://vk.com/wall-61101621_254477</v>
      </c>
      <c r="H3579" t="s">
        <v>119</v>
      </c>
      <c r="I3579" t="s">
        <v>3106</v>
      </c>
      <c r="J3579" t="str">
        <f>HYPERLINK("http://vk.com/id3438593")</f>
        <v>http://vk.com/id3438593</v>
      </c>
      <c r="K3579">
        <v>49</v>
      </c>
      <c r="L3579" t="s">
        <v>121</v>
      </c>
      <c r="N3579" t="s">
        <v>122</v>
      </c>
      <c r="O3579" t="s">
        <v>160</v>
      </c>
      <c r="P3579" t="str">
        <f>HYPERLINK("http://vk.com/club61101621")</f>
        <v>http://vk.com/club61101621</v>
      </c>
      <c r="Q3579">
        <v>21119</v>
      </c>
      <c r="R3579" t="s">
        <v>124</v>
      </c>
      <c r="S3579" t="s">
        <v>125</v>
      </c>
      <c r="T3579" t="s">
        <v>169</v>
      </c>
      <c r="U3579" t="s">
        <v>169</v>
      </c>
      <c r="W3579">
        <v>9</v>
      </c>
      <c r="X3579">
        <v>9</v>
      </c>
      <c r="AE3579">
        <v>2</v>
      </c>
      <c r="AF3579">
        <v>0</v>
      </c>
      <c r="AG3579">
        <v>2050</v>
      </c>
      <c r="AM3579" t="s">
        <v>129</v>
      </c>
      <c r="AN3579" t="s">
        <v>130</v>
      </c>
      <c r="AP3579" t="s">
        <v>41</v>
      </c>
      <c r="AU3579" t="s">
        <v>46</v>
      </c>
      <c r="AY3579" t="s">
        <v>50</v>
      </c>
      <c r="AZ3579" t="s">
        <v>51</v>
      </c>
      <c r="BA3579" t="s">
        <v>52</v>
      </c>
    </row>
    <row r="3580" spans="1:100" x14ac:dyDescent="0.2">
      <c r="A3580" t="s">
        <v>11974</v>
      </c>
      <c r="B3580" t="s">
        <v>4120</v>
      </c>
      <c r="C3580" t="s">
        <v>12029</v>
      </c>
      <c r="D3580" t="s">
        <v>1590</v>
      </c>
      <c r="E3580" t="s">
        <v>12030</v>
      </c>
      <c r="F3580" t="s">
        <v>118</v>
      </c>
      <c r="G3580" t="str">
        <f>HYPERLINK("https://vk.com/wall-27863223_291304?w=wall-27863223_291304_r291362")</f>
        <v>https://vk.com/wall-27863223_291304?w=wall-27863223_291304_r291362</v>
      </c>
      <c r="H3580" t="s">
        <v>228</v>
      </c>
      <c r="I3580" t="s">
        <v>12031</v>
      </c>
      <c r="J3580" t="str">
        <f>HYPERLINK("http://vk.com/id133613737")</f>
        <v>http://vk.com/id133613737</v>
      </c>
      <c r="K3580">
        <v>306</v>
      </c>
      <c r="L3580" t="s">
        <v>151</v>
      </c>
      <c r="N3580" t="s">
        <v>122</v>
      </c>
      <c r="O3580" t="s">
        <v>175</v>
      </c>
      <c r="P3580" t="str">
        <f>HYPERLINK("http://vk.com/club27863223")</f>
        <v>http://vk.com/club27863223</v>
      </c>
      <c r="Q3580">
        <v>134698</v>
      </c>
      <c r="R3580" t="s">
        <v>124</v>
      </c>
      <c r="S3580" t="s">
        <v>125</v>
      </c>
      <c r="T3580" t="s">
        <v>1275</v>
      </c>
      <c r="U3580" t="s">
        <v>1276</v>
      </c>
      <c r="W3580">
        <v>0</v>
      </c>
      <c r="X3580">
        <v>0</v>
      </c>
      <c r="AM3580" t="s">
        <v>129</v>
      </c>
      <c r="AN3580" t="s">
        <v>130</v>
      </c>
      <c r="AP3580" t="s">
        <v>41</v>
      </c>
      <c r="AW3580" t="s">
        <v>48</v>
      </c>
      <c r="AZ3580" t="s">
        <v>51</v>
      </c>
      <c r="BD3580" t="s">
        <v>55</v>
      </c>
    </row>
    <row r="3581" spans="1:100" x14ac:dyDescent="0.2">
      <c r="A3581" t="s">
        <v>11974</v>
      </c>
      <c r="B3581" t="s">
        <v>6996</v>
      </c>
      <c r="C3581" t="s">
        <v>12032</v>
      </c>
      <c r="D3581" t="s">
        <v>129</v>
      </c>
      <c r="E3581" t="s">
        <v>12033</v>
      </c>
      <c r="F3581" t="s">
        <v>180</v>
      </c>
      <c r="G3581" t="str">
        <f>HYPERLINK("https://vk.com/wall-22935147_368046")</f>
        <v>https://vk.com/wall-22935147_368046</v>
      </c>
      <c r="H3581" t="s">
        <v>119</v>
      </c>
      <c r="I3581" t="s">
        <v>11810</v>
      </c>
      <c r="J3581" t="str">
        <f>HYPERLINK("http://vk.com/id13509850")</f>
        <v>http://vk.com/id13509850</v>
      </c>
      <c r="K3581">
        <v>2026</v>
      </c>
      <c r="L3581" t="s">
        <v>121</v>
      </c>
      <c r="N3581" t="s">
        <v>122</v>
      </c>
      <c r="O3581" t="s">
        <v>1093</v>
      </c>
      <c r="P3581" t="str">
        <f>HYPERLINK("http://vk.com/club22935147")</f>
        <v>http://vk.com/club22935147</v>
      </c>
      <c r="Q3581">
        <v>8943</v>
      </c>
      <c r="R3581" t="s">
        <v>124</v>
      </c>
      <c r="S3581" t="s">
        <v>125</v>
      </c>
      <c r="T3581" t="s">
        <v>264</v>
      </c>
      <c r="U3581" t="s">
        <v>265</v>
      </c>
      <c r="W3581">
        <v>5</v>
      </c>
      <c r="X3581">
        <v>5</v>
      </c>
      <c r="AE3581">
        <v>12</v>
      </c>
      <c r="AF3581">
        <v>0</v>
      </c>
      <c r="AG3581">
        <v>1355</v>
      </c>
      <c r="AJ3581" t="s">
        <v>12034</v>
      </c>
      <c r="AK3581" t="s">
        <v>453</v>
      </c>
      <c r="AL3581" t="str">
        <f>HYPERLINK("https://sun9-35.userapi.com/impg/AyPylpZpMlNNU4is1J5oiZc5LKcCHf5EfSWI2w/Vks9aM7ifUo.jpg?size=2560x1920&amp;quality=96&amp;sign=68e2cdfa4ee99d637cfa38bd231a6535&amp;c_uniq_tag=TaUg8tU6F357ZRt-ni8_WKqs9ddlxV5s3PM9LpCfBjI&amp;type=album")</f>
        <v>https://sun9-35.userapi.com/impg/AyPylpZpMlNNU4is1J5oiZc5LKcCHf5EfSWI2w/Vks9aM7ifUo.jpg?size=2560x1920&amp;quality=96&amp;sign=68e2cdfa4ee99d637cfa38bd231a6535&amp;c_uniq_tag=TaUg8tU6F357ZRt-ni8_WKqs9ddlxV5s3PM9LpCfBjI&amp;type=album</v>
      </c>
      <c r="AM3581" t="s">
        <v>129</v>
      </c>
      <c r="AN3581" t="s">
        <v>130</v>
      </c>
      <c r="AP3581" t="s">
        <v>41</v>
      </c>
      <c r="AU3581" t="s">
        <v>46</v>
      </c>
      <c r="AW3581" t="s">
        <v>48</v>
      </c>
      <c r="AZ3581" t="s">
        <v>51</v>
      </c>
      <c r="BA3581" t="s">
        <v>52</v>
      </c>
    </row>
    <row r="3582" spans="1:100" x14ac:dyDescent="0.2">
      <c r="A3582" t="s">
        <v>11974</v>
      </c>
      <c r="B3582" t="s">
        <v>214</v>
      </c>
      <c r="C3582" t="s">
        <v>12035</v>
      </c>
      <c r="D3582" t="s">
        <v>129</v>
      </c>
      <c r="E3582" t="s">
        <v>12036</v>
      </c>
      <c r="F3582" t="s">
        <v>180</v>
      </c>
      <c r="G3582" t="str">
        <f>HYPERLINK("https://vk.com/wall-61202858_1077546")</f>
        <v>https://vk.com/wall-61202858_1077546</v>
      </c>
      <c r="H3582" t="s">
        <v>119</v>
      </c>
      <c r="I3582" t="s">
        <v>2933</v>
      </c>
      <c r="J3582" t="str">
        <f>HYPERLINK("http://vk.com/club61202858")</f>
        <v>http://vk.com/club61202858</v>
      </c>
      <c r="K3582">
        <v>28906</v>
      </c>
      <c r="L3582" t="s">
        <v>340</v>
      </c>
      <c r="N3582" t="s">
        <v>122</v>
      </c>
      <c r="O3582" t="s">
        <v>2933</v>
      </c>
      <c r="P3582" t="str">
        <f>HYPERLINK("http://vk.com/club61202858")</f>
        <v>http://vk.com/club61202858</v>
      </c>
      <c r="Q3582">
        <v>28906</v>
      </c>
      <c r="R3582" t="s">
        <v>124</v>
      </c>
      <c r="S3582" t="s">
        <v>125</v>
      </c>
      <c r="T3582" t="s">
        <v>627</v>
      </c>
      <c r="U3582" t="s">
        <v>2940</v>
      </c>
      <c r="W3582">
        <v>6</v>
      </c>
      <c r="X3582">
        <v>6</v>
      </c>
      <c r="AE3582">
        <v>18</v>
      </c>
      <c r="AF3582">
        <v>0</v>
      </c>
      <c r="AG3582">
        <v>3091</v>
      </c>
      <c r="AM3582" t="s">
        <v>129</v>
      </c>
      <c r="AN3582" t="s">
        <v>130</v>
      </c>
      <c r="AP3582" t="s">
        <v>41</v>
      </c>
      <c r="AW3582" t="s">
        <v>48</v>
      </c>
      <c r="AZ3582" t="s">
        <v>51</v>
      </c>
      <c r="BA3582" t="s">
        <v>52</v>
      </c>
      <c r="BL3582" t="s">
        <v>63</v>
      </c>
    </row>
    <row r="3583" spans="1:100" x14ac:dyDescent="0.2">
      <c r="A3583" t="s">
        <v>11974</v>
      </c>
      <c r="B3583" t="s">
        <v>1920</v>
      </c>
      <c r="C3583" t="s">
        <v>12037</v>
      </c>
      <c r="D3583" t="s">
        <v>12038</v>
      </c>
      <c r="E3583" t="s">
        <v>12039</v>
      </c>
      <c r="F3583" t="s">
        <v>118</v>
      </c>
      <c r="G3583" t="str">
        <f>HYPERLINK("https://telegram.me/popictemChat/538542")</f>
        <v>https://telegram.me/popictemChat/538542</v>
      </c>
      <c r="H3583" t="s">
        <v>119</v>
      </c>
      <c r="I3583" t="s">
        <v>11646</v>
      </c>
      <c r="J3583" t="str">
        <f>HYPERLINK("https://telegram.me/iisaalisaa")</f>
        <v>https://telegram.me/iisaalisaa</v>
      </c>
      <c r="L3583" t="s">
        <v>151</v>
      </c>
      <c r="N3583" t="s">
        <v>143</v>
      </c>
      <c r="O3583" t="s">
        <v>11647</v>
      </c>
      <c r="P3583" t="str">
        <f>HYPERLINK("https://telegram.me/popictemchat")</f>
        <v>https://telegram.me/popictemchat</v>
      </c>
      <c r="Q3583">
        <v>1667</v>
      </c>
      <c r="R3583" t="s">
        <v>145</v>
      </c>
      <c r="AM3583" t="s">
        <v>129</v>
      </c>
      <c r="AN3583" t="s">
        <v>130</v>
      </c>
      <c r="AP3583" t="s">
        <v>41</v>
      </c>
      <c r="AZ3583" t="s">
        <v>51</v>
      </c>
      <c r="BA3583" t="s">
        <v>52</v>
      </c>
      <c r="BM3583" t="s">
        <v>64</v>
      </c>
    </row>
    <row r="3584" spans="1:100" x14ac:dyDescent="0.2">
      <c r="A3584" t="s">
        <v>11974</v>
      </c>
      <c r="B3584" t="s">
        <v>2361</v>
      </c>
      <c r="C3584" t="s">
        <v>12037</v>
      </c>
      <c r="D3584" t="s">
        <v>129</v>
      </c>
      <c r="E3584" t="s">
        <v>12040</v>
      </c>
      <c r="F3584" t="s">
        <v>180</v>
      </c>
      <c r="G3584" t="str">
        <f>HYPERLINK("https://telegram.me/popictemChat/538537")</f>
        <v>https://telegram.me/popictemChat/538537</v>
      </c>
      <c r="H3584" t="s">
        <v>119</v>
      </c>
      <c r="I3584" t="s">
        <v>12041</v>
      </c>
      <c r="J3584" t="str">
        <f>HYPERLINK("https://telegram.me/daywatch0")</f>
        <v>https://telegram.me/daywatch0</v>
      </c>
      <c r="N3584" t="s">
        <v>143</v>
      </c>
      <c r="O3584" t="s">
        <v>11647</v>
      </c>
      <c r="P3584" t="str">
        <f>HYPERLINK("https://telegram.me/popictemchat")</f>
        <v>https://telegram.me/popictemchat</v>
      </c>
      <c r="Q3584">
        <v>1667</v>
      </c>
      <c r="R3584" t="s">
        <v>145</v>
      </c>
      <c r="AM3584" t="s">
        <v>129</v>
      </c>
      <c r="AN3584" t="s">
        <v>130</v>
      </c>
      <c r="AP3584" t="s">
        <v>41</v>
      </c>
      <c r="AT3584" t="s">
        <v>45</v>
      </c>
      <c r="AZ3584" t="s">
        <v>51</v>
      </c>
      <c r="BA3584" t="s">
        <v>52</v>
      </c>
      <c r="BK3584" t="s">
        <v>62</v>
      </c>
      <c r="BM3584" t="s">
        <v>64</v>
      </c>
    </row>
    <row r="3585" spans="1:69" x14ac:dyDescent="0.2">
      <c r="A3585" t="s">
        <v>11974</v>
      </c>
      <c r="B3585" t="s">
        <v>220</v>
      </c>
      <c r="C3585" t="s">
        <v>12042</v>
      </c>
      <c r="D3585" t="s">
        <v>11671</v>
      </c>
      <c r="E3585" t="s">
        <v>12043</v>
      </c>
      <c r="F3585" t="s">
        <v>118</v>
      </c>
      <c r="G3585" t="str">
        <f>HYPERLINK("https://vk.com/wall-54813709_465057?reply=465122&amp;thread=465061")</f>
        <v>https://vk.com/wall-54813709_465057?reply=465122&amp;thread=465061</v>
      </c>
      <c r="H3585" t="s">
        <v>119</v>
      </c>
      <c r="I3585" t="s">
        <v>12044</v>
      </c>
      <c r="J3585" t="str">
        <f>HYPERLINK("http://vk.com/id153653823")</f>
        <v>http://vk.com/id153653823</v>
      </c>
      <c r="K3585">
        <v>88</v>
      </c>
      <c r="L3585" t="s">
        <v>121</v>
      </c>
      <c r="M3585">
        <v>30</v>
      </c>
      <c r="N3585" t="s">
        <v>122</v>
      </c>
      <c r="O3585" t="s">
        <v>11674</v>
      </c>
      <c r="P3585" t="str">
        <f>HYPERLINK("http://vk.com/club54813709")</f>
        <v>http://vk.com/club54813709</v>
      </c>
      <c r="Q3585">
        <v>26749</v>
      </c>
      <c r="R3585" t="s">
        <v>124</v>
      </c>
      <c r="S3585" t="s">
        <v>125</v>
      </c>
      <c r="T3585" t="s">
        <v>612</v>
      </c>
      <c r="U3585" t="s">
        <v>613</v>
      </c>
      <c r="AM3585" t="s">
        <v>129</v>
      </c>
      <c r="AN3585" t="s">
        <v>130</v>
      </c>
      <c r="AP3585" t="s">
        <v>41</v>
      </c>
      <c r="AW3585" t="s">
        <v>48</v>
      </c>
      <c r="AZ3585" t="s">
        <v>51</v>
      </c>
      <c r="BA3585" t="s">
        <v>52</v>
      </c>
      <c r="BL3585" t="s">
        <v>63</v>
      </c>
      <c r="BM3585" t="s">
        <v>64</v>
      </c>
    </row>
    <row r="3586" spans="1:69" x14ac:dyDescent="0.2">
      <c r="A3586" t="s">
        <v>11974</v>
      </c>
      <c r="B3586" t="s">
        <v>2363</v>
      </c>
      <c r="C3586" t="s">
        <v>12045</v>
      </c>
      <c r="D3586" t="s">
        <v>1590</v>
      </c>
      <c r="E3586" t="s">
        <v>12046</v>
      </c>
      <c r="F3586" t="s">
        <v>118</v>
      </c>
      <c r="G3586" t="str">
        <f>HYPERLINK("https://vk.com/wall-27863223_291304?w=wall-27863223_291304_r291361")</f>
        <v>https://vk.com/wall-27863223_291304?w=wall-27863223_291304_r291361</v>
      </c>
      <c r="H3586" t="s">
        <v>119</v>
      </c>
      <c r="I3586" t="s">
        <v>12031</v>
      </c>
      <c r="J3586" t="str">
        <f>HYPERLINK("http://vk.com/id133613737")</f>
        <v>http://vk.com/id133613737</v>
      </c>
      <c r="K3586">
        <v>306</v>
      </c>
      <c r="L3586" t="s">
        <v>151</v>
      </c>
      <c r="N3586" t="s">
        <v>122</v>
      </c>
      <c r="O3586" t="s">
        <v>175</v>
      </c>
      <c r="P3586" t="str">
        <f>HYPERLINK("http://vk.com/club27863223")</f>
        <v>http://vk.com/club27863223</v>
      </c>
      <c r="Q3586">
        <v>134698</v>
      </c>
      <c r="R3586" t="s">
        <v>124</v>
      </c>
      <c r="S3586" t="s">
        <v>125</v>
      </c>
      <c r="T3586" t="s">
        <v>1275</v>
      </c>
      <c r="U3586" t="s">
        <v>1276</v>
      </c>
      <c r="W3586">
        <v>0</v>
      </c>
      <c r="X3586">
        <v>0</v>
      </c>
      <c r="AM3586" t="s">
        <v>129</v>
      </c>
      <c r="AN3586" t="s">
        <v>130</v>
      </c>
      <c r="AP3586" t="s">
        <v>41</v>
      </c>
      <c r="AU3586" t="s">
        <v>46</v>
      </c>
      <c r="AZ3586" t="s">
        <v>51</v>
      </c>
      <c r="BA3586" t="s">
        <v>52</v>
      </c>
    </row>
    <row r="3587" spans="1:69" x14ac:dyDescent="0.2">
      <c r="A3587" t="s">
        <v>11974</v>
      </c>
      <c r="B3587" t="s">
        <v>1930</v>
      </c>
      <c r="C3587" t="s">
        <v>12047</v>
      </c>
      <c r="D3587" t="s">
        <v>1590</v>
      </c>
      <c r="E3587" t="s">
        <v>12048</v>
      </c>
      <c r="F3587" t="s">
        <v>118</v>
      </c>
      <c r="G3587" t="str">
        <f>HYPERLINK("https://vk.com/wall-27863223_291304?w=wall-27863223_291304_r291359")</f>
        <v>https://vk.com/wall-27863223_291304?w=wall-27863223_291304_r291359</v>
      </c>
      <c r="H3587" t="s">
        <v>228</v>
      </c>
      <c r="I3587" t="s">
        <v>8998</v>
      </c>
      <c r="J3587" t="str">
        <f>HYPERLINK("http://vk.com/id432625963")</f>
        <v>http://vk.com/id432625963</v>
      </c>
      <c r="K3587">
        <v>97</v>
      </c>
      <c r="L3587" t="s">
        <v>151</v>
      </c>
      <c r="N3587" t="s">
        <v>122</v>
      </c>
      <c r="O3587" t="s">
        <v>175</v>
      </c>
      <c r="P3587" t="str">
        <f>HYPERLINK("http://vk.com/club27863223")</f>
        <v>http://vk.com/club27863223</v>
      </c>
      <c r="Q3587">
        <v>134698</v>
      </c>
      <c r="R3587" t="s">
        <v>124</v>
      </c>
      <c r="W3587">
        <v>0</v>
      </c>
      <c r="X3587">
        <v>0</v>
      </c>
      <c r="AM3587" t="s">
        <v>129</v>
      </c>
      <c r="AN3587" t="s">
        <v>130</v>
      </c>
      <c r="AP3587" t="s">
        <v>41</v>
      </c>
      <c r="AU3587" t="s">
        <v>46</v>
      </c>
      <c r="AW3587" t="s">
        <v>48</v>
      </c>
      <c r="AZ3587" t="s">
        <v>51</v>
      </c>
      <c r="BA3587" t="s">
        <v>52</v>
      </c>
    </row>
    <row r="3588" spans="1:69" x14ac:dyDescent="0.2">
      <c r="A3588" t="s">
        <v>11974</v>
      </c>
      <c r="B3588" t="s">
        <v>1348</v>
      </c>
      <c r="C3588" t="s">
        <v>12049</v>
      </c>
      <c r="D3588" t="s">
        <v>11671</v>
      </c>
      <c r="E3588" t="s">
        <v>12050</v>
      </c>
      <c r="F3588" t="s">
        <v>118</v>
      </c>
      <c r="G3588" t="str">
        <f>HYPERLINK("https://vk.com/wall-54813709_465057?reply=465120&amp;thread=465061")</f>
        <v>https://vk.com/wall-54813709_465057?reply=465120&amp;thread=465061</v>
      </c>
      <c r="H3588" t="s">
        <v>119</v>
      </c>
      <c r="I3588" t="s">
        <v>12051</v>
      </c>
      <c r="J3588" t="str">
        <f>HYPERLINK("http://vk.com/id629432093")</f>
        <v>http://vk.com/id629432093</v>
      </c>
      <c r="K3588">
        <v>24</v>
      </c>
      <c r="L3588" t="s">
        <v>121</v>
      </c>
      <c r="M3588">
        <v>44</v>
      </c>
      <c r="N3588" t="s">
        <v>122</v>
      </c>
      <c r="O3588" t="s">
        <v>11674</v>
      </c>
      <c r="P3588" t="str">
        <f>HYPERLINK("http://vk.com/club54813709")</f>
        <v>http://vk.com/club54813709</v>
      </c>
      <c r="Q3588">
        <v>26749</v>
      </c>
      <c r="R3588" t="s">
        <v>124</v>
      </c>
      <c r="S3588" t="s">
        <v>125</v>
      </c>
      <c r="T3588" t="s">
        <v>612</v>
      </c>
      <c r="U3588" t="s">
        <v>613</v>
      </c>
      <c r="AM3588" t="s">
        <v>129</v>
      </c>
      <c r="AN3588" t="s">
        <v>130</v>
      </c>
      <c r="AP3588" t="s">
        <v>41</v>
      </c>
      <c r="AZ3588" t="s">
        <v>51</v>
      </c>
      <c r="BA3588" t="s">
        <v>52</v>
      </c>
      <c r="BM3588" t="s">
        <v>64</v>
      </c>
    </row>
    <row r="3589" spans="1:69" x14ac:dyDescent="0.2">
      <c r="A3589" t="s">
        <v>11974</v>
      </c>
      <c r="B3589" t="s">
        <v>2396</v>
      </c>
      <c r="C3589" t="s">
        <v>12052</v>
      </c>
      <c r="D3589" t="s">
        <v>3649</v>
      </c>
      <c r="E3589" t="s">
        <v>12053</v>
      </c>
      <c r="F3589" t="s">
        <v>118</v>
      </c>
      <c r="G3589" t="str">
        <f>HYPERLINK("https://vk.com/wall-22935147_368028?reply=368041")</f>
        <v>https://vk.com/wall-22935147_368028?reply=368041</v>
      </c>
      <c r="H3589" t="s">
        <v>181</v>
      </c>
      <c r="I3589" t="s">
        <v>12054</v>
      </c>
      <c r="J3589" t="str">
        <f>HYPERLINK("http://vk.com/id2709139")</f>
        <v>http://vk.com/id2709139</v>
      </c>
      <c r="K3589">
        <v>27856</v>
      </c>
      <c r="L3589" t="s">
        <v>121</v>
      </c>
      <c r="N3589" t="s">
        <v>122</v>
      </c>
      <c r="O3589" t="s">
        <v>1093</v>
      </c>
      <c r="P3589" t="str">
        <f>HYPERLINK("http://vk.com/club22935147")</f>
        <v>http://vk.com/club22935147</v>
      </c>
      <c r="Q3589">
        <v>8943</v>
      </c>
      <c r="R3589" t="s">
        <v>124</v>
      </c>
      <c r="S3589" t="s">
        <v>125</v>
      </c>
      <c r="T3589" t="s">
        <v>759</v>
      </c>
      <c r="U3589" t="s">
        <v>2080</v>
      </c>
      <c r="AM3589" t="s">
        <v>129</v>
      </c>
      <c r="AN3589" t="s">
        <v>130</v>
      </c>
      <c r="AP3589" t="s">
        <v>41</v>
      </c>
      <c r="AU3589" t="s">
        <v>46</v>
      </c>
      <c r="AZ3589" t="s">
        <v>51</v>
      </c>
      <c r="BA3589" t="s">
        <v>52</v>
      </c>
    </row>
    <row r="3590" spans="1:69" x14ac:dyDescent="0.2">
      <c r="A3590" t="s">
        <v>11974</v>
      </c>
      <c r="B3590" t="s">
        <v>4182</v>
      </c>
      <c r="C3590" t="s">
        <v>12055</v>
      </c>
      <c r="D3590" t="s">
        <v>12056</v>
      </c>
      <c r="E3590" t="s">
        <v>12057</v>
      </c>
      <c r="F3590" t="s">
        <v>118</v>
      </c>
      <c r="G3590" t="str">
        <f>HYPERLINK("https://vk.com/wall-61555010_105309?reply=105314")</f>
        <v>https://vk.com/wall-61555010_105309?reply=105314</v>
      </c>
      <c r="H3590" t="s">
        <v>119</v>
      </c>
      <c r="I3590" t="s">
        <v>12058</v>
      </c>
      <c r="J3590" t="str">
        <f>HYPERLINK("http://vk.com/id578386451")</f>
        <v>http://vk.com/id578386451</v>
      </c>
      <c r="L3590" t="s">
        <v>121</v>
      </c>
      <c r="M3590">
        <v>45</v>
      </c>
      <c r="N3590" t="s">
        <v>122</v>
      </c>
      <c r="O3590" t="s">
        <v>12059</v>
      </c>
      <c r="P3590" t="str">
        <f>HYPERLINK("http://vk.com/club61555010")</f>
        <v>http://vk.com/club61555010</v>
      </c>
      <c r="Q3590">
        <v>10582</v>
      </c>
      <c r="R3590" t="s">
        <v>124</v>
      </c>
      <c r="AM3590" t="s">
        <v>129</v>
      </c>
      <c r="AN3590" t="s">
        <v>130</v>
      </c>
      <c r="AP3590" t="s">
        <v>41</v>
      </c>
      <c r="AY3590" t="s">
        <v>50</v>
      </c>
      <c r="AZ3590" t="s">
        <v>51</v>
      </c>
      <c r="BB3590" t="s">
        <v>53</v>
      </c>
    </row>
    <row r="3591" spans="1:69" x14ac:dyDescent="0.2">
      <c r="A3591" t="s">
        <v>11974</v>
      </c>
      <c r="B3591" t="s">
        <v>1381</v>
      </c>
      <c r="C3591" t="s">
        <v>12060</v>
      </c>
      <c r="D3591" t="s">
        <v>12061</v>
      </c>
      <c r="E3591" t="s">
        <v>12062</v>
      </c>
      <c r="F3591" t="s">
        <v>118</v>
      </c>
      <c r="G3591" t="str">
        <f>HYPERLINK("https://vk.com/wall-11698833_5167?reply=5294&amp;thread=5171")</f>
        <v>https://vk.com/wall-11698833_5167?reply=5294&amp;thread=5171</v>
      </c>
      <c r="H3591" t="s">
        <v>119</v>
      </c>
      <c r="I3591" t="s">
        <v>12063</v>
      </c>
      <c r="J3591" t="str">
        <f>HYPERLINK("http://vk.com/id394627012")</f>
        <v>http://vk.com/id394627012</v>
      </c>
      <c r="K3591">
        <v>87</v>
      </c>
      <c r="L3591" t="s">
        <v>151</v>
      </c>
      <c r="M3591">
        <v>41</v>
      </c>
      <c r="N3591" t="s">
        <v>122</v>
      </c>
      <c r="O3591" t="s">
        <v>12064</v>
      </c>
      <c r="P3591" t="str">
        <f>HYPERLINK("http://vk.com/club11698833")</f>
        <v>http://vk.com/club11698833</v>
      </c>
      <c r="Q3591">
        <v>1418</v>
      </c>
      <c r="R3591" t="s">
        <v>124</v>
      </c>
      <c r="S3591" t="s">
        <v>125</v>
      </c>
      <c r="T3591" t="s">
        <v>169</v>
      </c>
      <c r="U3591" t="s">
        <v>169</v>
      </c>
      <c r="AM3591" t="s">
        <v>129</v>
      </c>
      <c r="AN3591" t="s">
        <v>130</v>
      </c>
      <c r="AP3591" t="s">
        <v>41</v>
      </c>
      <c r="AU3591" t="s">
        <v>46</v>
      </c>
      <c r="AZ3591" t="s">
        <v>51</v>
      </c>
      <c r="BA3591" t="s">
        <v>52</v>
      </c>
    </row>
    <row r="3592" spans="1:69" x14ac:dyDescent="0.2">
      <c r="A3592" t="s">
        <v>11974</v>
      </c>
      <c r="B3592" t="s">
        <v>836</v>
      </c>
      <c r="C3592" t="s">
        <v>12065</v>
      </c>
      <c r="D3592" t="s">
        <v>11791</v>
      </c>
      <c r="E3592" t="s">
        <v>12066</v>
      </c>
      <c r="F3592" t="s">
        <v>118</v>
      </c>
      <c r="G3592" t="str">
        <f>HYPERLINK("https://vk.com/wall-27863223_291352?w=wall-27863223_291352_r291358")</f>
        <v>https://vk.com/wall-27863223_291352?w=wall-27863223_291352_r291358</v>
      </c>
      <c r="H3592" t="s">
        <v>228</v>
      </c>
      <c r="I3592" t="s">
        <v>1855</v>
      </c>
      <c r="J3592" t="str">
        <f>HYPERLINK("http://vk.com/id61524401")</f>
        <v>http://vk.com/id61524401</v>
      </c>
      <c r="K3592">
        <v>153</v>
      </c>
      <c r="L3592" t="s">
        <v>121</v>
      </c>
      <c r="N3592" t="s">
        <v>122</v>
      </c>
      <c r="O3592" t="s">
        <v>175</v>
      </c>
      <c r="P3592" t="str">
        <f>HYPERLINK("http://vk.com/club27863223")</f>
        <v>http://vk.com/club27863223</v>
      </c>
      <c r="Q3592">
        <v>134698</v>
      </c>
      <c r="R3592" t="s">
        <v>124</v>
      </c>
      <c r="S3592" t="s">
        <v>1856</v>
      </c>
      <c r="T3592" t="s">
        <v>1857</v>
      </c>
      <c r="U3592" t="s">
        <v>1858</v>
      </c>
      <c r="W3592">
        <v>0</v>
      </c>
      <c r="X3592">
        <v>0</v>
      </c>
      <c r="AM3592" t="s">
        <v>129</v>
      </c>
      <c r="AN3592" t="s">
        <v>130</v>
      </c>
      <c r="AP3592" t="s">
        <v>41</v>
      </c>
      <c r="AU3592" t="s">
        <v>46</v>
      </c>
      <c r="AZ3592" t="s">
        <v>51</v>
      </c>
      <c r="BA3592" t="s">
        <v>52</v>
      </c>
    </row>
    <row r="3593" spans="1:69" x14ac:dyDescent="0.2">
      <c r="A3593" t="s">
        <v>11974</v>
      </c>
      <c r="B3593" t="s">
        <v>270</v>
      </c>
      <c r="C3593" t="s">
        <v>12067</v>
      </c>
      <c r="D3593" t="s">
        <v>12068</v>
      </c>
      <c r="E3593" t="s">
        <v>12069</v>
      </c>
      <c r="F3593" t="s">
        <v>118</v>
      </c>
      <c r="G3593" t="str">
        <f>HYPERLINK("http://forum.ixbt.com/topic.cgi?id=54:58233-41#post1")</f>
        <v>http://forum.ixbt.com/topic.cgi?id=54:58233-41#post1</v>
      </c>
      <c r="H3593" t="s">
        <v>119</v>
      </c>
      <c r="I3593" t="s">
        <v>12070</v>
      </c>
      <c r="J3593" t="str">
        <f>HYPERLINK("http://forum.ixbt.com/topic.cgi?id=54:58233-41#post1")</f>
        <v>http://forum.ixbt.com/topic.cgi?id=54:58233-41#post1</v>
      </c>
      <c r="N3593" t="s">
        <v>1763</v>
      </c>
      <c r="O3593" t="s">
        <v>12071</v>
      </c>
      <c r="P3593" t="str">
        <f>HYPERLINK("https://forum.ixbt.com/?id=54")</f>
        <v>https://forum.ixbt.com/?id=54</v>
      </c>
      <c r="R3593" t="s">
        <v>295</v>
      </c>
      <c r="S3593" t="s">
        <v>125</v>
      </c>
      <c r="AM3593" t="s">
        <v>129</v>
      </c>
      <c r="AN3593" t="s">
        <v>130</v>
      </c>
      <c r="AP3593" t="s">
        <v>41</v>
      </c>
      <c r="AU3593" t="s">
        <v>46</v>
      </c>
      <c r="AY3593" t="s">
        <v>50</v>
      </c>
      <c r="AZ3593" t="s">
        <v>51</v>
      </c>
      <c r="BA3593" t="s">
        <v>52</v>
      </c>
    </row>
    <row r="3594" spans="1:69" x14ac:dyDescent="0.2">
      <c r="A3594" t="s">
        <v>11974</v>
      </c>
      <c r="B3594" t="s">
        <v>275</v>
      </c>
      <c r="C3594" t="s">
        <v>12067</v>
      </c>
      <c r="D3594" t="s">
        <v>12068</v>
      </c>
      <c r="E3594" t="s">
        <v>12072</v>
      </c>
      <c r="F3594" t="s">
        <v>180</v>
      </c>
      <c r="G3594" t="str">
        <f>HYPERLINK("http://forum.ixbt.com/topic.cgi?id=54:58233-41")</f>
        <v>http://forum.ixbt.com/topic.cgi?id=54:58233-41</v>
      </c>
      <c r="H3594" t="s">
        <v>119</v>
      </c>
      <c r="I3594" t="s">
        <v>12073</v>
      </c>
      <c r="J3594" t="str">
        <f>HYPERLINK("http://forum.ixbt.com/topic.cgi?id=54:58233-41")</f>
        <v>http://forum.ixbt.com/topic.cgi?id=54:58233-41</v>
      </c>
      <c r="N3594" t="s">
        <v>1763</v>
      </c>
      <c r="O3594" t="s">
        <v>12071</v>
      </c>
      <c r="P3594" t="str">
        <f>HYPERLINK("https://forum.ixbt.com/?id=54")</f>
        <v>https://forum.ixbt.com/?id=54</v>
      </c>
      <c r="R3594" t="s">
        <v>295</v>
      </c>
      <c r="S3594" t="s">
        <v>125</v>
      </c>
      <c r="AM3594" t="s">
        <v>129</v>
      </c>
      <c r="AN3594" t="s">
        <v>130</v>
      </c>
      <c r="AP3594" t="s">
        <v>41</v>
      </c>
      <c r="AU3594" t="s">
        <v>46</v>
      </c>
      <c r="AY3594" t="s">
        <v>50</v>
      </c>
      <c r="AZ3594" t="s">
        <v>51</v>
      </c>
      <c r="BA3594" t="s">
        <v>52</v>
      </c>
    </row>
    <row r="3595" spans="1:69" x14ac:dyDescent="0.2">
      <c r="A3595" t="s">
        <v>11974</v>
      </c>
      <c r="B3595" t="s">
        <v>1937</v>
      </c>
      <c r="C3595" t="s">
        <v>12074</v>
      </c>
      <c r="D3595" t="s">
        <v>129</v>
      </c>
      <c r="E3595" t="s">
        <v>12075</v>
      </c>
      <c r="F3595" t="s">
        <v>180</v>
      </c>
      <c r="G3595" t="str">
        <f>HYPERLINK("https://vk.com/wall76633440_1072")</f>
        <v>https://vk.com/wall76633440_1072</v>
      </c>
      <c r="H3595" t="s">
        <v>228</v>
      </c>
      <c r="I3595" t="s">
        <v>12076</v>
      </c>
      <c r="J3595" t="str">
        <f>HYPERLINK("http://vk.com/id76633440")</f>
        <v>http://vk.com/id76633440</v>
      </c>
      <c r="K3595">
        <v>774</v>
      </c>
      <c r="L3595" t="s">
        <v>121</v>
      </c>
      <c r="N3595" t="s">
        <v>122</v>
      </c>
      <c r="O3595" t="s">
        <v>12076</v>
      </c>
      <c r="P3595" t="str">
        <f>HYPERLINK("http://vk.com/id76633440")</f>
        <v>http://vk.com/id76633440</v>
      </c>
      <c r="Q3595">
        <v>774</v>
      </c>
      <c r="R3595" t="s">
        <v>124</v>
      </c>
      <c r="S3595" t="s">
        <v>125</v>
      </c>
      <c r="T3595" t="s">
        <v>12077</v>
      </c>
      <c r="U3595" t="s">
        <v>12078</v>
      </c>
      <c r="W3595">
        <v>2</v>
      </c>
      <c r="X3595">
        <v>2</v>
      </c>
      <c r="AE3595">
        <v>0</v>
      </c>
      <c r="AF3595">
        <v>0</v>
      </c>
      <c r="AG3595">
        <v>253</v>
      </c>
      <c r="AM3595" t="s">
        <v>129</v>
      </c>
      <c r="AN3595" t="s">
        <v>130</v>
      </c>
      <c r="AP3595" t="s">
        <v>41</v>
      </c>
      <c r="AW3595" t="s">
        <v>48</v>
      </c>
      <c r="AZ3595" t="s">
        <v>51</v>
      </c>
      <c r="BA3595" t="s">
        <v>52</v>
      </c>
    </row>
    <row r="3596" spans="1:69" x14ac:dyDescent="0.2">
      <c r="A3596" t="s">
        <v>11974</v>
      </c>
      <c r="B3596" t="s">
        <v>2417</v>
      </c>
      <c r="C3596" t="s">
        <v>12079</v>
      </c>
      <c r="D3596" t="s">
        <v>3649</v>
      </c>
      <c r="E3596" t="s">
        <v>12080</v>
      </c>
      <c r="F3596" t="s">
        <v>118</v>
      </c>
      <c r="G3596" t="str">
        <f>HYPERLINK("https://vk.com/wall-22935147_368028?reply=368037")</f>
        <v>https://vk.com/wall-22935147_368028?reply=368037</v>
      </c>
      <c r="H3596" t="s">
        <v>119</v>
      </c>
      <c r="I3596" t="s">
        <v>5650</v>
      </c>
      <c r="J3596" t="str">
        <f>HYPERLINK("http://vk.com/id619347783")</f>
        <v>http://vk.com/id619347783</v>
      </c>
      <c r="K3596">
        <v>5</v>
      </c>
      <c r="L3596" t="s">
        <v>121</v>
      </c>
      <c r="M3596">
        <v>44</v>
      </c>
      <c r="N3596" t="s">
        <v>122</v>
      </c>
      <c r="O3596" t="s">
        <v>1093</v>
      </c>
      <c r="P3596" t="str">
        <f>HYPERLINK("http://vk.com/club22935147")</f>
        <v>http://vk.com/club22935147</v>
      </c>
      <c r="Q3596">
        <v>8943</v>
      </c>
      <c r="R3596" t="s">
        <v>124</v>
      </c>
      <c r="S3596" t="s">
        <v>125</v>
      </c>
      <c r="T3596" t="s">
        <v>612</v>
      </c>
      <c r="U3596" t="s">
        <v>5651</v>
      </c>
      <c r="AM3596" t="s">
        <v>129</v>
      </c>
      <c r="AN3596" t="s">
        <v>130</v>
      </c>
      <c r="AP3596" t="s">
        <v>41</v>
      </c>
      <c r="AU3596" t="s">
        <v>46</v>
      </c>
      <c r="AZ3596" t="s">
        <v>51</v>
      </c>
      <c r="BA3596" t="s">
        <v>52</v>
      </c>
    </row>
    <row r="3597" spans="1:69" x14ac:dyDescent="0.2">
      <c r="A3597" t="s">
        <v>11974</v>
      </c>
      <c r="B3597" t="s">
        <v>5576</v>
      </c>
      <c r="C3597" t="s">
        <v>12081</v>
      </c>
      <c r="D3597" t="s">
        <v>11791</v>
      </c>
      <c r="E3597" t="s">
        <v>12082</v>
      </c>
      <c r="F3597" t="s">
        <v>118</v>
      </c>
      <c r="G3597" t="str">
        <f>HYPERLINK("https://vk.com/wall-27863223_291352?reply=291355&amp;thread=291353")</f>
        <v>https://vk.com/wall-27863223_291352?reply=291355&amp;thread=291353</v>
      </c>
      <c r="H3597" t="s">
        <v>119</v>
      </c>
      <c r="I3597" t="s">
        <v>2212</v>
      </c>
      <c r="J3597" t="str">
        <f>HYPERLINK("http://vk.com/id140937333")</f>
        <v>http://vk.com/id140937333</v>
      </c>
      <c r="K3597">
        <v>15</v>
      </c>
      <c r="L3597" t="s">
        <v>121</v>
      </c>
      <c r="N3597" t="s">
        <v>122</v>
      </c>
      <c r="O3597" t="s">
        <v>175</v>
      </c>
      <c r="P3597" t="str">
        <f>HYPERLINK("http://vk.com/club27863223")</f>
        <v>http://vk.com/club27863223</v>
      </c>
      <c r="Q3597">
        <v>134698</v>
      </c>
      <c r="R3597" t="s">
        <v>124</v>
      </c>
      <c r="S3597" t="s">
        <v>125</v>
      </c>
      <c r="AM3597" t="s">
        <v>129</v>
      </c>
      <c r="AN3597" t="s">
        <v>130</v>
      </c>
      <c r="AP3597" t="s">
        <v>41</v>
      </c>
      <c r="AU3597" t="s">
        <v>46</v>
      </c>
      <c r="AZ3597" t="s">
        <v>51</v>
      </c>
      <c r="BA3597" t="s">
        <v>52</v>
      </c>
    </row>
    <row r="3598" spans="1:69" x14ac:dyDescent="0.2">
      <c r="A3598" t="s">
        <v>11974</v>
      </c>
      <c r="B3598" t="s">
        <v>285</v>
      </c>
      <c r="C3598" t="s">
        <v>12083</v>
      </c>
      <c r="D3598" t="s">
        <v>12084</v>
      </c>
      <c r="E3598" t="s">
        <v>12085</v>
      </c>
      <c r="F3598" t="s">
        <v>118</v>
      </c>
      <c r="G3598" t="str">
        <f>HYPERLINK("https://vk.com/wall-186674927_11951?reply=11981&amp;thread=11952")</f>
        <v>https://vk.com/wall-186674927_11951?reply=11981&amp;thread=11952</v>
      </c>
      <c r="H3598" t="s">
        <v>228</v>
      </c>
      <c r="I3598" t="s">
        <v>549</v>
      </c>
      <c r="J3598" t="str">
        <f>HYPERLINK("http://vk.com/id9850745")</f>
        <v>http://vk.com/id9850745</v>
      </c>
      <c r="K3598">
        <v>70</v>
      </c>
      <c r="L3598" t="s">
        <v>121</v>
      </c>
      <c r="M3598">
        <v>42</v>
      </c>
      <c r="N3598" t="s">
        <v>122</v>
      </c>
      <c r="O3598" t="s">
        <v>358</v>
      </c>
      <c r="P3598" t="str">
        <f>HYPERLINK("http://vk.com/club186674927")</f>
        <v>http://vk.com/club186674927</v>
      </c>
      <c r="Q3598">
        <v>706</v>
      </c>
      <c r="R3598" t="s">
        <v>124</v>
      </c>
      <c r="S3598" t="s">
        <v>125</v>
      </c>
      <c r="AM3598" t="s">
        <v>129</v>
      </c>
      <c r="AN3598" t="s">
        <v>130</v>
      </c>
      <c r="AP3598" t="s">
        <v>41</v>
      </c>
      <c r="AZ3598" t="s">
        <v>51</v>
      </c>
      <c r="BA3598" t="s">
        <v>52</v>
      </c>
    </row>
    <row r="3599" spans="1:69" x14ac:dyDescent="0.2">
      <c r="A3599" t="s">
        <v>11974</v>
      </c>
      <c r="B3599" t="s">
        <v>2451</v>
      </c>
      <c r="C3599" t="s">
        <v>5601</v>
      </c>
      <c r="D3599" t="s">
        <v>10566</v>
      </c>
      <c r="E3599" t="s">
        <v>12086</v>
      </c>
      <c r="F3599" t="s">
        <v>180</v>
      </c>
      <c r="G3599" t="str">
        <f>HYPERLINK("https://www.ozon.ru/context/detail/id/223532121/#56637461")</f>
        <v>https://www.ozon.ru/context/detail/id/223532121/#56637461</v>
      </c>
      <c r="H3599" t="s">
        <v>181</v>
      </c>
      <c r="I3599" t="s">
        <v>12087</v>
      </c>
      <c r="J3599" t="str">
        <f>HYPERLINK("https://www.ozon.ru/context/client_opinion/ClientGuid/285eb757-43e0-4f79-9767-ab2c7e81fef7/")</f>
        <v>https://www.ozon.ru/context/client_opinion/ClientGuid/285eb757-43e0-4f79-9767-ab2c7e81fef7/</v>
      </c>
      <c r="N3599" t="s">
        <v>183</v>
      </c>
      <c r="O3599" t="s">
        <v>10566</v>
      </c>
      <c r="P3599" t="str">
        <f>HYPERLINK("https://www.ozon.ru/context/detail/id/223532121/")</f>
        <v>https://www.ozon.ru/context/detail/id/223532121/</v>
      </c>
      <c r="R3599" t="s">
        <v>184</v>
      </c>
      <c r="S3599" t="s">
        <v>125</v>
      </c>
      <c r="W3599">
        <v>0</v>
      </c>
      <c r="X3599">
        <v>0</v>
      </c>
      <c r="AH3599">
        <v>5</v>
      </c>
      <c r="AM3599" t="s">
        <v>129</v>
      </c>
      <c r="AN3599" t="s">
        <v>130</v>
      </c>
      <c r="AP3599" t="s">
        <v>41</v>
      </c>
      <c r="AZ3599" t="s">
        <v>51</v>
      </c>
      <c r="BA3599" t="s">
        <v>52</v>
      </c>
      <c r="BL3599" t="s">
        <v>63</v>
      </c>
    </row>
    <row r="3600" spans="1:69" x14ac:dyDescent="0.2">
      <c r="A3600" t="s">
        <v>11974</v>
      </c>
      <c r="B3600" t="s">
        <v>1433</v>
      </c>
      <c r="C3600" t="s">
        <v>12088</v>
      </c>
      <c r="D3600" t="s">
        <v>204</v>
      </c>
      <c r="E3600" t="s">
        <v>12089</v>
      </c>
      <c r="F3600" t="s">
        <v>180</v>
      </c>
      <c r="G3600" t="str">
        <f>HYPERLINK("https://play.google.com/store/apps/details?id=ru.iflex.android.a3colortv&amp;reviewId=gp:AOqpTOHFXqcCkXq8J24HWHoRdCFcRvnLksY1OBXvJrtbP8E7dVjEvusROz5FLp5Kfq71HWp_UtbIRvUC_DCegQ")</f>
        <v>https://play.google.com/store/apps/details?id=ru.iflex.android.a3colortv&amp;reviewId=gp:AOqpTOHFXqcCkXq8J24HWHoRdCFcRvnLksY1OBXvJrtbP8E7dVjEvusROz5FLp5Kfq71HWp_UtbIRvUC_DCegQ</v>
      </c>
      <c r="H3600" t="s">
        <v>228</v>
      </c>
      <c r="I3600" t="s">
        <v>12090</v>
      </c>
      <c r="J3600" t="str">
        <f>HYPERLINK("https://plus.google.com/102719330880405601183")</f>
        <v>https://plus.google.com/102719330880405601183</v>
      </c>
      <c r="L3600" t="s">
        <v>121</v>
      </c>
      <c r="N3600" t="s">
        <v>207</v>
      </c>
      <c r="O3600" t="s">
        <v>204</v>
      </c>
      <c r="P3600" t="str">
        <f>HYPERLINK("https://play.google.com/store/apps/details?id=ru.iflex.android.a3colortv&amp;hl=ru")</f>
        <v>https://play.google.com/store/apps/details?id=ru.iflex.android.a3colortv&amp;hl=ru</v>
      </c>
      <c r="R3600" t="s">
        <v>184</v>
      </c>
      <c r="S3600" t="s">
        <v>125</v>
      </c>
      <c r="W3600">
        <v>0</v>
      </c>
      <c r="X3600">
        <v>0</v>
      </c>
      <c r="AH3600">
        <v>1</v>
      </c>
      <c r="AM3600" t="s">
        <v>129</v>
      </c>
      <c r="AN3600" t="s">
        <v>130</v>
      </c>
      <c r="AP3600" t="s">
        <v>41</v>
      </c>
      <c r="AZ3600" t="s">
        <v>51</v>
      </c>
      <c r="BA3600" t="s">
        <v>52</v>
      </c>
      <c r="BQ3600" t="s">
        <v>68</v>
      </c>
    </row>
    <row r="3601" spans="1:69" x14ac:dyDescent="0.2">
      <c r="A3601" t="s">
        <v>11974</v>
      </c>
      <c r="B3601" t="s">
        <v>2461</v>
      </c>
      <c r="C3601" t="s">
        <v>12091</v>
      </c>
      <c r="D3601" t="s">
        <v>12092</v>
      </c>
      <c r="E3601" t="s">
        <v>12093</v>
      </c>
      <c r="F3601" t="s">
        <v>118</v>
      </c>
      <c r="G3601" t="str">
        <f>HYPERLINK("http://forum.ixbt.com/topic.cgi?id=54:58233-40#post17")</f>
        <v>http://forum.ixbt.com/topic.cgi?id=54:58233-40#post17</v>
      </c>
      <c r="H3601" t="s">
        <v>119</v>
      </c>
      <c r="I3601" t="s">
        <v>12070</v>
      </c>
      <c r="J3601" t="str">
        <f>HYPERLINK("http://forum.ixbt.com/topic.cgi?id=54:58233-40#post17")</f>
        <v>http://forum.ixbt.com/topic.cgi?id=54:58233-40#post17</v>
      </c>
      <c r="N3601" t="s">
        <v>1763</v>
      </c>
      <c r="O3601" t="s">
        <v>12071</v>
      </c>
      <c r="P3601" t="str">
        <f>HYPERLINK("https://forum.ixbt.com/?id=54")</f>
        <v>https://forum.ixbt.com/?id=54</v>
      </c>
      <c r="R3601" t="s">
        <v>295</v>
      </c>
      <c r="S3601" t="s">
        <v>125</v>
      </c>
      <c r="AM3601" t="s">
        <v>129</v>
      </c>
      <c r="AN3601" t="s">
        <v>130</v>
      </c>
      <c r="AP3601" t="s">
        <v>41</v>
      </c>
      <c r="AZ3601" t="s">
        <v>51</v>
      </c>
      <c r="BB3601" t="s">
        <v>53</v>
      </c>
    </row>
    <row r="3602" spans="1:69" x14ac:dyDescent="0.2">
      <c r="A3602" t="s">
        <v>11974</v>
      </c>
      <c r="B3602" t="s">
        <v>1980</v>
      </c>
      <c r="C3602" t="s">
        <v>12094</v>
      </c>
      <c r="D3602" t="s">
        <v>12095</v>
      </c>
      <c r="E3602" t="s">
        <v>12096</v>
      </c>
      <c r="F3602" t="s">
        <v>118</v>
      </c>
      <c r="G3602" t="str">
        <f>HYPERLINK("https://vk.com/wall-186674927_11945?reply=11974")</f>
        <v>https://vk.com/wall-186674927_11945?reply=11974</v>
      </c>
      <c r="H3602" t="s">
        <v>119</v>
      </c>
      <c r="I3602" t="s">
        <v>5114</v>
      </c>
      <c r="J3602" t="str">
        <f>HYPERLINK("http://vk.com/id365357670")</f>
        <v>http://vk.com/id365357670</v>
      </c>
      <c r="K3602">
        <v>8</v>
      </c>
      <c r="L3602" t="s">
        <v>121</v>
      </c>
      <c r="M3602">
        <v>30</v>
      </c>
      <c r="N3602" t="s">
        <v>122</v>
      </c>
      <c r="O3602" t="s">
        <v>358</v>
      </c>
      <c r="P3602" t="str">
        <f>HYPERLINK("http://vk.com/club186674927")</f>
        <v>http://vk.com/club186674927</v>
      </c>
      <c r="Q3602">
        <v>706</v>
      </c>
      <c r="R3602" t="s">
        <v>124</v>
      </c>
      <c r="S3602" t="s">
        <v>125</v>
      </c>
      <c r="T3602" t="s">
        <v>5115</v>
      </c>
      <c r="U3602" t="s">
        <v>5116</v>
      </c>
      <c r="AM3602" t="s">
        <v>129</v>
      </c>
      <c r="AN3602" t="s">
        <v>130</v>
      </c>
      <c r="AP3602" t="s">
        <v>41</v>
      </c>
      <c r="AU3602" t="s">
        <v>46</v>
      </c>
      <c r="AZ3602" t="s">
        <v>51</v>
      </c>
      <c r="BA3602" t="s">
        <v>52</v>
      </c>
    </row>
    <row r="3603" spans="1:69" x14ac:dyDescent="0.2">
      <c r="A3603" t="s">
        <v>11974</v>
      </c>
      <c r="B3603" t="s">
        <v>1980</v>
      </c>
      <c r="C3603" t="s">
        <v>12091</v>
      </c>
      <c r="D3603" t="s">
        <v>12092</v>
      </c>
      <c r="E3603" t="s">
        <v>12097</v>
      </c>
      <c r="F3603" t="s">
        <v>118</v>
      </c>
      <c r="G3603" t="str">
        <f>HYPERLINK("http://forum.ixbt.com/topic.cgi?id=54:58233-40#post16")</f>
        <v>http://forum.ixbt.com/topic.cgi?id=54:58233-40#post16</v>
      </c>
      <c r="H3603" t="s">
        <v>119</v>
      </c>
      <c r="I3603" t="s">
        <v>12073</v>
      </c>
      <c r="J3603" t="str">
        <f>HYPERLINK("http://forum.ixbt.com/topic.cgi?id=54:58233-40#post16")</f>
        <v>http://forum.ixbt.com/topic.cgi?id=54:58233-40#post16</v>
      </c>
      <c r="N3603" t="s">
        <v>1763</v>
      </c>
      <c r="O3603" t="s">
        <v>12071</v>
      </c>
      <c r="P3603" t="str">
        <f>HYPERLINK("https://forum.ixbt.com/?id=54")</f>
        <v>https://forum.ixbt.com/?id=54</v>
      </c>
      <c r="R3603" t="s">
        <v>295</v>
      </c>
      <c r="S3603" t="s">
        <v>125</v>
      </c>
      <c r="AM3603" t="s">
        <v>129</v>
      </c>
      <c r="AN3603" t="s">
        <v>130</v>
      </c>
      <c r="AP3603" t="s">
        <v>41</v>
      </c>
      <c r="AZ3603" t="s">
        <v>51</v>
      </c>
      <c r="BB3603" t="s">
        <v>53</v>
      </c>
    </row>
    <row r="3604" spans="1:69" x14ac:dyDescent="0.2">
      <c r="A3604" t="s">
        <v>11974</v>
      </c>
      <c r="B3604" t="s">
        <v>2478</v>
      </c>
      <c r="C3604" t="s">
        <v>12098</v>
      </c>
      <c r="D3604" t="s">
        <v>3649</v>
      </c>
      <c r="E3604" t="s">
        <v>12099</v>
      </c>
      <c r="F3604" t="s">
        <v>118</v>
      </c>
      <c r="G3604" t="str">
        <f>HYPERLINK("https://vk.com/wall-61101621_254462?reply=254466")</f>
        <v>https://vk.com/wall-61101621_254462?reply=254466</v>
      </c>
      <c r="H3604" t="s">
        <v>119</v>
      </c>
      <c r="I3604" t="s">
        <v>12100</v>
      </c>
      <c r="J3604" t="str">
        <f>HYPERLINK("http://vk.com/id56562939")</f>
        <v>http://vk.com/id56562939</v>
      </c>
      <c r="K3604">
        <v>243</v>
      </c>
      <c r="L3604" t="s">
        <v>121</v>
      </c>
      <c r="N3604" t="s">
        <v>122</v>
      </c>
      <c r="O3604" t="s">
        <v>160</v>
      </c>
      <c r="P3604" t="str">
        <f>HYPERLINK("http://vk.com/club61101621")</f>
        <v>http://vk.com/club61101621</v>
      </c>
      <c r="Q3604">
        <v>21119</v>
      </c>
      <c r="R3604" t="s">
        <v>124</v>
      </c>
      <c r="S3604" t="s">
        <v>125</v>
      </c>
      <c r="T3604" t="s">
        <v>3682</v>
      </c>
      <c r="U3604" t="s">
        <v>4235</v>
      </c>
      <c r="AM3604" t="s">
        <v>129</v>
      </c>
      <c r="AN3604" t="s">
        <v>130</v>
      </c>
      <c r="AP3604" t="s">
        <v>41</v>
      </c>
      <c r="AU3604" t="s">
        <v>46</v>
      </c>
      <c r="AZ3604" t="s">
        <v>51</v>
      </c>
      <c r="BA3604" t="s">
        <v>52</v>
      </c>
    </row>
    <row r="3605" spans="1:69" x14ac:dyDescent="0.2">
      <c r="A3605" t="s">
        <v>11974</v>
      </c>
      <c r="B3605" t="s">
        <v>910</v>
      </c>
      <c r="C3605" t="s">
        <v>12101</v>
      </c>
      <c r="D3605" t="s">
        <v>11919</v>
      </c>
      <c r="E3605" t="s">
        <v>12102</v>
      </c>
      <c r="F3605" t="s">
        <v>180</v>
      </c>
      <c r="G3605" t="str">
        <f>HYPERLINK("https://telesputnik.ru/forum/viewtopic.php?f=36&amp;t=36698&amp;start=10280#p2478966")</f>
        <v>https://telesputnik.ru/forum/viewtopic.php?f=36&amp;t=36698&amp;start=10280#p2478966</v>
      </c>
      <c r="H3605" t="s">
        <v>119</v>
      </c>
      <c r="I3605" t="s">
        <v>1160</v>
      </c>
      <c r="J3605" t="str">
        <f>HYPERLINK("https://telesputnik.ru/forum/memberlist.php?mode=viewprofile&amp;u=304630")</f>
        <v>https://telesputnik.ru/forum/memberlist.php?mode=viewprofile&amp;u=304630</v>
      </c>
      <c r="L3605" t="s">
        <v>121</v>
      </c>
      <c r="N3605" t="s">
        <v>335</v>
      </c>
      <c r="O3605" t="s">
        <v>909</v>
      </c>
      <c r="P3605" t="str">
        <f>HYPERLINK("https://telesputnik.ru/forum/viewforum.php?f=36")</f>
        <v>https://telesputnik.ru/forum/viewforum.php?f=36</v>
      </c>
      <c r="R3605" t="s">
        <v>295</v>
      </c>
      <c r="S3605" t="s">
        <v>125</v>
      </c>
      <c r="AM3605" t="s">
        <v>129</v>
      </c>
      <c r="AN3605" t="s">
        <v>130</v>
      </c>
      <c r="AP3605" t="s">
        <v>41</v>
      </c>
      <c r="AU3605" t="s">
        <v>46</v>
      </c>
      <c r="AW3605" t="s">
        <v>48</v>
      </c>
      <c r="AZ3605" t="s">
        <v>51</v>
      </c>
      <c r="BA3605" t="s">
        <v>52</v>
      </c>
    </row>
    <row r="3606" spans="1:69" x14ac:dyDescent="0.2">
      <c r="A3606" t="s">
        <v>11974</v>
      </c>
      <c r="B3606" t="s">
        <v>351</v>
      </c>
      <c r="C3606" t="s">
        <v>12103</v>
      </c>
      <c r="D3606" t="s">
        <v>129</v>
      </c>
      <c r="E3606" t="s">
        <v>12104</v>
      </c>
      <c r="F3606" t="s">
        <v>180</v>
      </c>
      <c r="G3606" t="str">
        <f>HYPERLINK("https://vk.com/wall-140348781_562710")</f>
        <v>https://vk.com/wall-140348781_562710</v>
      </c>
      <c r="H3606" t="s">
        <v>119</v>
      </c>
      <c r="I3606" t="s">
        <v>11175</v>
      </c>
      <c r="J3606" t="str">
        <f>HYPERLINK("http://vk.com/club140348781")</f>
        <v>http://vk.com/club140348781</v>
      </c>
      <c r="K3606">
        <v>14279</v>
      </c>
      <c r="L3606" t="s">
        <v>340</v>
      </c>
      <c r="N3606" t="s">
        <v>122</v>
      </c>
      <c r="O3606" t="s">
        <v>11175</v>
      </c>
      <c r="P3606" t="str">
        <f>HYPERLINK("http://vk.com/club140348781")</f>
        <v>http://vk.com/club140348781</v>
      </c>
      <c r="Q3606">
        <v>14279</v>
      </c>
      <c r="R3606" t="s">
        <v>124</v>
      </c>
      <c r="S3606" t="s">
        <v>125</v>
      </c>
      <c r="T3606" t="s">
        <v>364</v>
      </c>
      <c r="U3606" t="s">
        <v>12105</v>
      </c>
      <c r="W3606">
        <v>8</v>
      </c>
      <c r="X3606">
        <v>8</v>
      </c>
      <c r="AE3606">
        <v>0</v>
      </c>
      <c r="AF3606">
        <v>1</v>
      </c>
      <c r="AG3606">
        <v>1981</v>
      </c>
      <c r="AM3606" t="s">
        <v>129</v>
      </c>
      <c r="AN3606" t="s">
        <v>130</v>
      </c>
      <c r="AP3606" t="s">
        <v>41</v>
      </c>
      <c r="AT3606" t="s">
        <v>45</v>
      </c>
      <c r="AZ3606" t="s">
        <v>51</v>
      </c>
      <c r="BA3606" t="s">
        <v>52</v>
      </c>
      <c r="BK3606" t="s">
        <v>62</v>
      </c>
    </row>
    <row r="3607" spans="1:69" x14ac:dyDescent="0.2">
      <c r="A3607" t="s">
        <v>11974</v>
      </c>
      <c r="B3607" t="s">
        <v>3002</v>
      </c>
      <c r="C3607" t="s">
        <v>12106</v>
      </c>
      <c r="D3607" t="s">
        <v>12107</v>
      </c>
      <c r="E3607" t="s">
        <v>12108</v>
      </c>
      <c r="F3607" t="s">
        <v>118</v>
      </c>
      <c r="G3607" t="str">
        <f>HYPERLINK("https://ok.ru/group/53456536141992/topic/153704198549672#MTYyNTE1MTA2MTI5NDotMjU3MzoxNjI1MTUxMDYxMjk0OjE1MzcwNDE5ODU0OTY3Mjox")</f>
        <v>https://ok.ru/group/53456536141992/topic/153704198549672#MTYyNTE1MTA2MTI5NDotMjU3MzoxNjI1MTUxMDYxMjk0OjE1MzcwNDE5ODU0OTY3Mjox</v>
      </c>
      <c r="H3607" t="s">
        <v>119</v>
      </c>
      <c r="I3607" t="s">
        <v>12109</v>
      </c>
      <c r="J3607" t="str">
        <f>HYPERLINK("https://ok.ru/profile/523106742969")</f>
        <v>https://ok.ru/profile/523106742969</v>
      </c>
      <c r="K3607">
        <v>119</v>
      </c>
      <c r="L3607" t="s">
        <v>151</v>
      </c>
      <c r="M3607">
        <v>56</v>
      </c>
      <c r="N3607" t="s">
        <v>347</v>
      </c>
      <c r="O3607" t="s">
        <v>12110</v>
      </c>
      <c r="P3607" t="str">
        <f>HYPERLINK("https://ok.ru/group/53456536141992")</f>
        <v>https://ok.ru/group/53456536141992</v>
      </c>
      <c r="Q3607">
        <v>1365584</v>
      </c>
      <c r="R3607" t="s">
        <v>124</v>
      </c>
      <c r="S3607" t="s">
        <v>125</v>
      </c>
      <c r="T3607" t="s">
        <v>487</v>
      </c>
      <c r="U3607" t="s">
        <v>488</v>
      </c>
      <c r="W3607">
        <v>0</v>
      </c>
      <c r="X3607">
        <v>0</v>
      </c>
      <c r="AM3607" t="s">
        <v>129</v>
      </c>
      <c r="AN3607" t="s">
        <v>130</v>
      </c>
      <c r="AP3607" t="s">
        <v>41</v>
      </c>
      <c r="AU3607" t="s">
        <v>46</v>
      </c>
      <c r="AZ3607" t="s">
        <v>51</v>
      </c>
      <c r="BA3607" t="s">
        <v>52</v>
      </c>
    </row>
    <row r="3608" spans="1:69" x14ac:dyDescent="0.2">
      <c r="A3608" t="s">
        <v>11974</v>
      </c>
      <c r="B3608" t="s">
        <v>4716</v>
      </c>
      <c r="C3608" t="s">
        <v>12111</v>
      </c>
      <c r="D3608" t="s">
        <v>204</v>
      </c>
      <c r="E3608" t="s">
        <v>12112</v>
      </c>
      <c r="F3608" t="s">
        <v>180</v>
      </c>
      <c r="G3608" t="str">
        <f>HYPERLINK("https://play.google.com/store/apps/details?id=ru.iflex.android.a3colortv&amp;reviewId=gp:AOqpTOGLZcgCQNqR7of2UsjkKemKSvzGlXDaVN-nIHnE6Bs7H1Cx0yBkT5HyVFYQ_yxPvqiylP3yTb8wFIjeFQ")</f>
        <v>https://play.google.com/store/apps/details?id=ru.iflex.android.a3colortv&amp;reviewId=gp:AOqpTOGLZcgCQNqR7of2UsjkKemKSvzGlXDaVN-nIHnE6Bs7H1Cx0yBkT5HyVFYQ_yxPvqiylP3yTb8wFIjeFQ</v>
      </c>
      <c r="H3608" t="s">
        <v>228</v>
      </c>
      <c r="I3608" t="s">
        <v>12113</v>
      </c>
      <c r="J3608" t="str">
        <f>HYPERLINK("https://plus.google.com/116464098313336195814")</f>
        <v>https://plus.google.com/116464098313336195814</v>
      </c>
      <c r="L3608" t="s">
        <v>151</v>
      </c>
      <c r="N3608" t="s">
        <v>207</v>
      </c>
      <c r="O3608" t="s">
        <v>204</v>
      </c>
      <c r="P3608" t="str">
        <f>HYPERLINK("https://play.google.com/store/apps/details?id=ru.iflex.android.a3colortv&amp;hl=ru")</f>
        <v>https://play.google.com/store/apps/details?id=ru.iflex.android.a3colortv&amp;hl=ru</v>
      </c>
      <c r="R3608" t="s">
        <v>184</v>
      </c>
      <c r="S3608" t="s">
        <v>125</v>
      </c>
      <c r="W3608">
        <v>0</v>
      </c>
      <c r="X3608">
        <v>0</v>
      </c>
      <c r="AH3608">
        <v>2</v>
      </c>
      <c r="AM3608" t="s">
        <v>129</v>
      </c>
      <c r="AN3608" t="s">
        <v>130</v>
      </c>
      <c r="AP3608" t="s">
        <v>41</v>
      </c>
      <c r="AY3608" t="s">
        <v>50</v>
      </c>
      <c r="AZ3608" t="s">
        <v>51</v>
      </c>
      <c r="BA3608" t="s">
        <v>52</v>
      </c>
      <c r="BQ3608" t="s">
        <v>68</v>
      </c>
    </row>
    <row r="3609" spans="1:69" x14ac:dyDescent="0.2">
      <c r="A3609" t="s">
        <v>11974</v>
      </c>
      <c r="B3609" t="s">
        <v>2488</v>
      </c>
      <c r="C3609" t="s">
        <v>12114</v>
      </c>
      <c r="D3609" t="s">
        <v>12084</v>
      </c>
      <c r="E3609" t="s">
        <v>12115</v>
      </c>
      <c r="F3609" t="s">
        <v>118</v>
      </c>
      <c r="G3609" t="str">
        <f>HYPERLINK("https://vk.com/wall-186674927_11951?reply=11967&amp;thread=11952")</f>
        <v>https://vk.com/wall-186674927_11951?reply=11967&amp;thread=11952</v>
      </c>
      <c r="H3609" t="s">
        <v>181</v>
      </c>
      <c r="I3609" t="s">
        <v>549</v>
      </c>
      <c r="J3609" t="str">
        <f>HYPERLINK("http://vk.com/id9850745")</f>
        <v>http://vk.com/id9850745</v>
      </c>
      <c r="K3609">
        <v>70</v>
      </c>
      <c r="L3609" t="s">
        <v>121</v>
      </c>
      <c r="M3609">
        <v>42</v>
      </c>
      <c r="N3609" t="s">
        <v>122</v>
      </c>
      <c r="O3609" t="s">
        <v>358</v>
      </c>
      <c r="P3609" t="str">
        <f>HYPERLINK("http://vk.com/club186674927")</f>
        <v>http://vk.com/club186674927</v>
      </c>
      <c r="Q3609">
        <v>706</v>
      </c>
      <c r="R3609" t="s">
        <v>124</v>
      </c>
      <c r="S3609" t="s">
        <v>125</v>
      </c>
      <c r="AM3609" t="s">
        <v>129</v>
      </c>
      <c r="AN3609" t="s">
        <v>130</v>
      </c>
      <c r="AP3609" t="s">
        <v>41</v>
      </c>
      <c r="AZ3609" t="s">
        <v>51</v>
      </c>
      <c r="BB3609" t="s">
        <v>53</v>
      </c>
    </row>
    <row r="3610" spans="1:69" x14ac:dyDescent="0.2">
      <c r="A3610" t="s">
        <v>11974</v>
      </c>
      <c r="B3610" t="s">
        <v>5153</v>
      </c>
      <c r="C3610" t="s">
        <v>12116</v>
      </c>
      <c r="D3610" t="s">
        <v>12084</v>
      </c>
      <c r="E3610" t="s">
        <v>12117</v>
      </c>
      <c r="F3610" t="s">
        <v>118</v>
      </c>
      <c r="G3610" t="str">
        <f>HYPERLINK("https://vk.com/wall-186674927_11951?reply=11964&amp;thread=11952")</f>
        <v>https://vk.com/wall-186674927_11951?reply=11964&amp;thread=11952</v>
      </c>
      <c r="H3610" t="s">
        <v>119</v>
      </c>
      <c r="I3610" t="s">
        <v>2527</v>
      </c>
      <c r="J3610" t="str">
        <f>HYPERLINK("http://vk.com/id382015409")</f>
        <v>http://vk.com/id382015409</v>
      </c>
      <c r="K3610">
        <v>862</v>
      </c>
      <c r="L3610" t="s">
        <v>121</v>
      </c>
      <c r="N3610" t="s">
        <v>122</v>
      </c>
      <c r="O3610" t="s">
        <v>358</v>
      </c>
      <c r="P3610" t="str">
        <f>HYPERLINK("http://vk.com/club186674927")</f>
        <v>http://vk.com/club186674927</v>
      </c>
      <c r="Q3610">
        <v>706</v>
      </c>
      <c r="R3610" t="s">
        <v>124</v>
      </c>
      <c r="S3610" t="s">
        <v>125</v>
      </c>
      <c r="AM3610" t="s">
        <v>129</v>
      </c>
      <c r="AN3610" t="s">
        <v>130</v>
      </c>
      <c r="AP3610" t="s">
        <v>41</v>
      </c>
      <c r="AZ3610" t="s">
        <v>51</v>
      </c>
      <c r="BB3610" t="s">
        <v>53</v>
      </c>
    </row>
    <row r="3611" spans="1:69" x14ac:dyDescent="0.2">
      <c r="A3611" t="s">
        <v>11974</v>
      </c>
      <c r="B3611" t="s">
        <v>374</v>
      </c>
      <c r="C3611" t="s">
        <v>12118</v>
      </c>
      <c r="D3611" t="s">
        <v>129</v>
      </c>
      <c r="E3611" t="s">
        <v>12119</v>
      </c>
      <c r="F3611" t="s">
        <v>180</v>
      </c>
      <c r="G3611" t="str">
        <f>HYPERLINK("https://vk.com/wall284628371_68310")</f>
        <v>https://vk.com/wall284628371_68310</v>
      </c>
      <c r="H3611" t="s">
        <v>119</v>
      </c>
      <c r="I3611" t="s">
        <v>12120</v>
      </c>
      <c r="J3611" t="str">
        <f>HYPERLINK("http://vk.com/id284628371")</f>
        <v>http://vk.com/id284628371</v>
      </c>
      <c r="K3611">
        <v>121</v>
      </c>
      <c r="L3611" t="s">
        <v>121</v>
      </c>
      <c r="M3611">
        <v>29</v>
      </c>
      <c r="N3611" t="s">
        <v>122</v>
      </c>
      <c r="O3611" t="s">
        <v>12120</v>
      </c>
      <c r="P3611" t="str">
        <f>HYPERLINK("http://vk.com/id284628371")</f>
        <v>http://vk.com/id284628371</v>
      </c>
      <c r="Q3611">
        <v>121</v>
      </c>
      <c r="R3611" t="s">
        <v>124</v>
      </c>
      <c r="S3611" t="s">
        <v>125</v>
      </c>
      <c r="T3611" t="s">
        <v>2566</v>
      </c>
      <c r="U3611" t="s">
        <v>12121</v>
      </c>
      <c r="AM3611" t="s">
        <v>129</v>
      </c>
      <c r="AN3611" t="s">
        <v>130</v>
      </c>
      <c r="AP3611" t="s">
        <v>41</v>
      </c>
      <c r="AU3611" t="s">
        <v>46</v>
      </c>
      <c r="AZ3611" t="s">
        <v>51</v>
      </c>
      <c r="BA3611" t="s">
        <v>52</v>
      </c>
    </row>
    <row r="3612" spans="1:69" x14ac:dyDescent="0.2">
      <c r="A3612" t="s">
        <v>11974</v>
      </c>
      <c r="B3612" t="s">
        <v>3419</v>
      </c>
      <c r="C3612" t="s">
        <v>12122</v>
      </c>
      <c r="D3612" t="s">
        <v>12084</v>
      </c>
      <c r="E3612" t="s">
        <v>12123</v>
      </c>
      <c r="F3612" t="s">
        <v>118</v>
      </c>
      <c r="G3612" t="str">
        <f>HYPERLINK("https://vk.com/wall-186674927_11951?reply=11960")</f>
        <v>https://vk.com/wall-186674927_11951?reply=11960</v>
      </c>
      <c r="H3612" t="s">
        <v>119</v>
      </c>
      <c r="I3612" t="s">
        <v>12124</v>
      </c>
      <c r="J3612" t="str">
        <f>HYPERLINK("http://vk.com/id234736593")</f>
        <v>http://vk.com/id234736593</v>
      </c>
      <c r="K3612">
        <v>89</v>
      </c>
      <c r="L3612" t="s">
        <v>121</v>
      </c>
      <c r="M3612">
        <v>31</v>
      </c>
      <c r="N3612" t="s">
        <v>122</v>
      </c>
      <c r="O3612" t="s">
        <v>358</v>
      </c>
      <c r="P3612" t="str">
        <f>HYPERLINK("http://vk.com/club186674927")</f>
        <v>http://vk.com/club186674927</v>
      </c>
      <c r="Q3612">
        <v>706</v>
      </c>
      <c r="R3612" t="s">
        <v>124</v>
      </c>
      <c r="S3612" t="s">
        <v>125</v>
      </c>
      <c r="T3612" t="s">
        <v>189</v>
      </c>
      <c r="U3612" t="s">
        <v>190</v>
      </c>
      <c r="AM3612" t="s">
        <v>129</v>
      </c>
      <c r="AN3612" t="s">
        <v>130</v>
      </c>
      <c r="AP3612" t="s">
        <v>41</v>
      </c>
      <c r="AU3612" t="s">
        <v>46</v>
      </c>
      <c r="AY3612" t="s">
        <v>50</v>
      </c>
      <c r="AZ3612" t="s">
        <v>51</v>
      </c>
      <c r="BA3612" t="s">
        <v>52</v>
      </c>
    </row>
    <row r="3613" spans="1:69" x14ac:dyDescent="0.2">
      <c r="A3613" t="s">
        <v>11974</v>
      </c>
      <c r="B3613" t="s">
        <v>2499</v>
      </c>
      <c r="C3613" t="s">
        <v>12122</v>
      </c>
      <c r="D3613" t="s">
        <v>12084</v>
      </c>
      <c r="E3613" t="s">
        <v>12125</v>
      </c>
      <c r="F3613" t="s">
        <v>118</v>
      </c>
      <c r="G3613" t="str">
        <f>HYPERLINK("https://vk.com/wall-186674927_11951?reply=11959&amp;thread=11952")</f>
        <v>https://vk.com/wall-186674927_11951?reply=11959&amp;thread=11952</v>
      </c>
      <c r="H3613" t="s">
        <v>119</v>
      </c>
      <c r="I3613" t="s">
        <v>2527</v>
      </c>
      <c r="J3613" t="str">
        <f>HYPERLINK("http://vk.com/id382015409")</f>
        <v>http://vk.com/id382015409</v>
      </c>
      <c r="K3613">
        <v>862</v>
      </c>
      <c r="L3613" t="s">
        <v>121</v>
      </c>
      <c r="N3613" t="s">
        <v>122</v>
      </c>
      <c r="O3613" t="s">
        <v>358</v>
      </c>
      <c r="P3613" t="str">
        <f>HYPERLINK("http://vk.com/club186674927")</f>
        <v>http://vk.com/club186674927</v>
      </c>
      <c r="Q3613">
        <v>706</v>
      </c>
      <c r="R3613" t="s">
        <v>124</v>
      </c>
      <c r="S3613" t="s">
        <v>125</v>
      </c>
      <c r="AM3613" t="s">
        <v>129</v>
      </c>
      <c r="AN3613" t="s">
        <v>130</v>
      </c>
      <c r="AP3613" t="s">
        <v>41</v>
      </c>
      <c r="AU3613" t="s">
        <v>46</v>
      </c>
      <c r="AZ3613" t="s">
        <v>51</v>
      </c>
      <c r="BA3613" t="s">
        <v>52</v>
      </c>
    </row>
    <row r="3614" spans="1:69" x14ac:dyDescent="0.2">
      <c r="A3614" t="s">
        <v>11974</v>
      </c>
      <c r="B3614" t="s">
        <v>1490</v>
      </c>
      <c r="C3614" t="s">
        <v>12126</v>
      </c>
      <c r="D3614" t="s">
        <v>12127</v>
      </c>
      <c r="E3614" t="s">
        <v>12128</v>
      </c>
      <c r="F3614" t="s">
        <v>118</v>
      </c>
      <c r="G3614" t="str">
        <f>HYPERLINK("https://vk.com/wall-201713723_55?reply=60&amp;thread=56")</f>
        <v>https://vk.com/wall-201713723_55?reply=60&amp;thread=56</v>
      </c>
      <c r="H3614" t="s">
        <v>119</v>
      </c>
      <c r="I3614" t="s">
        <v>12129</v>
      </c>
      <c r="J3614" t="str">
        <f>HYPERLINK("http://vk.com/id579928842")</f>
        <v>http://vk.com/id579928842</v>
      </c>
      <c r="K3614">
        <v>138</v>
      </c>
      <c r="L3614" t="s">
        <v>151</v>
      </c>
      <c r="M3614">
        <v>41</v>
      </c>
      <c r="N3614" t="s">
        <v>122</v>
      </c>
      <c r="O3614" t="s">
        <v>12130</v>
      </c>
      <c r="P3614" t="str">
        <f>HYPERLINK("http://vk.com/club201713723")</f>
        <v>http://vk.com/club201713723</v>
      </c>
      <c r="Q3614">
        <v>17</v>
      </c>
      <c r="R3614" t="s">
        <v>124</v>
      </c>
      <c r="S3614" t="s">
        <v>125</v>
      </c>
      <c r="T3614" t="s">
        <v>5146</v>
      </c>
      <c r="U3614" t="s">
        <v>12131</v>
      </c>
      <c r="AM3614" t="s">
        <v>129</v>
      </c>
      <c r="AN3614" t="s">
        <v>130</v>
      </c>
      <c r="AP3614" t="s">
        <v>41</v>
      </c>
      <c r="AZ3614" t="s">
        <v>51</v>
      </c>
      <c r="BB3614" t="s">
        <v>53</v>
      </c>
    </row>
    <row r="3615" spans="1:69" x14ac:dyDescent="0.2">
      <c r="A3615" t="s">
        <v>11974</v>
      </c>
      <c r="B3615" t="s">
        <v>397</v>
      </c>
      <c r="C3615" t="s">
        <v>12132</v>
      </c>
      <c r="D3615" t="s">
        <v>11671</v>
      </c>
      <c r="E3615" t="s">
        <v>12133</v>
      </c>
      <c r="F3615" t="s">
        <v>118</v>
      </c>
      <c r="G3615" t="str">
        <f>HYPERLINK("https://vk.com/wall-54813709_465057?reply=465101")</f>
        <v>https://vk.com/wall-54813709_465057?reply=465101</v>
      </c>
      <c r="H3615" t="s">
        <v>181</v>
      </c>
      <c r="I3615" t="s">
        <v>12134</v>
      </c>
      <c r="J3615" t="str">
        <f>HYPERLINK("http://vk.com/id2584103")</f>
        <v>http://vk.com/id2584103</v>
      </c>
      <c r="K3615">
        <v>100</v>
      </c>
      <c r="L3615" t="s">
        <v>121</v>
      </c>
      <c r="N3615" t="s">
        <v>122</v>
      </c>
      <c r="O3615" t="s">
        <v>11674</v>
      </c>
      <c r="P3615" t="str">
        <f>HYPERLINK("http://vk.com/club54813709")</f>
        <v>http://vk.com/club54813709</v>
      </c>
      <c r="Q3615">
        <v>26749</v>
      </c>
      <c r="R3615" t="s">
        <v>124</v>
      </c>
      <c r="S3615" t="s">
        <v>125</v>
      </c>
      <c r="AM3615" t="s">
        <v>129</v>
      </c>
      <c r="AN3615" t="s">
        <v>130</v>
      </c>
      <c r="AP3615" t="s">
        <v>41</v>
      </c>
      <c r="AZ3615" t="s">
        <v>51</v>
      </c>
      <c r="BA3615" t="s">
        <v>52</v>
      </c>
    </row>
    <row r="3616" spans="1:69" x14ac:dyDescent="0.2">
      <c r="A3616" t="s">
        <v>11974</v>
      </c>
      <c r="B3616" t="s">
        <v>3791</v>
      </c>
      <c r="C3616" t="s">
        <v>12135</v>
      </c>
      <c r="D3616" t="s">
        <v>12084</v>
      </c>
      <c r="E3616" t="s">
        <v>12136</v>
      </c>
      <c r="F3616" t="s">
        <v>118</v>
      </c>
      <c r="G3616" t="str">
        <f>HYPERLINK("https://vk.com/wall-186674927_11951?reply=11952")</f>
        <v>https://vk.com/wall-186674927_11951?reply=11952</v>
      </c>
      <c r="H3616" t="s">
        <v>119</v>
      </c>
      <c r="I3616" t="s">
        <v>549</v>
      </c>
      <c r="J3616" t="str">
        <f>HYPERLINK("http://vk.com/id9850745")</f>
        <v>http://vk.com/id9850745</v>
      </c>
      <c r="K3616">
        <v>70</v>
      </c>
      <c r="L3616" t="s">
        <v>121</v>
      </c>
      <c r="M3616">
        <v>42</v>
      </c>
      <c r="N3616" t="s">
        <v>122</v>
      </c>
      <c r="O3616" t="s">
        <v>358</v>
      </c>
      <c r="P3616" t="str">
        <f>HYPERLINK("http://vk.com/club186674927")</f>
        <v>http://vk.com/club186674927</v>
      </c>
      <c r="Q3616">
        <v>706</v>
      </c>
      <c r="R3616" t="s">
        <v>124</v>
      </c>
      <c r="S3616" t="s">
        <v>125</v>
      </c>
      <c r="AM3616" t="s">
        <v>129</v>
      </c>
      <c r="AN3616" t="s">
        <v>130</v>
      </c>
      <c r="AP3616" t="s">
        <v>41</v>
      </c>
      <c r="AU3616" t="s">
        <v>46</v>
      </c>
      <c r="AZ3616" t="s">
        <v>51</v>
      </c>
      <c r="BA3616" t="s">
        <v>52</v>
      </c>
    </row>
    <row r="3617" spans="1:65" x14ac:dyDescent="0.2">
      <c r="A3617" t="s">
        <v>11974</v>
      </c>
      <c r="B3617" t="s">
        <v>12137</v>
      </c>
      <c r="C3617" t="s">
        <v>12138</v>
      </c>
      <c r="D3617" t="s">
        <v>1523</v>
      </c>
      <c r="E3617" t="s">
        <v>12139</v>
      </c>
      <c r="F3617" t="s">
        <v>180</v>
      </c>
      <c r="G3617" t="str">
        <f>HYPERLINK("https://4pda.to/forum/index.php?showtopic=962924&amp;st=13400#entry107732140")</f>
        <v>https://4pda.to/forum/index.php?showtopic=962924&amp;st=13400#entry107732140</v>
      </c>
      <c r="H3617" t="s">
        <v>119</v>
      </c>
      <c r="I3617" t="s">
        <v>1525</v>
      </c>
      <c r="J3617" t="str">
        <f>HYPERLINK("https://4pda.to/forum/index.php?showuser=8892774")</f>
        <v>https://4pda.to/forum/index.php?showuser=8892774</v>
      </c>
      <c r="N3617" t="s">
        <v>293</v>
      </c>
      <c r="O3617" t="s">
        <v>1526</v>
      </c>
      <c r="P3617" t="str">
        <f>HYPERLINK("https://4pda.to/forum/index.php?showforum=98")</f>
        <v>https://4pda.to/forum/index.php?showforum=98</v>
      </c>
      <c r="R3617" t="s">
        <v>295</v>
      </c>
      <c r="S3617" t="s">
        <v>125</v>
      </c>
      <c r="AM3617" t="s">
        <v>129</v>
      </c>
      <c r="AN3617" t="s">
        <v>130</v>
      </c>
      <c r="AP3617" t="s">
        <v>41</v>
      </c>
      <c r="AU3617" t="s">
        <v>46</v>
      </c>
      <c r="AZ3617" t="s">
        <v>51</v>
      </c>
      <c r="BA3617" t="s">
        <v>52</v>
      </c>
    </row>
    <row r="3618" spans="1:65" x14ac:dyDescent="0.2">
      <c r="A3618" t="s">
        <v>11974</v>
      </c>
      <c r="B3618" t="s">
        <v>948</v>
      </c>
      <c r="C3618" t="s">
        <v>12140</v>
      </c>
      <c r="D3618" t="s">
        <v>129</v>
      </c>
      <c r="E3618" t="s">
        <v>12095</v>
      </c>
      <c r="F3618" t="s">
        <v>180</v>
      </c>
      <c r="G3618" t="str">
        <f>HYPERLINK("https://vk.com/wall-61101621_254463")</f>
        <v>https://vk.com/wall-61101621_254463</v>
      </c>
      <c r="H3618" t="s">
        <v>119</v>
      </c>
      <c r="I3618" t="s">
        <v>10048</v>
      </c>
      <c r="J3618" t="str">
        <f>HYPERLINK("http://vk.com/id651541653")</f>
        <v>http://vk.com/id651541653</v>
      </c>
      <c r="K3618">
        <v>3</v>
      </c>
      <c r="L3618" t="s">
        <v>121</v>
      </c>
      <c r="M3618">
        <v>118</v>
      </c>
      <c r="N3618" t="s">
        <v>122</v>
      </c>
      <c r="O3618" t="s">
        <v>160</v>
      </c>
      <c r="P3618" t="str">
        <f>HYPERLINK("http://vk.com/club61101621")</f>
        <v>http://vk.com/club61101621</v>
      </c>
      <c r="Q3618">
        <v>21119</v>
      </c>
      <c r="R3618" t="s">
        <v>124</v>
      </c>
      <c r="S3618" t="s">
        <v>125</v>
      </c>
      <c r="T3618" t="s">
        <v>169</v>
      </c>
      <c r="U3618" t="s">
        <v>169</v>
      </c>
      <c r="W3618">
        <v>10</v>
      </c>
      <c r="X3618">
        <v>10</v>
      </c>
      <c r="AE3618">
        <v>1</v>
      </c>
      <c r="AF3618">
        <v>0</v>
      </c>
      <c r="AG3618">
        <v>1250</v>
      </c>
      <c r="AJ3618" t="s">
        <v>12141</v>
      </c>
      <c r="AK3618" t="s">
        <v>129</v>
      </c>
      <c r="AL3618" t="str">
        <f>HYPERLINK("https://sun9-19.userapi.com/impg/le8OCvDVmJjr6qPujTtdg7ZpWtsSOahHsaorXw/6w7i0DIET7w.jpg?size=1620x2160&amp;quality=96&amp;sign=dabd9a8c29edf897ca8379c5c4e013cb&amp;c_uniq_tag=ZR-n_yFydxa5REvW__jH9vUYOnP5AkgR5Y21em1Dc38&amp;type=album")</f>
        <v>https://sun9-19.userapi.com/impg/le8OCvDVmJjr6qPujTtdg7ZpWtsSOahHsaorXw/6w7i0DIET7w.jpg?size=1620x2160&amp;quality=96&amp;sign=dabd9a8c29edf897ca8379c5c4e013cb&amp;c_uniq_tag=ZR-n_yFydxa5REvW__jH9vUYOnP5AkgR5Y21em1Dc38&amp;type=album</v>
      </c>
      <c r="AM3618" t="s">
        <v>129</v>
      </c>
      <c r="AN3618" t="s">
        <v>130</v>
      </c>
      <c r="AP3618" t="s">
        <v>41</v>
      </c>
      <c r="AU3618" t="s">
        <v>46</v>
      </c>
      <c r="AZ3618" t="s">
        <v>51</v>
      </c>
      <c r="BA3618" t="s">
        <v>52</v>
      </c>
    </row>
    <row r="3619" spans="1:65" x14ac:dyDescent="0.2">
      <c r="A3619" t="s">
        <v>11974</v>
      </c>
      <c r="B3619" t="s">
        <v>2528</v>
      </c>
      <c r="C3619" t="s">
        <v>12142</v>
      </c>
      <c r="D3619" t="s">
        <v>12143</v>
      </c>
      <c r="E3619" t="s">
        <v>12144</v>
      </c>
      <c r="F3619" t="s">
        <v>118</v>
      </c>
      <c r="G3619" t="str">
        <f>HYPERLINK("https://vk.com/wall-53997646_165416?reply=165459")</f>
        <v>https://vk.com/wall-53997646_165416?reply=165459</v>
      </c>
      <c r="H3619" t="s">
        <v>119</v>
      </c>
      <c r="I3619" t="s">
        <v>4287</v>
      </c>
      <c r="J3619" t="str">
        <f>HYPERLINK("http://vk.com/id617199246")</f>
        <v>http://vk.com/id617199246</v>
      </c>
      <c r="K3619">
        <v>74</v>
      </c>
      <c r="L3619" t="s">
        <v>121</v>
      </c>
      <c r="M3619">
        <v>24</v>
      </c>
      <c r="N3619" t="s">
        <v>122</v>
      </c>
      <c r="O3619" t="s">
        <v>8156</v>
      </c>
      <c r="P3619" t="str">
        <f>HYPERLINK("http://vk.com/club53997646")</f>
        <v>http://vk.com/club53997646</v>
      </c>
      <c r="Q3619">
        <v>539226</v>
      </c>
      <c r="R3619" t="s">
        <v>124</v>
      </c>
      <c r="S3619" t="s">
        <v>125</v>
      </c>
      <c r="AM3619" t="s">
        <v>129</v>
      </c>
      <c r="AN3619" t="s">
        <v>130</v>
      </c>
      <c r="AP3619" t="s">
        <v>41</v>
      </c>
      <c r="AU3619" t="s">
        <v>46</v>
      </c>
      <c r="AZ3619" t="s">
        <v>51</v>
      </c>
      <c r="BA3619" t="s">
        <v>52</v>
      </c>
    </row>
    <row r="3620" spans="1:65" x14ac:dyDescent="0.2">
      <c r="A3620" t="s">
        <v>11974</v>
      </c>
      <c r="B3620" t="s">
        <v>9639</v>
      </c>
      <c r="C3620" t="s">
        <v>12145</v>
      </c>
      <c r="D3620" t="s">
        <v>129</v>
      </c>
      <c r="E3620" t="s">
        <v>12146</v>
      </c>
      <c r="F3620" t="s">
        <v>180</v>
      </c>
      <c r="G3620" t="str">
        <f>HYPERLINK("https://vk.com/wall-14098618_8639")</f>
        <v>https://vk.com/wall-14098618_8639</v>
      </c>
      <c r="H3620" t="s">
        <v>119</v>
      </c>
      <c r="I3620" t="s">
        <v>11810</v>
      </c>
      <c r="J3620" t="str">
        <f>HYPERLINK("http://vk.com/id13509850")</f>
        <v>http://vk.com/id13509850</v>
      </c>
      <c r="K3620">
        <v>2026</v>
      </c>
      <c r="L3620" t="s">
        <v>121</v>
      </c>
      <c r="N3620" t="s">
        <v>122</v>
      </c>
      <c r="O3620" t="s">
        <v>1663</v>
      </c>
      <c r="P3620" t="str">
        <f>HYPERLINK("http://vk.com/club14098618")</f>
        <v>http://vk.com/club14098618</v>
      </c>
      <c r="Q3620">
        <v>4681</v>
      </c>
      <c r="R3620" t="s">
        <v>124</v>
      </c>
      <c r="S3620" t="s">
        <v>125</v>
      </c>
      <c r="T3620" t="s">
        <v>264</v>
      </c>
      <c r="U3620" t="s">
        <v>265</v>
      </c>
      <c r="W3620">
        <v>0</v>
      </c>
      <c r="X3620">
        <v>0</v>
      </c>
      <c r="AE3620">
        <v>0</v>
      </c>
      <c r="AF3620">
        <v>0</v>
      </c>
      <c r="AM3620" t="s">
        <v>129</v>
      </c>
      <c r="AN3620" t="s">
        <v>130</v>
      </c>
      <c r="AP3620" t="s">
        <v>41</v>
      </c>
      <c r="AZ3620" t="s">
        <v>51</v>
      </c>
      <c r="BA3620" t="s">
        <v>52</v>
      </c>
    </row>
    <row r="3621" spans="1:65" x14ac:dyDescent="0.2">
      <c r="A3621" t="s">
        <v>11974</v>
      </c>
      <c r="B3621" t="s">
        <v>4288</v>
      </c>
      <c r="C3621" t="s">
        <v>12147</v>
      </c>
      <c r="D3621" t="s">
        <v>12148</v>
      </c>
      <c r="E3621" t="s">
        <v>12149</v>
      </c>
      <c r="F3621" t="s">
        <v>118</v>
      </c>
      <c r="G3621" t="str">
        <f>HYPERLINK("https://vk.com/wall-22935147_367998?w=wall-22935147_367998_r368034")</f>
        <v>https://vk.com/wall-22935147_367998?w=wall-22935147_367998_r368034</v>
      </c>
      <c r="H3621" t="s">
        <v>119</v>
      </c>
      <c r="I3621" t="s">
        <v>10329</v>
      </c>
      <c r="J3621" t="str">
        <f>HYPERLINK("http://vk.com/id178563316")</f>
        <v>http://vk.com/id178563316</v>
      </c>
      <c r="K3621">
        <v>50</v>
      </c>
      <c r="L3621" t="s">
        <v>121</v>
      </c>
      <c r="M3621">
        <v>49</v>
      </c>
      <c r="N3621" t="s">
        <v>122</v>
      </c>
      <c r="O3621" t="s">
        <v>1093</v>
      </c>
      <c r="P3621" t="str">
        <f>HYPERLINK("http://vk.com/club22935147")</f>
        <v>http://vk.com/club22935147</v>
      </c>
      <c r="Q3621">
        <v>8943</v>
      </c>
      <c r="R3621" t="s">
        <v>124</v>
      </c>
      <c r="S3621" t="s">
        <v>125</v>
      </c>
      <c r="T3621" t="s">
        <v>1365</v>
      </c>
      <c r="U3621" t="s">
        <v>10330</v>
      </c>
      <c r="W3621">
        <v>0</v>
      </c>
      <c r="X3621">
        <v>0</v>
      </c>
      <c r="AM3621" t="s">
        <v>129</v>
      </c>
      <c r="AN3621" t="s">
        <v>130</v>
      </c>
      <c r="AP3621" t="s">
        <v>41</v>
      </c>
      <c r="AU3621" t="s">
        <v>46</v>
      </c>
      <c r="AZ3621" t="s">
        <v>51</v>
      </c>
      <c r="BA3621" t="s">
        <v>52</v>
      </c>
    </row>
    <row r="3622" spans="1:65" x14ac:dyDescent="0.2">
      <c r="A3622" t="s">
        <v>11974</v>
      </c>
      <c r="B3622" t="s">
        <v>12150</v>
      </c>
      <c r="C3622" t="s">
        <v>12151</v>
      </c>
      <c r="D3622" t="s">
        <v>11671</v>
      </c>
      <c r="E3622" t="s">
        <v>12152</v>
      </c>
      <c r="F3622" t="s">
        <v>118</v>
      </c>
      <c r="G3622" t="str">
        <f>HYPERLINK("https://vk.com/wall-54813709_465057?reply=465094")</f>
        <v>https://vk.com/wall-54813709_465057?reply=465094</v>
      </c>
      <c r="H3622" t="s">
        <v>119</v>
      </c>
      <c r="I3622" t="s">
        <v>12153</v>
      </c>
      <c r="J3622" t="str">
        <f>HYPERLINK("http://vk.com/id241389723")</f>
        <v>http://vk.com/id241389723</v>
      </c>
      <c r="K3622">
        <v>59</v>
      </c>
      <c r="L3622" t="s">
        <v>151</v>
      </c>
      <c r="M3622">
        <v>50</v>
      </c>
      <c r="N3622" t="s">
        <v>122</v>
      </c>
      <c r="O3622" t="s">
        <v>11674</v>
      </c>
      <c r="P3622" t="str">
        <f>HYPERLINK("http://vk.com/club54813709")</f>
        <v>http://vk.com/club54813709</v>
      </c>
      <c r="Q3622">
        <v>26749</v>
      </c>
      <c r="R3622" t="s">
        <v>124</v>
      </c>
      <c r="S3622" t="s">
        <v>125</v>
      </c>
      <c r="T3622" t="s">
        <v>612</v>
      </c>
      <c r="U3622" t="s">
        <v>613</v>
      </c>
      <c r="AM3622" t="s">
        <v>129</v>
      </c>
      <c r="AN3622" t="s">
        <v>130</v>
      </c>
      <c r="AP3622" t="s">
        <v>41</v>
      </c>
      <c r="AW3622" t="s">
        <v>48</v>
      </c>
      <c r="AZ3622" t="s">
        <v>51</v>
      </c>
      <c r="BA3622" t="s">
        <v>52</v>
      </c>
    </row>
    <row r="3623" spans="1:65" x14ac:dyDescent="0.2">
      <c r="A3623" t="s">
        <v>11974</v>
      </c>
      <c r="B3623" t="s">
        <v>12150</v>
      </c>
      <c r="C3623" t="s">
        <v>12151</v>
      </c>
      <c r="D3623" t="s">
        <v>12154</v>
      </c>
      <c r="E3623" t="s">
        <v>12155</v>
      </c>
      <c r="F3623" t="s">
        <v>118</v>
      </c>
      <c r="G3623" t="str">
        <f>HYPERLINK("https://vk.com/topic-106691907_33851193?post=20")</f>
        <v>https://vk.com/topic-106691907_33851193?post=20</v>
      </c>
      <c r="H3623" t="s">
        <v>119</v>
      </c>
      <c r="I3623" t="s">
        <v>12156</v>
      </c>
      <c r="J3623" t="str">
        <f>HYPERLINK("http://vk.com/id610663505")</f>
        <v>http://vk.com/id610663505</v>
      </c>
      <c r="L3623" t="s">
        <v>121</v>
      </c>
      <c r="N3623" t="s">
        <v>122</v>
      </c>
      <c r="O3623" t="s">
        <v>12157</v>
      </c>
      <c r="P3623" t="str">
        <f>HYPERLINK("http://vk.com/club106691907")</f>
        <v>http://vk.com/club106691907</v>
      </c>
      <c r="Q3623">
        <v>37</v>
      </c>
      <c r="R3623" t="s">
        <v>124</v>
      </c>
      <c r="S3623" t="s">
        <v>125</v>
      </c>
      <c r="T3623" t="s">
        <v>612</v>
      </c>
      <c r="U3623" t="s">
        <v>942</v>
      </c>
      <c r="AM3623" t="s">
        <v>129</v>
      </c>
      <c r="AN3623" t="s">
        <v>130</v>
      </c>
      <c r="AP3623" t="s">
        <v>41</v>
      </c>
      <c r="AZ3623" t="s">
        <v>51</v>
      </c>
      <c r="BA3623" t="s">
        <v>52</v>
      </c>
    </row>
    <row r="3624" spans="1:65" x14ac:dyDescent="0.2">
      <c r="A3624" t="s">
        <v>11974</v>
      </c>
      <c r="B3624" t="s">
        <v>4749</v>
      </c>
      <c r="C3624" t="s">
        <v>12158</v>
      </c>
      <c r="D3624" t="s">
        <v>12159</v>
      </c>
      <c r="E3624" t="s">
        <v>12160</v>
      </c>
      <c r="F3624" t="s">
        <v>118</v>
      </c>
      <c r="G3624" t="str">
        <f>HYPERLINK("https://vk.com/wall-186674927_11932?reply=11948&amp;thread=11937")</f>
        <v>https://vk.com/wall-186674927_11932?reply=11948&amp;thread=11937</v>
      </c>
      <c r="H3624" t="s">
        <v>119</v>
      </c>
      <c r="I3624" t="s">
        <v>358</v>
      </c>
      <c r="J3624" t="str">
        <f>HYPERLINK("http://vk.com/club186674927")</f>
        <v>http://vk.com/club186674927</v>
      </c>
      <c r="K3624">
        <v>706</v>
      </c>
      <c r="L3624" t="s">
        <v>340</v>
      </c>
      <c r="N3624" t="s">
        <v>122</v>
      </c>
      <c r="O3624" t="s">
        <v>358</v>
      </c>
      <c r="P3624" t="str">
        <f>HYPERLINK("http://vk.com/club186674927")</f>
        <v>http://vk.com/club186674927</v>
      </c>
      <c r="Q3624">
        <v>706</v>
      </c>
      <c r="R3624" t="s">
        <v>124</v>
      </c>
      <c r="S3624" t="s">
        <v>125</v>
      </c>
      <c r="T3624" t="s">
        <v>169</v>
      </c>
      <c r="U3624" t="s">
        <v>169</v>
      </c>
      <c r="AM3624" t="s">
        <v>129</v>
      </c>
      <c r="AN3624" t="s">
        <v>130</v>
      </c>
      <c r="AP3624" t="s">
        <v>41</v>
      </c>
      <c r="AU3624" t="s">
        <v>46</v>
      </c>
      <c r="AZ3624" t="s">
        <v>51</v>
      </c>
      <c r="BA3624" t="s">
        <v>52</v>
      </c>
    </row>
    <row r="3625" spans="1:65" x14ac:dyDescent="0.2">
      <c r="A3625" t="s">
        <v>11974</v>
      </c>
      <c r="B3625" t="s">
        <v>8922</v>
      </c>
      <c r="C3625" t="s">
        <v>11960</v>
      </c>
      <c r="D3625" t="s">
        <v>11616</v>
      </c>
      <c r="E3625" t="s">
        <v>12161</v>
      </c>
      <c r="F3625" t="s">
        <v>118</v>
      </c>
      <c r="G3625" t="str">
        <f>HYPERLINK("https://otzovik.com/review_12104920.html#89756148")</f>
        <v>https://otzovik.com/review_12104920.html#89756148</v>
      </c>
      <c r="H3625" t="s">
        <v>119</v>
      </c>
      <c r="I3625" t="s">
        <v>4551</v>
      </c>
      <c r="J3625" t="str">
        <f>HYPERLINK("http://otzovik.com/profile/aepihin70")</f>
        <v>http://otzovik.com/profile/aepihin70</v>
      </c>
      <c r="N3625" t="s">
        <v>390</v>
      </c>
      <c r="O3625" t="s">
        <v>1067</v>
      </c>
      <c r="P3625" t="str">
        <f>HYPERLINK("https://otzovik.com/reviews/sputnikovoe_televidenie_trikolor_tv/")</f>
        <v>https://otzovik.com/reviews/sputnikovoe_televidenie_trikolor_tv/</v>
      </c>
      <c r="R3625" t="s">
        <v>184</v>
      </c>
      <c r="S3625" t="s">
        <v>125</v>
      </c>
      <c r="AM3625" t="s">
        <v>129</v>
      </c>
      <c r="AN3625" t="s">
        <v>130</v>
      </c>
      <c r="AP3625" t="s">
        <v>41</v>
      </c>
      <c r="AW3625" t="s">
        <v>48</v>
      </c>
      <c r="AZ3625" t="s">
        <v>51</v>
      </c>
      <c r="BA3625" t="s">
        <v>52</v>
      </c>
    </row>
    <row r="3626" spans="1:65" x14ac:dyDescent="0.2">
      <c r="A3626" t="s">
        <v>11974</v>
      </c>
      <c r="B3626" t="s">
        <v>430</v>
      </c>
      <c r="C3626" t="s">
        <v>12162</v>
      </c>
      <c r="D3626" t="s">
        <v>12011</v>
      </c>
      <c r="E3626" t="s">
        <v>12163</v>
      </c>
      <c r="F3626" t="s">
        <v>118</v>
      </c>
      <c r="G3626" t="str">
        <f>HYPERLINK("https://vk.com/wall-22935147_368027?reply=368031")</f>
        <v>https://vk.com/wall-22935147_368027?reply=368031</v>
      </c>
      <c r="H3626" t="s">
        <v>228</v>
      </c>
      <c r="I3626" t="s">
        <v>12164</v>
      </c>
      <c r="J3626" t="str">
        <f>HYPERLINK("http://vk.com/id188161210")</f>
        <v>http://vk.com/id188161210</v>
      </c>
      <c r="K3626">
        <v>60</v>
      </c>
      <c r="L3626" t="s">
        <v>121</v>
      </c>
      <c r="N3626" t="s">
        <v>122</v>
      </c>
      <c r="O3626" t="s">
        <v>1093</v>
      </c>
      <c r="P3626" t="str">
        <f>HYPERLINK("http://vk.com/club22935147")</f>
        <v>http://vk.com/club22935147</v>
      </c>
      <c r="Q3626">
        <v>8943</v>
      </c>
      <c r="R3626" t="s">
        <v>124</v>
      </c>
      <c r="S3626" t="s">
        <v>125</v>
      </c>
      <c r="T3626" t="s">
        <v>759</v>
      </c>
      <c r="U3626" t="s">
        <v>12165</v>
      </c>
      <c r="AM3626" t="s">
        <v>129</v>
      </c>
      <c r="AN3626" t="s">
        <v>130</v>
      </c>
      <c r="AP3626" t="s">
        <v>41</v>
      </c>
      <c r="AU3626" t="s">
        <v>46</v>
      </c>
      <c r="AZ3626" t="s">
        <v>51</v>
      </c>
      <c r="BA3626" t="s">
        <v>52</v>
      </c>
    </row>
    <row r="3627" spans="1:65" x14ac:dyDescent="0.2">
      <c r="A3627" t="s">
        <v>11974</v>
      </c>
      <c r="B3627" t="s">
        <v>3449</v>
      </c>
      <c r="C3627" t="s">
        <v>12166</v>
      </c>
      <c r="D3627" t="s">
        <v>12167</v>
      </c>
      <c r="E3627" t="s">
        <v>12168</v>
      </c>
      <c r="F3627" t="s">
        <v>118</v>
      </c>
      <c r="G3627" t="str">
        <f>HYPERLINK("https://vk.com/wall-150020650_420643?reply=420651")</f>
        <v>https://vk.com/wall-150020650_420643?reply=420651</v>
      </c>
      <c r="H3627" t="s">
        <v>119</v>
      </c>
      <c r="I3627" t="s">
        <v>254</v>
      </c>
      <c r="J3627" t="str">
        <f>HYPERLINK("http://vk.com/id286061518")</f>
        <v>http://vk.com/id286061518</v>
      </c>
      <c r="K3627">
        <v>5170</v>
      </c>
      <c r="L3627" t="s">
        <v>121</v>
      </c>
      <c r="M3627">
        <v>34</v>
      </c>
      <c r="N3627" t="s">
        <v>122</v>
      </c>
      <c r="O3627" t="s">
        <v>12169</v>
      </c>
      <c r="P3627" t="str">
        <f>HYPERLINK("http://vk.com/club150020650")</f>
        <v>http://vk.com/club150020650</v>
      </c>
      <c r="Q3627">
        <v>41338</v>
      </c>
      <c r="R3627" t="s">
        <v>124</v>
      </c>
      <c r="S3627" t="s">
        <v>125</v>
      </c>
      <c r="T3627" t="s">
        <v>256</v>
      </c>
      <c r="U3627" t="s">
        <v>257</v>
      </c>
      <c r="AM3627" t="s">
        <v>129</v>
      </c>
      <c r="AN3627" t="s">
        <v>130</v>
      </c>
      <c r="AP3627" t="s">
        <v>41</v>
      </c>
      <c r="AU3627" t="s">
        <v>46</v>
      </c>
      <c r="AZ3627" t="s">
        <v>51</v>
      </c>
      <c r="BA3627" t="s">
        <v>52</v>
      </c>
    </row>
    <row r="3628" spans="1:65" x14ac:dyDescent="0.2">
      <c r="A3628" t="s">
        <v>11974</v>
      </c>
      <c r="B3628" t="s">
        <v>1518</v>
      </c>
      <c r="C3628" t="s">
        <v>12170</v>
      </c>
      <c r="D3628" t="s">
        <v>2052</v>
      </c>
      <c r="E3628" t="s">
        <v>12171</v>
      </c>
      <c r="F3628" t="s">
        <v>180</v>
      </c>
      <c r="G3628" t="str">
        <f>HYPERLINK("https://www.wildberries.ru/catalog/17288086/detail.aspx?targetUrl=ES#Comments")</f>
        <v>https://www.wildberries.ru/catalog/17288086/detail.aspx?targetUrl=ES#Comments</v>
      </c>
      <c r="H3628" t="s">
        <v>181</v>
      </c>
      <c r="I3628" t="s">
        <v>7764</v>
      </c>
      <c r="J3628" t="str">
        <f>HYPERLINK("https://www.wildberries.ru/profile/w7TDssOkw7PCu8KywrbCucK0wrjCuMK0wrc=")</f>
        <v>https://www.wildberries.ru/profile/w7TDssOkw7PCu8KywrbCucK0wrjCuMK0wrc=</v>
      </c>
      <c r="L3628" t="s">
        <v>121</v>
      </c>
      <c r="N3628" t="s">
        <v>534</v>
      </c>
      <c r="O3628" t="s">
        <v>2052</v>
      </c>
      <c r="P3628" t="str">
        <f>HYPERLINK("https://www.wildberries.ru/catalog/12874318/detail.aspx")</f>
        <v>https://www.wildberries.ru/catalog/12874318/detail.aspx</v>
      </c>
      <c r="R3628" t="s">
        <v>184</v>
      </c>
      <c r="S3628" t="s">
        <v>125</v>
      </c>
      <c r="W3628">
        <v>0</v>
      </c>
      <c r="X3628">
        <v>0</v>
      </c>
      <c r="AH3628">
        <v>5</v>
      </c>
      <c r="AM3628" t="s">
        <v>129</v>
      </c>
      <c r="AN3628" t="s">
        <v>130</v>
      </c>
      <c r="AP3628" t="s">
        <v>41</v>
      </c>
      <c r="AZ3628" t="s">
        <v>51</v>
      </c>
      <c r="BA3628" t="s">
        <v>52</v>
      </c>
      <c r="BK3628" t="s">
        <v>62</v>
      </c>
      <c r="BL3628" t="s">
        <v>63</v>
      </c>
    </row>
    <row r="3629" spans="1:65" x14ac:dyDescent="0.2">
      <c r="A3629" t="s">
        <v>11974</v>
      </c>
      <c r="B3629" t="s">
        <v>1536</v>
      </c>
      <c r="C3629" t="s">
        <v>12172</v>
      </c>
      <c r="D3629" t="s">
        <v>12173</v>
      </c>
      <c r="E3629" t="s">
        <v>12174</v>
      </c>
      <c r="F3629" t="s">
        <v>118</v>
      </c>
      <c r="G3629" t="str">
        <f>HYPERLINK("https://www.youtube.com/watch?v=olsAu3efig4&amp;lc=UgwQ9kJt5s2iDxlCk1t4AaABAg")</f>
        <v>https://www.youtube.com/watch?v=olsAu3efig4&amp;lc=UgwQ9kJt5s2iDxlCk1t4AaABAg</v>
      </c>
      <c r="H3629" t="s">
        <v>119</v>
      </c>
      <c r="I3629" t="s">
        <v>12175</v>
      </c>
      <c r="J3629" t="str">
        <f>HYPERLINK("https://www.youtube.com/channel/UCwk_udfc1ZMSUpu_4YaVnyg")</f>
        <v>https://www.youtube.com/channel/UCwk_udfc1ZMSUpu_4YaVnyg</v>
      </c>
      <c r="K3629">
        <v>0</v>
      </c>
      <c r="L3629" t="s">
        <v>121</v>
      </c>
      <c r="N3629" t="s">
        <v>248</v>
      </c>
      <c r="O3629" t="s">
        <v>1910</v>
      </c>
      <c r="P3629" t="str">
        <f>HYPERLINK("https://www.youtube.com/channel/UCQgd9Ks9oBckRf9hadmZFdA")</f>
        <v>https://www.youtube.com/channel/UCQgd9Ks9oBckRf9hadmZFdA</v>
      </c>
      <c r="Q3629">
        <v>66700</v>
      </c>
      <c r="R3629" t="s">
        <v>124</v>
      </c>
      <c r="S3629" t="s">
        <v>125</v>
      </c>
      <c r="W3629">
        <v>0</v>
      </c>
      <c r="X3629">
        <v>0</v>
      </c>
      <c r="AE3629">
        <v>0</v>
      </c>
      <c r="AM3629" t="s">
        <v>129</v>
      </c>
      <c r="AN3629" t="s">
        <v>130</v>
      </c>
      <c r="AP3629" t="s">
        <v>41</v>
      </c>
      <c r="AW3629" t="s">
        <v>48</v>
      </c>
      <c r="AZ3629" t="s">
        <v>51</v>
      </c>
      <c r="BA3629" t="s">
        <v>52</v>
      </c>
      <c r="BM3629" t="s">
        <v>64</v>
      </c>
    </row>
    <row r="3630" spans="1:65" x14ac:dyDescent="0.2">
      <c r="A3630" t="s">
        <v>11974</v>
      </c>
      <c r="B3630" t="s">
        <v>1540</v>
      </c>
      <c r="C3630" t="s">
        <v>5594</v>
      </c>
      <c r="D3630" t="s">
        <v>1328</v>
      </c>
      <c r="E3630" t="s">
        <v>12176</v>
      </c>
      <c r="F3630" t="s">
        <v>180</v>
      </c>
      <c r="G3630" t="str">
        <f>HYPERLINK("https://www.ozon.ru/context/detail/id/223365373/#56594855")</f>
        <v>https://www.ozon.ru/context/detail/id/223365373/#56594855</v>
      </c>
      <c r="H3630" t="s">
        <v>119</v>
      </c>
      <c r="I3630" t="s">
        <v>512</v>
      </c>
      <c r="J3630" t="str">
        <f>HYPERLINK("https://www.ozon.ru/context/client_opinion/ClientGuid//")</f>
        <v>https://www.ozon.ru/context/client_opinion/ClientGuid//</v>
      </c>
      <c r="N3630" t="s">
        <v>183</v>
      </c>
      <c r="O3630" t="s">
        <v>1328</v>
      </c>
      <c r="P3630" t="str">
        <f>HYPERLINK("https://www.ozon.ru/context/detail/id/223365373/")</f>
        <v>https://www.ozon.ru/context/detail/id/223365373/</v>
      </c>
      <c r="R3630" t="s">
        <v>184</v>
      </c>
      <c r="S3630" t="s">
        <v>125</v>
      </c>
      <c r="W3630">
        <v>0</v>
      </c>
      <c r="X3630">
        <v>0</v>
      </c>
      <c r="AH3630">
        <v>4</v>
      </c>
      <c r="AM3630" t="s">
        <v>129</v>
      </c>
      <c r="AN3630" t="s">
        <v>130</v>
      </c>
      <c r="AP3630" t="s">
        <v>41</v>
      </c>
      <c r="AT3630" t="s">
        <v>45</v>
      </c>
      <c r="AZ3630" t="s">
        <v>51</v>
      </c>
      <c r="BA3630" t="s">
        <v>52</v>
      </c>
    </row>
    <row r="3631" spans="1:65" x14ac:dyDescent="0.2">
      <c r="A3631" t="s">
        <v>11974</v>
      </c>
      <c r="B3631" t="s">
        <v>3115</v>
      </c>
      <c r="C3631" t="s">
        <v>12177</v>
      </c>
      <c r="D3631" t="s">
        <v>12178</v>
      </c>
      <c r="E3631" t="s">
        <v>12179</v>
      </c>
      <c r="F3631" t="s">
        <v>180</v>
      </c>
      <c r="G3631" t="str">
        <f>HYPERLINK("https://www.google.com/maps/reviews/data=!4m5!14m4!1m3!1m2!1s115264556114684893890!2s0x0:0x2b5c68143b8306a7?hl=en-NL")</f>
        <v>https://www.google.com/maps/reviews/data=!4m5!14m4!1m3!1m2!1s115264556114684893890!2s0x0:0x2b5c68143b8306a7?hl=en-NL</v>
      </c>
      <c r="H3631" t="s">
        <v>181</v>
      </c>
      <c r="I3631" t="s">
        <v>12180</v>
      </c>
      <c r="J3631" t="str">
        <f>HYPERLINK("https://maps.google.com/maps/contrib/115264556114684893890")</f>
        <v>https://maps.google.com/maps/contrib/115264556114684893890</v>
      </c>
      <c r="L3631" t="s">
        <v>121</v>
      </c>
      <c r="N3631" t="s">
        <v>673</v>
      </c>
      <c r="O3631" t="s">
        <v>12178</v>
      </c>
      <c r="P3631" t="str">
        <f>HYPERLINK("https://maps.google.com/maps/place/data=!3m1!4b1!4m5!3m4!1s0x0:0x2b5c68143b8306a7!8m2!3d44.739460!4d44.195660")</f>
        <v>https://maps.google.com/maps/place/data=!3m1!4b1!4m5!3m4!1s0x0:0x2b5c68143b8306a7!8m2!3d44.739460!4d44.195660</v>
      </c>
      <c r="R3631" t="s">
        <v>184</v>
      </c>
      <c r="S3631" t="s">
        <v>125</v>
      </c>
      <c r="T3631" t="s">
        <v>494</v>
      </c>
      <c r="U3631" t="s">
        <v>12181</v>
      </c>
      <c r="W3631">
        <v>0</v>
      </c>
      <c r="X3631">
        <v>0</v>
      </c>
      <c r="AH3631">
        <v>5</v>
      </c>
      <c r="AM3631" t="s">
        <v>129</v>
      </c>
      <c r="AN3631" t="s">
        <v>130</v>
      </c>
      <c r="AP3631" t="s">
        <v>41</v>
      </c>
      <c r="AX3631" t="s">
        <v>49</v>
      </c>
      <c r="AZ3631" t="s">
        <v>51</v>
      </c>
      <c r="BA3631" t="s">
        <v>52</v>
      </c>
    </row>
    <row r="3632" spans="1:65" x14ac:dyDescent="0.2">
      <c r="A3632" t="s">
        <v>11974</v>
      </c>
      <c r="B3632" t="s">
        <v>1566</v>
      </c>
      <c r="C3632" t="s">
        <v>12182</v>
      </c>
      <c r="D3632" t="s">
        <v>12148</v>
      </c>
      <c r="E3632" t="s">
        <v>12183</v>
      </c>
      <c r="F3632" t="s">
        <v>118</v>
      </c>
      <c r="G3632" t="str">
        <f>HYPERLINK("https://vk.com/wall-22935147_367998?w=wall-22935147_367998_r368030")</f>
        <v>https://vk.com/wall-22935147_367998?w=wall-22935147_367998_r368030</v>
      </c>
      <c r="H3632" t="s">
        <v>119</v>
      </c>
      <c r="I3632" t="s">
        <v>11892</v>
      </c>
      <c r="J3632" t="str">
        <f>HYPERLINK("http://vk.com/id597480387")</f>
        <v>http://vk.com/id597480387</v>
      </c>
      <c r="K3632">
        <v>12</v>
      </c>
      <c r="L3632" t="s">
        <v>121</v>
      </c>
      <c r="M3632">
        <v>36</v>
      </c>
      <c r="N3632" t="s">
        <v>122</v>
      </c>
      <c r="O3632" t="s">
        <v>1093</v>
      </c>
      <c r="P3632" t="str">
        <f>HYPERLINK("http://vk.com/club22935147")</f>
        <v>http://vk.com/club22935147</v>
      </c>
      <c r="Q3632">
        <v>8943</v>
      </c>
      <c r="R3632" t="s">
        <v>124</v>
      </c>
      <c r="S3632" t="s">
        <v>125</v>
      </c>
      <c r="T3632" t="s">
        <v>3158</v>
      </c>
      <c r="U3632" t="s">
        <v>3159</v>
      </c>
      <c r="W3632">
        <v>0</v>
      </c>
      <c r="X3632">
        <v>0</v>
      </c>
      <c r="AM3632" t="s">
        <v>129</v>
      </c>
      <c r="AN3632" t="s">
        <v>130</v>
      </c>
      <c r="AP3632" t="s">
        <v>41</v>
      </c>
      <c r="AU3632" t="s">
        <v>46</v>
      </c>
      <c r="AZ3632" t="s">
        <v>51</v>
      </c>
      <c r="BA3632" t="s">
        <v>52</v>
      </c>
    </row>
    <row r="3633" spans="1:69" x14ac:dyDescent="0.2">
      <c r="A3633" t="s">
        <v>11974</v>
      </c>
      <c r="B3633" t="s">
        <v>1566</v>
      </c>
      <c r="C3633" t="s">
        <v>12184</v>
      </c>
      <c r="D3633" t="s">
        <v>12185</v>
      </c>
      <c r="E3633" t="s">
        <v>12186</v>
      </c>
      <c r="F3633" t="s">
        <v>118</v>
      </c>
      <c r="G3633" t="str">
        <f>HYPERLINK("https://vk.com/wall-46461167_400368?reply=400787&amp;thread=400668")</f>
        <v>https://vk.com/wall-46461167_400368?reply=400787&amp;thread=400668</v>
      </c>
      <c r="H3633" t="s">
        <v>119</v>
      </c>
      <c r="I3633" t="s">
        <v>11892</v>
      </c>
      <c r="J3633" t="str">
        <f>HYPERLINK("http://vk.com/id597480387")</f>
        <v>http://vk.com/id597480387</v>
      </c>
      <c r="K3633">
        <v>12</v>
      </c>
      <c r="L3633" t="s">
        <v>121</v>
      </c>
      <c r="M3633">
        <v>36</v>
      </c>
      <c r="N3633" t="s">
        <v>122</v>
      </c>
      <c r="O3633" t="s">
        <v>12187</v>
      </c>
      <c r="P3633" t="str">
        <f>HYPERLINK("http://vk.com/club46461167")</f>
        <v>http://vk.com/club46461167</v>
      </c>
      <c r="Q3633">
        <v>44600</v>
      </c>
      <c r="R3633" t="s">
        <v>124</v>
      </c>
      <c r="S3633" t="s">
        <v>125</v>
      </c>
      <c r="T3633" t="s">
        <v>3158</v>
      </c>
      <c r="U3633" t="s">
        <v>3159</v>
      </c>
      <c r="AM3633" t="s">
        <v>129</v>
      </c>
      <c r="AN3633" t="s">
        <v>130</v>
      </c>
      <c r="AP3633" t="s">
        <v>41</v>
      </c>
      <c r="AT3633" t="s">
        <v>45</v>
      </c>
      <c r="AZ3633" t="s">
        <v>51</v>
      </c>
      <c r="BA3633" t="s">
        <v>52</v>
      </c>
      <c r="BL3633" t="s">
        <v>63</v>
      </c>
      <c r="BM3633" t="s">
        <v>64</v>
      </c>
    </row>
    <row r="3634" spans="1:69" x14ac:dyDescent="0.2">
      <c r="A3634" t="s">
        <v>11974</v>
      </c>
      <c r="B3634" t="s">
        <v>466</v>
      </c>
      <c r="C3634" t="s">
        <v>12188</v>
      </c>
      <c r="D3634" t="s">
        <v>12189</v>
      </c>
      <c r="E3634" t="s">
        <v>12190</v>
      </c>
      <c r="F3634" t="s">
        <v>118</v>
      </c>
      <c r="G3634" t="str">
        <f>HYPERLINK("https://vk.com/wall-117749682_649912?reply=649988&amp;thread=649915")</f>
        <v>https://vk.com/wall-117749682_649912?reply=649988&amp;thread=649915</v>
      </c>
      <c r="H3634" t="s">
        <v>119</v>
      </c>
      <c r="I3634" t="s">
        <v>12191</v>
      </c>
      <c r="J3634" t="str">
        <f>HYPERLINK("http://vk.com/id416991028")</f>
        <v>http://vk.com/id416991028</v>
      </c>
      <c r="K3634">
        <v>57</v>
      </c>
      <c r="L3634" t="s">
        <v>151</v>
      </c>
      <c r="N3634" t="s">
        <v>122</v>
      </c>
      <c r="O3634" t="s">
        <v>12192</v>
      </c>
      <c r="P3634" t="str">
        <f>HYPERLINK("http://vk.com/club117749682")</f>
        <v>http://vk.com/club117749682</v>
      </c>
      <c r="Q3634">
        <v>10706</v>
      </c>
      <c r="R3634" t="s">
        <v>124</v>
      </c>
      <c r="S3634" t="s">
        <v>125</v>
      </c>
      <c r="AM3634" t="s">
        <v>129</v>
      </c>
      <c r="AN3634" t="s">
        <v>130</v>
      </c>
      <c r="AP3634" t="s">
        <v>41</v>
      </c>
      <c r="AW3634" t="s">
        <v>48</v>
      </c>
      <c r="AZ3634" t="s">
        <v>51</v>
      </c>
      <c r="BA3634" t="s">
        <v>52</v>
      </c>
    </row>
    <row r="3635" spans="1:69" x14ac:dyDescent="0.2">
      <c r="A3635" t="s">
        <v>11974</v>
      </c>
      <c r="B3635" t="s">
        <v>3137</v>
      </c>
      <c r="C3635" t="s">
        <v>12193</v>
      </c>
      <c r="D3635" t="s">
        <v>12194</v>
      </c>
      <c r="E3635" t="s">
        <v>12195</v>
      </c>
      <c r="F3635" t="s">
        <v>180</v>
      </c>
      <c r="G3635" t="str">
        <f>HYPERLINK("https://market.yandex.ru/product/854192155/reviews?id=133787762")</f>
        <v>https://market.yandex.ru/product/854192155/reviews?id=133787762</v>
      </c>
      <c r="H3635" t="s">
        <v>181</v>
      </c>
      <c r="I3635" t="s">
        <v>12196</v>
      </c>
      <c r="J3635" t="str">
        <f>HYPERLINK("https://market.yandex.ru/user/vn72v16kq66v14u8pdv60bm3e0/reviews")</f>
        <v>https://market.yandex.ru/user/vn72v16kq66v14u8pdv60bm3e0/reviews</v>
      </c>
      <c r="L3635" t="s">
        <v>121</v>
      </c>
      <c r="N3635" t="s">
        <v>611</v>
      </c>
      <c r="O3635" t="s">
        <v>12194</v>
      </c>
      <c r="P3635" t="str">
        <f>HYPERLINK("https://market.yandex.ru/product/854192155")</f>
        <v>https://market.yandex.ru/product/854192155</v>
      </c>
      <c r="R3635" t="s">
        <v>184</v>
      </c>
      <c r="S3635" t="s">
        <v>125</v>
      </c>
      <c r="T3635" t="s">
        <v>169</v>
      </c>
      <c r="U3635" t="s">
        <v>169</v>
      </c>
      <c r="W3635">
        <v>0</v>
      </c>
      <c r="X3635">
        <v>0</v>
      </c>
      <c r="AH3635">
        <v>5</v>
      </c>
      <c r="AM3635" t="s">
        <v>129</v>
      </c>
      <c r="AN3635" t="s">
        <v>130</v>
      </c>
      <c r="AP3635" t="s">
        <v>41</v>
      </c>
      <c r="AT3635" t="s">
        <v>45</v>
      </c>
      <c r="AW3635" t="s">
        <v>48</v>
      </c>
      <c r="AY3635" t="s">
        <v>50</v>
      </c>
      <c r="AZ3635" t="s">
        <v>51</v>
      </c>
      <c r="BA3635" t="s">
        <v>52</v>
      </c>
      <c r="BK3635" t="s">
        <v>62</v>
      </c>
      <c r="BL3635" t="s">
        <v>63</v>
      </c>
    </row>
    <row r="3636" spans="1:69" x14ac:dyDescent="0.2">
      <c r="A3636" t="s">
        <v>11974</v>
      </c>
      <c r="B3636" t="s">
        <v>3137</v>
      </c>
      <c r="C3636" t="s">
        <v>12197</v>
      </c>
      <c r="D3636" t="s">
        <v>12198</v>
      </c>
      <c r="E3636" t="s">
        <v>12199</v>
      </c>
      <c r="F3636" t="s">
        <v>180</v>
      </c>
      <c r="G3636" t="str">
        <f>HYPERLINK("https://telesputnik.ru/forum/viewtopic.php?f=39&amp;t=71144&amp;start=80#p2478747")</f>
        <v>https://telesputnik.ru/forum/viewtopic.php?f=39&amp;t=71144&amp;start=80#p2478747</v>
      </c>
      <c r="H3636" t="s">
        <v>119</v>
      </c>
      <c r="I3636" t="s">
        <v>4701</v>
      </c>
      <c r="J3636" t="str">
        <f>HYPERLINK("https://telesputnik.ru/forum/memberlist.php?mode=viewprofile&amp;u=37648")</f>
        <v>https://telesputnik.ru/forum/memberlist.php?mode=viewprofile&amp;u=37648</v>
      </c>
      <c r="N3636" t="s">
        <v>335</v>
      </c>
      <c r="O3636" t="s">
        <v>2553</v>
      </c>
      <c r="P3636" t="str">
        <f>HYPERLINK("https://telesputnik.ru/forum/viewforum.php?f=39")</f>
        <v>https://telesputnik.ru/forum/viewforum.php?f=39</v>
      </c>
      <c r="R3636" t="s">
        <v>295</v>
      </c>
      <c r="S3636" t="s">
        <v>125</v>
      </c>
      <c r="AM3636" t="s">
        <v>129</v>
      </c>
      <c r="AN3636" t="s">
        <v>130</v>
      </c>
      <c r="AP3636" t="s">
        <v>41</v>
      </c>
      <c r="AT3636" t="s">
        <v>45</v>
      </c>
      <c r="AZ3636" t="s">
        <v>51</v>
      </c>
      <c r="BA3636" t="s">
        <v>52</v>
      </c>
    </row>
    <row r="3637" spans="1:69" x14ac:dyDescent="0.2">
      <c r="A3637" t="s">
        <v>11974</v>
      </c>
      <c r="B3637" t="s">
        <v>2084</v>
      </c>
      <c r="C3637" t="s">
        <v>12200</v>
      </c>
      <c r="D3637" t="s">
        <v>204</v>
      </c>
      <c r="E3637" t="s">
        <v>12201</v>
      </c>
      <c r="F3637" t="s">
        <v>180</v>
      </c>
      <c r="G3637" t="str">
        <f>HYPERLINK("https://play.google.com/store/apps/details?id=ru.iflex.android.a3colortv&amp;reviewId=gp:AOqpTOEmT0sDuRVYpa1CF11SrDo-WP1zqLyYSlTnJYQRdF5pY8B2ZnKaNHdtje5nC4kz_JrfbaGEjggv7k5DDw")</f>
        <v>https://play.google.com/store/apps/details?id=ru.iflex.android.a3colortv&amp;reviewId=gp:AOqpTOEmT0sDuRVYpa1CF11SrDo-WP1zqLyYSlTnJYQRdF5pY8B2ZnKaNHdtje5nC4kz_JrfbaGEjggv7k5DDw</v>
      </c>
      <c r="H3637" t="s">
        <v>181</v>
      </c>
      <c r="I3637" t="s">
        <v>12202</v>
      </c>
      <c r="J3637" t="str">
        <f>HYPERLINK("https://plus.google.com/116932836938698266343")</f>
        <v>https://plus.google.com/116932836938698266343</v>
      </c>
      <c r="L3637" t="s">
        <v>121</v>
      </c>
      <c r="N3637" t="s">
        <v>207</v>
      </c>
      <c r="O3637" t="s">
        <v>204</v>
      </c>
      <c r="P3637" t="str">
        <f>HYPERLINK("https://play.google.com/store/apps/details?id=ru.iflex.android.a3colortv&amp;hl=ru")</f>
        <v>https://play.google.com/store/apps/details?id=ru.iflex.android.a3colortv&amp;hl=ru</v>
      </c>
      <c r="R3637" t="s">
        <v>184</v>
      </c>
      <c r="S3637" t="s">
        <v>125</v>
      </c>
      <c r="W3637">
        <v>0</v>
      </c>
      <c r="X3637">
        <v>0</v>
      </c>
      <c r="AH3637">
        <v>5</v>
      </c>
      <c r="AM3637" t="s">
        <v>129</v>
      </c>
      <c r="AN3637" t="s">
        <v>130</v>
      </c>
      <c r="AP3637" t="s">
        <v>41</v>
      </c>
      <c r="AZ3637" t="s">
        <v>51</v>
      </c>
      <c r="BA3637" t="s">
        <v>52</v>
      </c>
      <c r="BQ3637" t="s">
        <v>68</v>
      </c>
    </row>
    <row r="3638" spans="1:69" x14ac:dyDescent="0.2">
      <c r="A3638" t="s">
        <v>11974</v>
      </c>
      <c r="B3638" t="s">
        <v>2621</v>
      </c>
      <c r="C3638" t="s">
        <v>12203</v>
      </c>
      <c r="D3638" t="s">
        <v>12204</v>
      </c>
      <c r="E3638" t="s">
        <v>12205</v>
      </c>
      <c r="F3638" t="s">
        <v>118</v>
      </c>
      <c r="G3638" t="str">
        <f>HYPERLINK("https://vk.com/wall-174554049_22877?reply=22878")</f>
        <v>https://vk.com/wall-174554049_22877?reply=22878</v>
      </c>
      <c r="H3638" t="s">
        <v>119</v>
      </c>
      <c r="I3638" t="s">
        <v>12206</v>
      </c>
      <c r="J3638" t="str">
        <f>HYPERLINK("http://vk.com/id610397643")</f>
        <v>http://vk.com/id610397643</v>
      </c>
      <c r="K3638">
        <v>37</v>
      </c>
      <c r="L3638" t="s">
        <v>121</v>
      </c>
      <c r="N3638" t="s">
        <v>122</v>
      </c>
      <c r="O3638" t="s">
        <v>12207</v>
      </c>
      <c r="P3638" t="str">
        <f>HYPERLINK("http://vk.com/club174554049")</f>
        <v>http://vk.com/club174554049</v>
      </c>
      <c r="Q3638">
        <v>4455</v>
      </c>
      <c r="R3638" t="s">
        <v>124</v>
      </c>
      <c r="S3638" t="s">
        <v>125</v>
      </c>
      <c r="T3638" t="s">
        <v>487</v>
      </c>
      <c r="U3638" t="s">
        <v>488</v>
      </c>
      <c r="AM3638" t="s">
        <v>129</v>
      </c>
      <c r="AN3638" t="s">
        <v>130</v>
      </c>
      <c r="AP3638" t="s">
        <v>41</v>
      </c>
      <c r="AZ3638" t="s">
        <v>51</v>
      </c>
      <c r="BB3638" t="s">
        <v>53</v>
      </c>
    </row>
    <row r="3639" spans="1:69" x14ac:dyDescent="0.2">
      <c r="A3639" t="s">
        <v>11974</v>
      </c>
      <c r="B3639" t="s">
        <v>4796</v>
      </c>
      <c r="C3639" t="s">
        <v>12203</v>
      </c>
      <c r="D3639" t="s">
        <v>12159</v>
      </c>
      <c r="E3639" t="s">
        <v>12208</v>
      </c>
      <c r="F3639" t="s">
        <v>118</v>
      </c>
      <c r="G3639" t="str">
        <f>HYPERLINK("https://vk.com/wall-186674927_11932?reply=11938&amp;thread=11937")</f>
        <v>https://vk.com/wall-186674927_11932?reply=11938&amp;thread=11937</v>
      </c>
      <c r="H3639" t="s">
        <v>119</v>
      </c>
      <c r="I3639" t="s">
        <v>2603</v>
      </c>
      <c r="J3639" t="str">
        <f>HYPERLINK("http://vk.com/id414299157")</f>
        <v>http://vk.com/id414299157</v>
      </c>
      <c r="K3639">
        <v>1273</v>
      </c>
      <c r="L3639" t="s">
        <v>121</v>
      </c>
      <c r="M3639">
        <v>22</v>
      </c>
      <c r="N3639" t="s">
        <v>122</v>
      </c>
      <c r="O3639" t="s">
        <v>358</v>
      </c>
      <c r="P3639" t="str">
        <f>HYPERLINK("http://vk.com/club186674927")</f>
        <v>http://vk.com/club186674927</v>
      </c>
      <c r="Q3639">
        <v>706</v>
      </c>
      <c r="R3639" t="s">
        <v>124</v>
      </c>
      <c r="S3639" t="s">
        <v>125</v>
      </c>
      <c r="AJ3639" t="s">
        <v>588</v>
      </c>
      <c r="AK3639" t="s">
        <v>876</v>
      </c>
      <c r="AL3639" t="str">
        <f>HYPERLINK("https://i.mycdn.me/getVideoPreview?id=1464082500234&amp;idx=7&amp;type=39&amp;tkn=KNZybKPFX_-sBJowtZpkJxIb90A&amp;fn=vid_w")</f>
        <v>https://i.mycdn.me/getVideoPreview?id=1464082500234&amp;idx=7&amp;type=39&amp;tkn=KNZybKPFX_-sBJowtZpkJxIb90A&amp;fn=vid_w</v>
      </c>
      <c r="AM3639" t="s">
        <v>129</v>
      </c>
      <c r="AN3639" t="s">
        <v>130</v>
      </c>
      <c r="AP3639" t="s">
        <v>41</v>
      </c>
      <c r="AU3639" t="s">
        <v>46</v>
      </c>
      <c r="AZ3639" t="s">
        <v>51</v>
      </c>
      <c r="BA3639" t="s">
        <v>52</v>
      </c>
    </row>
    <row r="3640" spans="1:69" x14ac:dyDescent="0.2">
      <c r="A3640" t="s">
        <v>11974</v>
      </c>
      <c r="B3640" t="s">
        <v>3163</v>
      </c>
      <c r="C3640" t="s">
        <v>12209</v>
      </c>
      <c r="D3640" t="s">
        <v>11911</v>
      </c>
      <c r="E3640" t="s">
        <v>12210</v>
      </c>
      <c r="F3640" t="s">
        <v>118</v>
      </c>
      <c r="G3640" t="str">
        <f>HYPERLINK("https://vk.com/wall-61101621_254456?reply=254461")</f>
        <v>https://vk.com/wall-61101621_254456?reply=254461</v>
      </c>
      <c r="H3640" t="s">
        <v>119</v>
      </c>
      <c r="I3640" t="s">
        <v>10048</v>
      </c>
      <c r="J3640" t="str">
        <f>HYPERLINK("http://vk.com/id651541653")</f>
        <v>http://vk.com/id651541653</v>
      </c>
      <c r="K3640">
        <v>3</v>
      </c>
      <c r="L3640" t="s">
        <v>121</v>
      </c>
      <c r="M3640">
        <v>118</v>
      </c>
      <c r="N3640" t="s">
        <v>122</v>
      </c>
      <c r="O3640" t="s">
        <v>160</v>
      </c>
      <c r="P3640" t="str">
        <f>HYPERLINK("http://vk.com/club61101621")</f>
        <v>http://vk.com/club61101621</v>
      </c>
      <c r="Q3640">
        <v>21119</v>
      </c>
      <c r="R3640" t="s">
        <v>124</v>
      </c>
      <c r="S3640" t="s">
        <v>125</v>
      </c>
      <c r="T3640" t="s">
        <v>169</v>
      </c>
      <c r="U3640" t="s">
        <v>169</v>
      </c>
      <c r="W3640">
        <v>0</v>
      </c>
      <c r="X3640">
        <v>0</v>
      </c>
      <c r="AM3640" t="s">
        <v>129</v>
      </c>
      <c r="AN3640" t="s">
        <v>130</v>
      </c>
      <c r="AP3640" t="s">
        <v>41</v>
      </c>
      <c r="AZ3640" t="s">
        <v>51</v>
      </c>
      <c r="BA3640" t="s">
        <v>52</v>
      </c>
      <c r="BL3640" t="s">
        <v>63</v>
      </c>
    </row>
    <row r="3641" spans="1:69" x14ac:dyDescent="0.2">
      <c r="A3641" t="s">
        <v>11974</v>
      </c>
      <c r="B3641" t="s">
        <v>500</v>
      </c>
      <c r="C3641" t="s">
        <v>12200</v>
      </c>
      <c r="D3641" t="s">
        <v>204</v>
      </c>
      <c r="E3641" t="s">
        <v>12211</v>
      </c>
      <c r="F3641" t="s">
        <v>180</v>
      </c>
      <c r="G3641" t="str">
        <f>HYPERLINK("https://play.google.com/store/apps/details?id=ru.iflex.android.a3colortv&amp;reviewId=gp:AOqpTOGBWlwAo3QiLeMq8S9jSgOQummFXutRMk_16b67CkXLHc3zmrdHfIgE7rax31xOX1SxZ2CCc7VvHLL0kg")</f>
        <v>https://play.google.com/store/apps/details?id=ru.iflex.android.a3colortv&amp;reviewId=gp:AOqpTOGBWlwAo3QiLeMq8S9jSgOQummFXutRMk_16b67CkXLHc3zmrdHfIgE7rax31xOX1SxZ2CCc7VvHLL0kg</v>
      </c>
      <c r="H3641" t="s">
        <v>119</v>
      </c>
      <c r="I3641" t="s">
        <v>12212</v>
      </c>
      <c r="J3641" t="str">
        <f>HYPERLINK("https://plus.google.com/108797445281204278515")</f>
        <v>https://plus.google.com/108797445281204278515</v>
      </c>
      <c r="L3641" t="s">
        <v>121</v>
      </c>
      <c r="N3641" t="s">
        <v>207</v>
      </c>
      <c r="O3641" t="s">
        <v>204</v>
      </c>
      <c r="P3641" t="str">
        <f>HYPERLINK("https://play.google.com/store/apps/details?id=ru.iflex.android.a3colortv&amp;hl=ru")</f>
        <v>https://play.google.com/store/apps/details?id=ru.iflex.android.a3colortv&amp;hl=ru</v>
      </c>
      <c r="R3641" t="s">
        <v>184</v>
      </c>
      <c r="S3641" t="s">
        <v>125</v>
      </c>
      <c r="W3641">
        <v>0</v>
      </c>
      <c r="X3641">
        <v>0</v>
      </c>
      <c r="AH3641">
        <v>4</v>
      </c>
      <c r="AM3641" t="s">
        <v>129</v>
      </c>
      <c r="AN3641" t="s">
        <v>130</v>
      </c>
      <c r="AP3641" t="s">
        <v>41</v>
      </c>
      <c r="AZ3641" t="s">
        <v>51</v>
      </c>
      <c r="BA3641" t="s">
        <v>52</v>
      </c>
      <c r="BQ3641" t="s">
        <v>68</v>
      </c>
    </row>
    <row r="3642" spans="1:69" x14ac:dyDescent="0.2">
      <c r="A3642" t="s">
        <v>11974</v>
      </c>
      <c r="B3642" t="s">
        <v>1057</v>
      </c>
      <c r="C3642" t="s">
        <v>12213</v>
      </c>
      <c r="D3642" t="s">
        <v>12214</v>
      </c>
      <c r="E3642" t="s">
        <v>12215</v>
      </c>
      <c r="F3642" t="s">
        <v>118</v>
      </c>
      <c r="G3642" t="str">
        <f>HYPERLINK("https://telegram.me/cesbo_ru/294718")</f>
        <v>https://telegram.me/cesbo_ru/294718</v>
      </c>
      <c r="H3642" t="s">
        <v>119</v>
      </c>
      <c r="I3642" t="s">
        <v>12216</v>
      </c>
      <c r="J3642" t="str">
        <f>HYPERLINK("https://telegram.me/ping_85")</f>
        <v>https://telegram.me/ping_85</v>
      </c>
      <c r="N3642" t="s">
        <v>143</v>
      </c>
      <c r="O3642" t="s">
        <v>12217</v>
      </c>
      <c r="P3642" t="str">
        <f>HYPERLINK("https://telegram.me/cesbo_ru")</f>
        <v>https://telegram.me/cesbo_ru</v>
      </c>
      <c r="Q3642">
        <v>1056</v>
      </c>
      <c r="R3642" t="s">
        <v>145</v>
      </c>
      <c r="AM3642" t="s">
        <v>129</v>
      </c>
      <c r="AN3642" t="s">
        <v>130</v>
      </c>
      <c r="AP3642" t="s">
        <v>41</v>
      </c>
      <c r="AU3642" t="s">
        <v>46</v>
      </c>
      <c r="AZ3642" t="s">
        <v>51</v>
      </c>
      <c r="BA3642" t="s">
        <v>52</v>
      </c>
    </row>
    <row r="3643" spans="1:69" x14ac:dyDescent="0.2">
      <c r="A3643" t="s">
        <v>11974</v>
      </c>
      <c r="B3643" t="s">
        <v>6457</v>
      </c>
      <c r="C3643" t="s">
        <v>12218</v>
      </c>
      <c r="D3643" t="s">
        <v>4147</v>
      </c>
      <c r="E3643" t="s">
        <v>12219</v>
      </c>
      <c r="F3643" t="s">
        <v>180</v>
      </c>
      <c r="G3643" t="str">
        <f>HYPERLINK("https://www.wildberries.ru/catalog/15145842/detail.aspx?targetUrl=ES#Comments")</f>
        <v>https://www.wildberries.ru/catalog/15145842/detail.aspx?targetUrl=ES#Comments</v>
      </c>
      <c r="H3643" t="s">
        <v>181</v>
      </c>
      <c r="I3643" t="s">
        <v>4760</v>
      </c>
      <c r="J3643" t="str">
        <f>HYPERLINK("https://www.wildberries.ru/profile/w7TDssOkw7PCu8KwwrTCuMK3wrjCtMK0wrQ=")</f>
        <v>https://www.wildberries.ru/profile/w7TDssOkw7PCu8KwwrTCuMK3wrjCtMK0wrQ=</v>
      </c>
      <c r="L3643" t="s">
        <v>121</v>
      </c>
      <c r="N3643" t="s">
        <v>534</v>
      </c>
      <c r="O3643" t="s">
        <v>4147</v>
      </c>
      <c r="P3643" t="str">
        <f>HYPERLINK("https://www.wildberries.ru/catalog/11323741/detail.aspx")</f>
        <v>https://www.wildberries.ru/catalog/11323741/detail.aspx</v>
      </c>
      <c r="R3643" t="s">
        <v>184</v>
      </c>
      <c r="S3643" t="s">
        <v>125</v>
      </c>
      <c r="W3643">
        <v>0</v>
      </c>
      <c r="X3643">
        <v>0</v>
      </c>
      <c r="AH3643">
        <v>5</v>
      </c>
      <c r="AM3643" t="s">
        <v>129</v>
      </c>
      <c r="AN3643" t="s">
        <v>130</v>
      </c>
      <c r="AP3643" t="s">
        <v>41</v>
      </c>
      <c r="AT3643" t="s">
        <v>45</v>
      </c>
      <c r="AZ3643" t="s">
        <v>51</v>
      </c>
      <c r="BA3643" t="s">
        <v>52</v>
      </c>
      <c r="BL3643" t="s">
        <v>63</v>
      </c>
    </row>
    <row r="3644" spans="1:69" x14ac:dyDescent="0.2">
      <c r="A3644" t="s">
        <v>11974</v>
      </c>
      <c r="B3644" t="s">
        <v>5252</v>
      </c>
      <c r="C3644" t="s">
        <v>12220</v>
      </c>
      <c r="D3644" t="s">
        <v>1590</v>
      </c>
      <c r="E3644" t="s">
        <v>12221</v>
      </c>
      <c r="F3644" t="s">
        <v>118</v>
      </c>
      <c r="G3644" t="str">
        <f>HYPERLINK("https://vk.com/wall-27863223_291304?reply=291347")</f>
        <v>https://vk.com/wall-27863223_291304?reply=291347</v>
      </c>
      <c r="H3644" t="s">
        <v>228</v>
      </c>
      <c r="I3644" t="s">
        <v>12031</v>
      </c>
      <c r="J3644" t="str">
        <f>HYPERLINK("http://vk.com/id133613737")</f>
        <v>http://vk.com/id133613737</v>
      </c>
      <c r="K3644">
        <v>306</v>
      </c>
      <c r="L3644" t="s">
        <v>151</v>
      </c>
      <c r="N3644" t="s">
        <v>122</v>
      </c>
      <c r="O3644" t="s">
        <v>175</v>
      </c>
      <c r="P3644" t="str">
        <f>HYPERLINK("http://vk.com/club27863223")</f>
        <v>http://vk.com/club27863223</v>
      </c>
      <c r="Q3644">
        <v>134698</v>
      </c>
      <c r="R3644" t="s">
        <v>124</v>
      </c>
      <c r="S3644" t="s">
        <v>125</v>
      </c>
      <c r="T3644" t="s">
        <v>1275</v>
      </c>
      <c r="U3644" t="s">
        <v>1276</v>
      </c>
      <c r="W3644">
        <v>0</v>
      </c>
      <c r="X3644">
        <v>0</v>
      </c>
      <c r="AM3644" t="s">
        <v>129</v>
      </c>
      <c r="AN3644" t="s">
        <v>130</v>
      </c>
      <c r="AP3644" t="s">
        <v>41</v>
      </c>
      <c r="AW3644" t="s">
        <v>48</v>
      </c>
      <c r="AZ3644" t="s">
        <v>51</v>
      </c>
      <c r="BA3644" t="s">
        <v>52</v>
      </c>
    </row>
    <row r="3645" spans="1:69" x14ac:dyDescent="0.2">
      <c r="A3645" t="s">
        <v>11974</v>
      </c>
      <c r="B3645" t="s">
        <v>2658</v>
      </c>
      <c r="C3645" t="s">
        <v>12222</v>
      </c>
      <c r="D3645" t="s">
        <v>12223</v>
      </c>
      <c r="E3645" t="s">
        <v>12224</v>
      </c>
      <c r="F3645" t="s">
        <v>118</v>
      </c>
      <c r="G3645" t="str">
        <f>HYPERLINK("https://vk.com/wall-15591739_5202718?reply=5202838&amp;thread=5202819")</f>
        <v>https://vk.com/wall-15591739_5202718?reply=5202838&amp;thread=5202819</v>
      </c>
      <c r="H3645" t="s">
        <v>119</v>
      </c>
      <c r="I3645" t="s">
        <v>12225</v>
      </c>
      <c r="J3645" t="str">
        <f>HYPERLINK("http://vk.com/id158516251")</f>
        <v>http://vk.com/id158516251</v>
      </c>
      <c r="L3645" t="s">
        <v>121</v>
      </c>
      <c r="N3645" t="s">
        <v>122</v>
      </c>
      <c r="O3645" t="s">
        <v>12226</v>
      </c>
      <c r="P3645" t="str">
        <f>HYPERLINK("http://vk.com/club15591739")</f>
        <v>http://vk.com/club15591739</v>
      </c>
      <c r="Q3645">
        <v>301150</v>
      </c>
      <c r="R3645" t="s">
        <v>124</v>
      </c>
      <c r="S3645" t="s">
        <v>125</v>
      </c>
      <c r="T3645" t="s">
        <v>137</v>
      </c>
      <c r="U3645" t="s">
        <v>137</v>
      </c>
      <c r="AM3645" t="s">
        <v>129</v>
      </c>
      <c r="AN3645" t="s">
        <v>130</v>
      </c>
      <c r="AP3645" t="s">
        <v>41</v>
      </c>
      <c r="AZ3645" t="s">
        <v>51</v>
      </c>
      <c r="BA3645" t="s">
        <v>52</v>
      </c>
      <c r="BM3645" t="s">
        <v>64</v>
      </c>
    </row>
    <row r="3646" spans="1:69" x14ac:dyDescent="0.2">
      <c r="A3646" t="s">
        <v>11974</v>
      </c>
      <c r="B3646" t="s">
        <v>1659</v>
      </c>
      <c r="C3646" t="s">
        <v>12227</v>
      </c>
      <c r="D3646" t="s">
        <v>129</v>
      </c>
      <c r="E3646" t="s">
        <v>12228</v>
      </c>
      <c r="F3646" t="s">
        <v>180</v>
      </c>
      <c r="G3646" t="str">
        <f>HYPERLINK("https://twitter.com/360582757/status/1410530185519190019")</f>
        <v>https://twitter.com/360582757/status/1410530185519190019</v>
      </c>
      <c r="H3646" t="s">
        <v>119</v>
      </c>
      <c r="I3646" t="s">
        <v>175</v>
      </c>
      <c r="J3646" t="str">
        <f>HYPERLINK("http://twitter.com/tricolortv")</f>
        <v>http://twitter.com/tricolortv</v>
      </c>
      <c r="K3646">
        <v>5663</v>
      </c>
      <c r="N3646" t="s">
        <v>350</v>
      </c>
      <c r="R3646" t="s">
        <v>124</v>
      </c>
      <c r="S3646" t="s">
        <v>125</v>
      </c>
      <c r="T3646" t="s">
        <v>137</v>
      </c>
      <c r="U3646" t="s">
        <v>137</v>
      </c>
      <c r="W3646">
        <v>0</v>
      </c>
      <c r="X3646">
        <v>0</v>
      </c>
      <c r="AE3646">
        <v>0</v>
      </c>
      <c r="AF3646">
        <v>0</v>
      </c>
      <c r="AJ3646" t="s">
        <v>12229</v>
      </c>
      <c r="AK3646" t="s">
        <v>129</v>
      </c>
      <c r="AL3646" t="str">
        <f>HYPERLINK("https://pbs.twimg.com/media/E5M1s1IXwAUVOAP.jpg")</f>
        <v>https://pbs.twimg.com/media/E5M1s1IXwAUVOAP.jpg</v>
      </c>
      <c r="AM3646" t="s">
        <v>129</v>
      </c>
      <c r="AN3646" t="s">
        <v>130</v>
      </c>
      <c r="BI3646" t="s">
        <v>60</v>
      </c>
    </row>
    <row r="3647" spans="1:69" x14ac:dyDescent="0.2">
      <c r="A3647" t="s">
        <v>11974</v>
      </c>
      <c r="B3647" t="s">
        <v>1665</v>
      </c>
      <c r="C3647" t="s">
        <v>12230</v>
      </c>
      <c r="D3647" t="s">
        <v>12231</v>
      </c>
      <c r="E3647" t="s">
        <v>12232</v>
      </c>
      <c r="F3647" t="s">
        <v>180</v>
      </c>
      <c r="G3647" t="str">
        <f>HYPERLINK("https://ok.ru/group/51085510115462/topic/153394188100998")</f>
        <v>https://ok.ru/group/51085510115462/topic/153394188100998</v>
      </c>
      <c r="H3647" t="s">
        <v>119</v>
      </c>
      <c r="I3647" t="s">
        <v>175</v>
      </c>
      <c r="J3647" t="str">
        <f>HYPERLINK("https://ok.ru/group/51085510115462")</f>
        <v>https://ok.ru/group/51085510115462</v>
      </c>
      <c r="K3647">
        <v>94768</v>
      </c>
      <c r="L3647" t="s">
        <v>340</v>
      </c>
      <c r="N3647" t="s">
        <v>347</v>
      </c>
      <c r="O3647" t="s">
        <v>175</v>
      </c>
      <c r="P3647" t="str">
        <f>HYPERLINK("https://ok.ru/group/51085510115462")</f>
        <v>https://ok.ru/group/51085510115462</v>
      </c>
      <c r="Q3647">
        <v>94768</v>
      </c>
      <c r="R3647" t="s">
        <v>124</v>
      </c>
      <c r="W3647">
        <v>13</v>
      </c>
      <c r="X3647">
        <v>13</v>
      </c>
      <c r="Y3647">
        <v>0</v>
      </c>
      <c r="Z3647">
        <v>0</v>
      </c>
      <c r="AA3647">
        <v>0</v>
      </c>
      <c r="AB3647">
        <v>0</v>
      </c>
      <c r="AE3647">
        <v>0</v>
      </c>
      <c r="AF3647">
        <v>1</v>
      </c>
      <c r="AJ3647" t="s">
        <v>12229</v>
      </c>
      <c r="AK3647" t="s">
        <v>129</v>
      </c>
      <c r="AL3647" t="str">
        <f>HYPERLINK("https://i.mycdn.me/image?id=918002463366&amp;t=20&amp;plc=API&amp;aid=1131601408&amp;tkn=*ceC5UFW6WTnAnidheBZNe7pd_cQ")</f>
        <v>https://i.mycdn.me/image?id=918002463366&amp;t=20&amp;plc=API&amp;aid=1131601408&amp;tkn=*ceC5UFW6WTnAnidheBZNe7pd_cQ</v>
      </c>
      <c r="AM3647" t="s">
        <v>129</v>
      </c>
      <c r="AN3647" t="s">
        <v>130</v>
      </c>
      <c r="BI3647" t="s">
        <v>60</v>
      </c>
    </row>
    <row r="3648" spans="1:69" x14ac:dyDescent="0.2">
      <c r="A3648" t="s">
        <v>11974</v>
      </c>
      <c r="B3648" t="s">
        <v>1665</v>
      </c>
      <c r="C3648" t="s">
        <v>12233</v>
      </c>
      <c r="D3648" t="s">
        <v>129</v>
      </c>
      <c r="E3648" t="s">
        <v>12232</v>
      </c>
      <c r="F3648" t="s">
        <v>180</v>
      </c>
      <c r="G3648" t="str">
        <f>HYPERLINK("https://www.facebook.com/tricolortv/posts/4047589335295306")</f>
        <v>https://www.facebook.com/tricolortv/posts/4047589335295306</v>
      </c>
      <c r="H3648" t="s">
        <v>119</v>
      </c>
      <c r="I3648" t="s">
        <v>175</v>
      </c>
      <c r="J3648" t="str">
        <f>HYPERLINK("https://www.facebook.com/206198386101106")</f>
        <v>https://www.facebook.com/206198386101106</v>
      </c>
      <c r="K3648">
        <v>16432</v>
      </c>
      <c r="L3648" t="s">
        <v>340</v>
      </c>
      <c r="N3648" t="s">
        <v>305</v>
      </c>
      <c r="O3648" t="s">
        <v>175</v>
      </c>
      <c r="P3648" t="str">
        <f>HYPERLINK("https://www.facebook.com/206198386101106")</f>
        <v>https://www.facebook.com/206198386101106</v>
      </c>
      <c r="Q3648">
        <v>16432</v>
      </c>
      <c r="R3648" t="s">
        <v>124</v>
      </c>
      <c r="W3648">
        <v>0</v>
      </c>
      <c r="X3648">
        <v>0</v>
      </c>
      <c r="Y3648">
        <v>0</v>
      </c>
      <c r="Z3648">
        <v>0</v>
      </c>
      <c r="AA3648">
        <v>0</v>
      </c>
      <c r="AB3648">
        <v>0</v>
      </c>
      <c r="AC3648">
        <v>0</v>
      </c>
      <c r="AE3648">
        <v>0</v>
      </c>
      <c r="AF3648">
        <v>0</v>
      </c>
      <c r="AJ3648" t="s">
        <v>12229</v>
      </c>
      <c r="AK3648" t="s">
        <v>129</v>
      </c>
      <c r="AL3648" t="s">
        <v>12234</v>
      </c>
      <c r="AM3648" t="s">
        <v>129</v>
      </c>
      <c r="AN3648" t="s">
        <v>130</v>
      </c>
      <c r="BI3648" t="s">
        <v>60</v>
      </c>
    </row>
    <row r="3649" spans="1:69" x14ac:dyDescent="0.2">
      <c r="A3649" t="s">
        <v>11974</v>
      </c>
      <c r="B3649" t="s">
        <v>1668</v>
      </c>
      <c r="C3649" t="s">
        <v>12235</v>
      </c>
      <c r="D3649" t="s">
        <v>175</v>
      </c>
      <c r="E3649" t="s">
        <v>12236</v>
      </c>
      <c r="F3649" t="s">
        <v>180</v>
      </c>
      <c r="G3649" t="str">
        <f>HYPERLINK("https://yandex.ru/maps/org/1511710109#UhplS3o58H4vqH1OP8G8dZPWOA9iNGC_8")</f>
        <v>https://yandex.ru/maps/org/1511710109#UhplS3o58H4vqH1OP8G8dZPWOA9iNGC_8</v>
      </c>
      <c r="H3649" t="s">
        <v>181</v>
      </c>
      <c r="I3649" t="s">
        <v>12237</v>
      </c>
      <c r="J3649" t="str">
        <f>HYPERLINK("https://yandex.ru/user/wcy6jtkqgeg9hna0wp7xtta328")</f>
        <v>https://yandex.ru/user/wcy6jtkqgeg9hna0wp7xtta328</v>
      </c>
      <c r="N3649" t="s">
        <v>236</v>
      </c>
      <c r="O3649" t="s">
        <v>175</v>
      </c>
      <c r="P3649" t="str">
        <f>HYPERLINK("https://yandex.ru/maps/org/1511710109")</f>
        <v>https://yandex.ru/maps/org/1511710109</v>
      </c>
      <c r="R3649" t="s">
        <v>184</v>
      </c>
      <c r="S3649" t="s">
        <v>125</v>
      </c>
      <c r="T3649" t="s">
        <v>153</v>
      </c>
      <c r="U3649" t="s">
        <v>12238</v>
      </c>
      <c r="W3649">
        <v>0</v>
      </c>
      <c r="X3649">
        <v>0</v>
      </c>
      <c r="AH3649">
        <v>5</v>
      </c>
      <c r="AM3649" t="s">
        <v>129</v>
      </c>
      <c r="AN3649" t="s">
        <v>130</v>
      </c>
      <c r="AP3649" t="s">
        <v>41</v>
      </c>
      <c r="AX3649" t="s">
        <v>49</v>
      </c>
      <c r="AZ3649" t="s">
        <v>51</v>
      </c>
      <c r="BD3649" t="s">
        <v>55</v>
      </c>
    </row>
    <row r="3650" spans="1:69" x14ac:dyDescent="0.2">
      <c r="A3650" t="s">
        <v>11974</v>
      </c>
      <c r="B3650" t="s">
        <v>556</v>
      </c>
      <c r="C3650" t="s">
        <v>12239</v>
      </c>
      <c r="D3650" t="s">
        <v>204</v>
      </c>
      <c r="E3650" t="s">
        <v>12240</v>
      </c>
      <c r="F3650" t="s">
        <v>180</v>
      </c>
      <c r="G3650" t="str">
        <f>HYPERLINK("https://play.google.com/store/apps/details?id=ru.iflex.android.a3colortv&amp;reviewId=gp:AOqpTOH1lvCghvONV1l88EMsY_pjUGu1ziq8emoiAWEcqHG7VUidSLMlzV41CBPdfh9ADv2RL1z9hcZLNdRtLw")</f>
        <v>https://play.google.com/store/apps/details?id=ru.iflex.android.a3colortv&amp;reviewId=gp:AOqpTOH1lvCghvONV1l88EMsY_pjUGu1ziq8emoiAWEcqHG7VUidSLMlzV41CBPdfh9ADv2RL1z9hcZLNdRtLw</v>
      </c>
      <c r="H3650" t="s">
        <v>181</v>
      </c>
      <c r="I3650" t="s">
        <v>12241</v>
      </c>
      <c r="J3650" t="str">
        <f>HYPERLINK("https://plus.google.com/117563308587224317340")</f>
        <v>https://plus.google.com/117563308587224317340</v>
      </c>
      <c r="L3650" t="s">
        <v>121</v>
      </c>
      <c r="N3650" t="s">
        <v>207</v>
      </c>
      <c r="O3650" t="s">
        <v>204</v>
      </c>
      <c r="P3650" t="str">
        <f>HYPERLINK("https://play.google.com/store/apps/details?id=ru.iflex.android.a3colortv&amp;hl=ru")</f>
        <v>https://play.google.com/store/apps/details?id=ru.iflex.android.a3colortv&amp;hl=ru</v>
      </c>
      <c r="R3650" t="s">
        <v>184</v>
      </c>
      <c r="S3650" t="s">
        <v>125</v>
      </c>
      <c r="W3650">
        <v>0</v>
      </c>
      <c r="X3650">
        <v>0</v>
      </c>
      <c r="AH3650">
        <v>5</v>
      </c>
      <c r="AM3650" t="s">
        <v>129</v>
      </c>
      <c r="AN3650" t="s">
        <v>130</v>
      </c>
      <c r="AP3650" t="s">
        <v>41</v>
      </c>
      <c r="AZ3650" t="s">
        <v>51</v>
      </c>
      <c r="BA3650" t="s">
        <v>52</v>
      </c>
      <c r="BQ3650" t="s">
        <v>68</v>
      </c>
    </row>
    <row r="3651" spans="1:69" x14ac:dyDescent="0.2">
      <c r="A3651" t="s">
        <v>11974</v>
      </c>
      <c r="B3651" t="s">
        <v>1671</v>
      </c>
      <c r="C3651" t="s">
        <v>12242</v>
      </c>
      <c r="D3651" t="s">
        <v>11671</v>
      </c>
      <c r="E3651" t="s">
        <v>12243</v>
      </c>
      <c r="F3651" t="s">
        <v>118</v>
      </c>
      <c r="G3651" t="str">
        <f>HYPERLINK("https://vk.com/wall-54813709_465057?reply=465068")</f>
        <v>https://vk.com/wall-54813709_465057?reply=465068</v>
      </c>
      <c r="H3651" t="s">
        <v>228</v>
      </c>
      <c r="I3651" t="s">
        <v>12244</v>
      </c>
      <c r="J3651" t="str">
        <f>HYPERLINK("http://vk.com/id598422828")</f>
        <v>http://vk.com/id598422828</v>
      </c>
      <c r="K3651">
        <v>104</v>
      </c>
      <c r="L3651" t="s">
        <v>121</v>
      </c>
      <c r="M3651">
        <v>35</v>
      </c>
      <c r="N3651" t="s">
        <v>122</v>
      </c>
      <c r="O3651" t="s">
        <v>11674</v>
      </c>
      <c r="P3651" t="str">
        <f>HYPERLINK("http://vk.com/club54813709")</f>
        <v>http://vk.com/club54813709</v>
      </c>
      <c r="Q3651">
        <v>26749</v>
      </c>
      <c r="R3651" t="s">
        <v>124</v>
      </c>
      <c r="S3651" t="s">
        <v>125</v>
      </c>
      <c r="T3651" t="s">
        <v>612</v>
      </c>
      <c r="U3651" t="s">
        <v>613</v>
      </c>
      <c r="AM3651" t="s">
        <v>129</v>
      </c>
      <c r="AN3651" t="s">
        <v>130</v>
      </c>
      <c r="AP3651" t="s">
        <v>41</v>
      </c>
      <c r="AW3651" t="s">
        <v>48</v>
      </c>
      <c r="AZ3651" t="s">
        <v>51</v>
      </c>
      <c r="BB3651" t="s">
        <v>53</v>
      </c>
    </row>
    <row r="3652" spans="1:69" x14ac:dyDescent="0.2">
      <c r="A3652" t="s">
        <v>11974</v>
      </c>
      <c r="B3652" t="s">
        <v>3512</v>
      </c>
      <c r="C3652" t="s">
        <v>12245</v>
      </c>
      <c r="D3652" t="s">
        <v>12246</v>
      </c>
      <c r="E3652" t="s">
        <v>12247</v>
      </c>
      <c r="F3652" t="s">
        <v>180</v>
      </c>
      <c r="G3652" t="str">
        <f>HYPERLINK("https://www.ozon.ru/context/detail/id/210343821/#56551712")</f>
        <v>https://www.ozon.ru/context/detail/id/210343821/#56551712</v>
      </c>
      <c r="H3652" t="s">
        <v>181</v>
      </c>
      <c r="I3652" t="s">
        <v>12248</v>
      </c>
      <c r="J3652" t="str">
        <f>HYPERLINK("https://www.ozon.ru/context/client_opinion/ClientGuid/dc86dea1-4f67-4d0c-908c-cb10015e81f8/")</f>
        <v>https://www.ozon.ru/context/client_opinion/ClientGuid/dc86dea1-4f67-4d0c-908c-cb10015e81f8/</v>
      </c>
      <c r="N3652" t="s">
        <v>183</v>
      </c>
      <c r="O3652" t="s">
        <v>12246</v>
      </c>
      <c r="P3652" t="str">
        <f>HYPERLINK("https://www.ozon.ru/context/detail/id/210343821/")</f>
        <v>https://www.ozon.ru/context/detail/id/210343821/</v>
      </c>
      <c r="R3652" t="s">
        <v>184</v>
      </c>
      <c r="S3652" t="s">
        <v>125</v>
      </c>
      <c r="W3652">
        <v>3</v>
      </c>
      <c r="X3652">
        <v>3</v>
      </c>
      <c r="AH3652">
        <v>5</v>
      </c>
      <c r="AM3652" t="s">
        <v>129</v>
      </c>
      <c r="AN3652" t="s">
        <v>130</v>
      </c>
      <c r="AP3652" t="s">
        <v>41</v>
      </c>
      <c r="AT3652" t="s">
        <v>45</v>
      </c>
      <c r="AZ3652" t="s">
        <v>51</v>
      </c>
      <c r="BA3652" t="s">
        <v>52</v>
      </c>
    </row>
    <row r="3653" spans="1:69" x14ac:dyDescent="0.2">
      <c r="A3653" t="s">
        <v>11974</v>
      </c>
      <c r="B3653" t="s">
        <v>5821</v>
      </c>
      <c r="C3653" t="s">
        <v>12249</v>
      </c>
      <c r="D3653" t="s">
        <v>11671</v>
      </c>
      <c r="E3653" t="s">
        <v>12250</v>
      </c>
      <c r="F3653" t="s">
        <v>118</v>
      </c>
      <c r="G3653" t="str">
        <f>HYPERLINK("https://vk.com/wall-54813709_465057?reply=465065")</f>
        <v>https://vk.com/wall-54813709_465057?reply=465065</v>
      </c>
      <c r="H3653" t="s">
        <v>181</v>
      </c>
      <c r="I3653" t="s">
        <v>12251</v>
      </c>
      <c r="J3653" t="str">
        <f>HYPERLINK("http://vk.com/id170001719")</f>
        <v>http://vk.com/id170001719</v>
      </c>
      <c r="K3653">
        <v>27</v>
      </c>
      <c r="L3653" t="s">
        <v>151</v>
      </c>
      <c r="N3653" t="s">
        <v>122</v>
      </c>
      <c r="O3653" t="s">
        <v>11674</v>
      </c>
      <c r="P3653" t="str">
        <f>HYPERLINK("http://vk.com/club54813709")</f>
        <v>http://vk.com/club54813709</v>
      </c>
      <c r="Q3653">
        <v>26749</v>
      </c>
      <c r="R3653" t="s">
        <v>124</v>
      </c>
      <c r="S3653" t="s">
        <v>125</v>
      </c>
      <c r="T3653" t="s">
        <v>612</v>
      </c>
      <c r="U3653" t="s">
        <v>613</v>
      </c>
      <c r="AM3653" t="s">
        <v>129</v>
      </c>
      <c r="AN3653" t="s">
        <v>130</v>
      </c>
      <c r="AP3653" t="s">
        <v>41</v>
      </c>
      <c r="AW3653" t="s">
        <v>48</v>
      </c>
      <c r="AZ3653" t="s">
        <v>51</v>
      </c>
      <c r="BA3653" t="s">
        <v>52</v>
      </c>
    </row>
    <row r="3654" spans="1:69" x14ac:dyDescent="0.2">
      <c r="A3654" t="s">
        <v>11974</v>
      </c>
      <c r="B3654" t="s">
        <v>2145</v>
      </c>
      <c r="C3654" t="s">
        <v>10337</v>
      </c>
      <c r="D3654" t="s">
        <v>967</v>
      </c>
      <c r="E3654" t="s">
        <v>12252</v>
      </c>
      <c r="F3654" t="s">
        <v>180</v>
      </c>
      <c r="G3654" t="str">
        <f>HYPERLINK("https://www.wildberries.ru/catalog/26952626/detail.aspx?targetUrl=ES#Comments")</f>
        <v>https://www.wildberries.ru/catalog/26952626/detail.aspx?targetUrl=ES#Comments</v>
      </c>
      <c r="H3654" t="s">
        <v>181</v>
      </c>
      <c r="I3654" t="s">
        <v>957</v>
      </c>
      <c r="J3654" t="str">
        <f>HYPERLINK("https://www.wildberries.ru/profile/w7TDssOkw7PCu8KywrHCt8KxwrLCuMK5wrc=")</f>
        <v>https://www.wildberries.ru/profile/w7TDssOkw7PCu8KywrHCt8KxwrLCuMK5wrc=</v>
      </c>
      <c r="L3654" t="s">
        <v>121</v>
      </c>
      <c r="N3654" t="s">
        <v>534</v>
      </c>
      <c r="O3654" t="s">
        <v>967</v>
      </c>
      <c r="P3654" t="str">
        <f>HYPERLINK("https://www.wildberries.ru/catalog/19754871/detail.aspx")</f>
        <v>https://www.wildberries.ru/catalog/19754871/detail.aspx</v>
      </c>
      <c r="R3654" t="s">
        <v>184</v>
      </c>
      <c r="S3654" t="s">
        <v>125</v>
      </c>
      <c r="W3654">
        <v>0</v>
      </c>
      <c r="X3654">
        <v>0</v>
      </c>
      <c r="AH3654">
        <v>5</v>
      </c>
      <c r="AM3654" t="s">
        <v>129</v>
      </c>
      <c r="AN3654" t="s">
        <v>130</v>
      </c>
      <c r="AP3654" t="s">
        <v>41</v>
      </c>
      <c r="AT3654" t="s">
        <v>45</v>
      </c>
      <c r="AZ3654" t="s">
        <v>51</v>
      </c>
      <c r="BA3654" t="s">
        <v>52</v>
      </c>
    </row>
    <row r="3655" spans="1:69" x14ac:dyDescent="0.2">
      <c r="A3655" t="s">
        <v>11974</v>
      </c>
      <c r="B3655" t="s">
        <v>2717</v>
      </c>
      <c r="C3655" t="s">
        <v>12253</v>
      </c>
      <c r="D3655" t="s">
        <v>12254</v>
      </c>
      <c r="E3655" t="s">
        <v>12255</v>
      </c>
      <c r="F3655" t="s">
        <v>118</v>
      </c>
      <c r="G3655" t="str">
        <f>HYPERLINK("http://forum.ixbt.com/topic.cgi?id=54:58233-38#post27")</f>
        <v>http://forum.ixbt.com/topic.cgi?id=54:58233-38#post27</v>
      </c>
      <c r="H3655" t="s">
        <v>119</v>
      </c>
      <c r="I3655" t="s">
        <v>12256</v>
      </c>
      <c r="J3655" t="str">
        <f>HYPERLINK("http://forum.ixbt.com/topic.cgi?id=54:58233-38#post27")</f>
        <v>http://forum.ixbt.com/topic.cgi?id=54:58233-38#post27</v>
      </c>
      <c r="N3655" t="s">
        <v>1763</v>
      </c>
      <c r="O3655" t="s">
        <v>12071</v>
      </c>
      <c r="P3655" t="str">
        <f>HYPERLINK("https://forum.ixbt.com/?id=54")</f>
        <v>https://forum.ixbt.com/?id=54</v>
      </c>
      <c r="R3655" t="s">
        <v>295</v>
      </c>
      <c r="S3655" t="s">
        <v>125</v>
      </c>
      <c r="AM3655" t="s">
        <v>129</v>
      </c>
      <c r="AN3655" t="s">
        <v>130</v>
      </c>
      <c r="AP3655" t="s">
        <v>41</v>
      </c>
      <c r="AW3655" t="s">
        <v>48</v>
      </c>
      <c r="AZ3655" t="s">
        <v>51</v>
      </c>
      <c r="BB3655" t="s">
        <v>53</v>
      </c>
    </row>
    <row r="3656" spans="1:69" x14ac:dyDescent="0.2">
      <c r="A3656" t="s">
        <v>11974</v>
      </c>
      <c r="B3656" t="s">
        <v>1113</v>
      </c>
      <c r="C3656" t="s">
        <v>12257</v>
      </c>
      <c r="D3656" t="s">
        <v>3388</v>
      </c>
      <c r="E3656" t="s">
        <v>12258</v>
      </c>
      <c r="F3656" t="s">
        <v>180</v>
      </c>
      <c r="G3656" t="str">
        <f>HYPERLINK("https://www.wildberries.ru/catalog/25365834/detail.aspx?targetUrl=ES#Comments")</f>
        <v>https://www.wildberries.ru/catalog/25365834/detail.aspx?targetUrl=ES#Comments</v>
      </c>
      <c r="H3656" t="s">
        <v>181</v>
      </c>
      <c r="I3656" t="s">
        <v>6276</v>
      </c>
      <c r="J3656" t="str">
        <f>HYPERLINK("https://www.wildberries.ru/profile/w7TDssOkw7PCu8KywrHCssKxwrHCtsK2wrk=")</f>
        <v>https://www.wildberries.ru/profile/w7TDssOkw7PCu8KywrHCssKxwrHCtsK2wrk=</v>
      </c>
      <c r="L3656" t="s">
        <v>121</v>
      </c>
      <c r="N3656" t="s">
        <v>534</v>
      </c>
      <c r="O3656" t="s">
        <v>3388</v>
      </c>
      <c r="P3656" t="str">
        <f>HYPERLINK("https://www.wildberries.ru/catalog/18682734/detail.aspx")</f>
        <v>https://www.wildberries.ru/catalog/18682734/detail.aspx</v>
      </c>
      <c r="R3656" t="s">
        <v>184</v>
      </c>
      <c r="S3656" t="s">
        <v>125</v>
      </c>
      <c r="W3656">
        <v>0</v>
      </c>
      <c r="X3656">
        <v>0</v>
      </c>
      <c r="AH3656">
        <v>5</v>
      </c>
      <c r="AM3656" t="s">
        <v>129</v>
      </c>
      <c r="AN3656" t="s">
        <v>130</v>
      </c>
      <c r="AP3656" t="s">
        <v>41</v>
      </c>
      <c r="AT3656" t="s">
        <v>45</v>
      </c>
      <c r="AZ3656" t="s">
        <v>51</v>
      </c>
      <c r="BA3656" t="s">
        <v>52</v>
      </c>
      <c r="BL3656" t="s">
        <v>63</v>
      </c>
      <c r="BM3656" t="s">
        <v>64</v>
      </c>
    </row>
    <row r="3657" spans="1:69" x14ac:dyDescent="0.2">
      <c r="A3657" t="s">
        <v>11974</v>
      </c>
      <c r="B3657" t="s">
        <v>1118</v>
      </c>
      <c r="C3657" t="s">
        <v>12259</v>
      </c>
      <c r="D3657" t="s">
        <v>11671</v>
      </c>
      <c r="E3657" t="s">
        <v>12260</v>
      </c>
      <c r="F3657" t="s">
        <v>118</v>
      </c>
      <c r="G3657" t="str">
        <f>HYPERLINK("https://vk.com/wall-54813709_465057?reply=465061")</f>
        <v>https://vk.com/wall-54813709_465057?reply=465061</v>
      </c>
      <c r="H3657" t="s">
        <v>181</v>
      </c>
      <c r="I3657" t="s">
        <v>12044</v>
      </c>
      <c r="J3657" t="str">
        <f>HYPERLINK("http://vk.com/id153653823")</f>
        <v>http://vk.com/id153653823</v>
      </c>
      <c r="K3657">
        <v>88</v>
      </c>
      <c r="L3657" t="s">
        <v>121</v>
      </c>
      <c r="M3657">
        <v>30</v>
      </c>
      <c r="N3657" t="s">
        <v>122</v>
      </c>
      <c r="O3657" t="s">
        <v>11674</v>
      </c>
      <c r="P3657" t="str">
        <f>HYPERLINK("http://vk.com/club54813709")</f>
        <v>http://vk.com/club54813709</v>
      </c>
      <c r="Q3657">
        <v>26749</v>
      </c>
      <c r="R3657" t="s">
        <v>124</v>
      </c>
      <c r="S3657" t="s">
        <v>125</v>
      </c>
      <c r="T3657" t="s">
        <v>612</v>
      </c>
      <c r="U3657" t="s">
        <v>613</v>
      </c>
      <c r="AM3657" t="s">
        <v>129</v>
      </c>
      <c r="AN3657" t="s">
        <v>130</v>
      </c>
      <c r="AP3657" t="s">
        <v>41</v>
      </c>
      <c r="AW3657" t="s">
        <v>48</v>
      </c>
      <c r="AZ3657" t="s">
        <v>51</v>
      </c>
      <c r="BA3657" t="s">
        <v>52</v>
      </c>
      <c r="BM3657" t="s">
        <v>64</v>
      </c>
    </row>
    <row r="3658" spans="1:69" x14ac:dyDescent="0.2">
      <c r="A3658" t="s">
        <v>11974</v>
      </c>
      <c r="B3658" t="s">
        <v>614</v>
      </c>
      <c r="C3658" t="s">
        <v>12261</v>
      </c>
      <c r="D3658" t="s">
        <v>7394</v>
      </c>
      <c r="E3658" t="s">
        <v>12262</v>
      </c>
      <c r="F3658" t="s">
        <v>180</v>
      </c>
      <c r="G3658" t="str">
        <f>HYPERLINK("https://www.wildberries.ru/catalog/27824475/detail.aspx?targetUrl=ES#Comments")</f>
        <v>https://www.wildberries.ru/catalog/27824475/detail.aspx?targetUrl=ES#Comments</v>
      </c>
      <c r="H3658" t="s">
        <v>181</v>
      </c>
      <c r="I3658" t="s">
        <v>3082</v>
      </c>
      <c r="J3658" t="str">
        <f>HYPERLINK("https://www.wildberries.ru/profile/w7TDssOkw7PCu8KzwrTCt8K5wrHCtcK5wrI=")</f>
        <v>https://www.wildberries.ru/profile/w7TDssOkw7PCu8KzwrTCt8K5wrHCtcK5wrI=</v>
      </c>
      <c r="L3658" t="s">
        <v>151</v>
      </c>
      <c r="N3658" t="s">
        <v>534</v>
      </c>
      <c r="O3658" t="s">
        <v>7394</v>
      </c>
      <c r="P3658" t="str">
        <f>HYPERLINK("https://www.wildberries.ru/catalog/20414642/detail.aspx")</f>
        <v>https://www.wildberries.ru/catalog/20414642/detail.aspx</v>
      </c>
      <c r="R3658" t="s">
        <v>184</v>
      </c>
      <c r="S3658" t="s">
        <v>125</v>
      </c>
      <c r="W3658">
        <v>0</v>
      </c>
      <c r="X3658">
        <v>0</v>
      </c>
      <c r="AH3658">
        <v>5</v>
      </c>
      <c r="AM3658" t="s">
        <v>129</v>
      </c>
      <c r="AN3658" t="s">
        <v>130</v>
      </c>
      <c r="AP3658" t="s">
        <v>41</v>
      </c>
      <c r="AT3658" t="s">
        <v>45</v>
      </c>
      <c r="AZ3658" t="s">
        <v>51</v>
      </c>
      <c r="BA3658" t="s">
        <v>52</v>
      </c>
      <c r="BL3658" t="s">
        <v>63</v>
      </c>
    </row>
    <row r="3659" spans="1:69" x14ac:dyDescent="0.2">
      <c r="A3659" t="s">
        <v>11974</v>
      </c>
      <c r="B3659" t="s">
        <v>1723</v>
      </c>
      <c r="C3659" t="s">
        <v>12263</v>
      </c>
      <c r="D3659" t="s">
        <v>11671</v>
      </c>
      <c r="E3659" t="s">
        <v>12264</v>
      </c>
      <c r="F3659" t="s">
        <v>118</v>
      </c>
      <c r="G3659" t="str">
        <f>HYPERLINK("https://vk.com/wall-54813709_465057?reply=465059")</f>
        <v>https://vk.com/wall-54813709_465057?reply=465059</v>
      </c>
      <c r="H3659" t="s">
        <v>228</v>
      </c>
      <c r="I3659" t="s">
        <v>12265</v>
      </c>
      <c r="J3659" t="str">
        <f>HYPERLINK("http://vk.com/id19179659")</f>
        <v>http://vk.com/id19179659</v>
      </c>
      <c r="K3659">
        <v>222</v>
      </c>
      <c r="L3659" t="s">
        <v>121</v>
      </c>
      <c r="M3659">
        <v>35</v>
      </c>
      <c r="N3659" t="s">
        <v>122</v>
      </c>
      <c r="O3659" t="s">
        <v>11674</v>
      </c>
      <c r="P3659" t="str">
        <f>HYPERLINK("http://vk.com/club54813709")</f>
        <v>http://vk.com/club54813709</v>
      </c>
      <c r="Q3659">
        <v>26749</v>
      </c>
      <c r="R3659" t="s">
        <v>124</v>
      </c>
      <c r="S3659" t="s">
        <v>125</v>
      </c>
      <c r="T3659" t="s">
        <v>612</v>
      </c>
      <c r="U3659" t="s">
        <v>613</v>
      </c>
      <c r="AM3659" t="s">
        <v>129</v>
      </c>
      <c r="AN3659" t="s">
        <v>130</v>
      </c>
      <c r="AP3659" t="s">
        <v>41</v>
      </c>
      <c r="AW3659" t="s">
        <v>48</v>
      </c>
      <c r="BA3659" t="s">
        <v>52</v>
      </c>
      <c r="BF3659" t="s">
        <v>57</v>
      </c>
    </row>
    <row r="3660" spans="1:69" x14ac:dyDescent="0.2">
      <c r="A3660" t="s">
        <v>11974</v>
      </c>
      <c r="B3660" t="s">
        <v>1130</v>
      </c>
      <c r="C3660" t="s">
        <v>12266</v>
      </c>
      <c r="D3660" t="s">
        <v>129</v>
      </c>
      <c r="E3660" t="s">
        <v>12267</v>
      </c>
      <c r="F3660" t="s">
        <v>180</v>
      </c>
      <c r="G3660" t="str">
        <f>HYPERLINK("https://vk.com/wall-174554049_22877")</f>
        <v>https://vk.com/wall-174554049_22877</v>
      </c>
      <c r="H3660" t="s">
        <v>119</v>
      </c>
      <c r="I3660" t="s">
        <v>12268</v>
      </c>
      <c r="J3660" t="str">
        <f>HYPERLINK("http://vk.com/id141940065")</f>
        <v>http://vk.com/id141940065</v>
      </c>
      <c r="K3660">
        <v>439</v>
      </c>
      <c r="L3660" t="s">
        <v>151</v>
      </c>
      <c r="N3660" t="s">
        <v>122</v>
      </c>
      <c r="O3660" t="s">
        <v>12207</v>
      </c>
      <c r="P3660" t="str">
        <f>HYPERLINK("http://vk.com/club174554049")</f>
        <v>http://vk.com/club174554049</v>
      </c>
      <c r="Q3660">
        <v>4455</v>
      </c>
      <c r="R3660" t="s">
        <v>124</v>
      </c>
      <c r="S3660" t="s">
        <v>125</v>
      </c>
      <c r="T3660" t="s">
        <v>487</v>
      </c>
      <c r="U3660" t="s">
        <v>488</v>
      </c>
      <c r="AM3660" t="s">
        <v>129</v>
      </c>
      <c r="AN3660" t="s">
        <v>130</v>
      </c>
      <c r="AP3660" t="s">
        <v>41</v>
      </c>
      <c r="AZ3660" t="s">
        <v>51</v>
      </c>
      <c r="BB3660" t="s">
        <v>53</v>
      </c>
    </row>
    <row r="3661" spans="1:69" x14ac:dyDescent="0.2">
      <c r="A3661" t="s">
        <v>11974</v>
      </c>
      <c r="B3661" t="s">
        <v>2737</v>
      </c>
      <c r="C3661" t="s">
        <v>12269</v>
      </c>
      <c r="D3661" t="s">
        <v>129</v>
      </c>
      <c r="E3661" t="s">
        <v>12270</v>
      </c>
      <c r="F3661" t="s">
        <v>180</v>
      </c>
      <c r="G3661" t="str">
        <f>HYPERLINK("https://vk.com/wall-54813709_465057")</f>
        <v>https://vk.com/wall-54813709_465057</v>
      </c>
      <c r="H3661" t="s">
        <v>228</v>
      </c>
      <c r="I3661" t="s">
        <v>11674</v>
      </c>
      <c r="J3661" t="str">
        <f>HYPERLINK("http://vk.com/club54813709")</f>
        <v>http://vk.com/club54813709</v>
      </c>
      <c r="K3661">
        <v>26749</v>
      </c>
      <c r="L3661" t="s">
        <v>340</v>
      </c>
      <c r="N3661" t="s">
        <v>122</v>
      </c>
      <c r="O3661" t="s">
        <v>11674</v>
      </c>
      <c r="P3661" t="str">
        <f>HYPERLINK("http://vk.com/club54813709")</f>
        <v>http://vk.com/club54813709</v>
      </c>
      <c r="Q3661">
        <v>26749</v>
      </c>
      <c r="R3661" t="s">
        <v>124</v>
      </c>
      <c r="S3661" t="s">
        <v>125</v>
      </c>
      <c r="T3661" t="s">
        <v>612</v>
      </c>
      <c r="U3661" t="s">
        <v>613</v>
      </c>
      <c r="W3661">
        <v>2</v>
      </c>
      <c r="X3661">
        <v>2</v>
      </c>
      <c r="AE3661">
        <v>20</v>
      </c>
      <c r="AF3661">
        <v>0</v>
      </c>
      <c r="AG3661">
        <v>3014</v>
      </c>
      <c r="AM3661" t="s">
        <v>129</v>
      </c>
      <c r="AN3661" t="s">
        <v>130</v>
      </c>
      <c r="AP3661" t="s">
        <v>41</v>
      </c>
      <c r="AW3661" t="s">
        <v>48</v>
      </c>
      <c r="BA3661" t="s">
        <v>52</v>
      </c>
      <c r="BF3661" t="s">
        <v>57</v>
      </c>
    </row>
    <row r="3662" spans="1:69" x14ac:dyDescent="0.2">
      <c r="A3662" t="s">
        <v>11974</v>
      </c>
      <c r="B3662" t="s">
        <v>3216</v>
      </c>
      <c r="C3662" t="s">
        <v>12271</v>
      </c>
      <c r="D3662" t="s">
        <v>8951</v>
      </c>
      <c r="E3662" t="s">
        <v>12272</v>
      </c>
      <c r="F3662" t="s">
        <v>118</v>
      </c>
      <c r="G3662" t="str">
        <f>HYPERLINK("https://vk.com/wall-13366_73190?reply=73281&amp;thread=73206")</f>
        <v>https://vk.com/wall-13366_73190?reply=73281&amp;thread=73206</v>
      </c>
      <c r="H3662" t="s">
        <v>119</v>
      </c>
      <c r="I3662" t="s">
        <v>12273</v>
      </c>
      <c r="J3662" t="str">
        <f>HYPERLINK("http://vk.com/id10183231")</f>
        <v>http://vk.com/id10183231</v>
      </c>
      <c r="K3662">
        <v>140</v>
      </c>
      <c r="L3662" t="s">
        <v>151</v>
      </c>
      <c r="N3662" t="s">
        <v>122</v>
      </c>
      <c r="O3662" t="s">
        <v>8954</v>
      </c>
      <c r="P3662" t="str">
        <f>HYPERLINK("http://vk.com/club13366")</f>
        <v>http://vk.com/club13366</v>
      </c>
      <c r="Q3662">
        <v>5532</v>
      </c>
      <c r="R3662" t="s">
        <v>124</v>
      </c>
      <c r="S3662" t="s">
        <v>125</v>
      </c>
      <c r="T3662" t="s">
        <v>137</v>
      </c>
      <c r="U3662" t="s">
        <v>137</v>
      </c>
      <c r="AM3662" t="s">
        <v>129</v>
      </c>
      <c r="AN3662" t="s">
        <v>130</v>
      </c>
      <c r="AP3662" t="s">
        <v>41</v>
      </c>
      <c r="AT3662" t="s">
        <v>45</v>
      </c>
      <c r="AW3662" t="s">
        <v>48</v>
      </c>
      <c r="AZ3662" t="s">
        <v>51</v>
      </c>
      <c r="BA3662" t="s">
        <v>52</v>
      </c>
    </row>
    <row r="3663" spans="1:69" x14ac:dyDescent="0.2">
      <c r="A3663" t="s">
        <v>11974</v>
      </c>
      <c r="B3663" t="s">
        <v>621</v>
      </c>
      <c r="C3663" t="s">
        <v>12274</v>
      </c>
      <c r="D3663" t="s">
        <v>12275</v>
      </c>
      <c r="E3663" t="s">
        <v>12276</v>
      </c>
      <c r="F3663" t="s">
        <v>118</v>
      </c>
      <c r="G3663" t="str">
        <f>HYPERLINK("https://vk.com/wall-43116499_2560880?reply=2561458&amp;thread=2560928")</f>
        <v>https://vk.com/wall-43116499_2560880?reply=2561458&amp;thread=2560928</v>
      </c>
      <c r="H3663" t="s">
        <v>119</v>
      </c>
      <c r="I3663" t="s">
        <v>12277</v>
      </c>
      <c r="J3663" t="str">
        <f>HYPERLINK("http://vk.com/id2288709")</f>
        <v>http://vk.com/id2288709</v>
      </c>
      <c r="K3663">
        <v>645</v>
      </c>
      <c r="L3663" t="s">
        <v>121</v>
      </c>
      <c r="N3663" t="s">
        <v>122</v>
      </c>
      <c r="O3663" t="s">
        <v>12278</v>
      </c>
      <c r="P3663" t="str">
        <f>HYPERLINK("http://vk.com/club43116499")</f>
        <v>http://vk.com/club43116499</v>
      </c>
      <c r="Q3663">
        <v>529026</v>
      </c>
      <c r="R3663" t="s">
        <v>124</v>
      </c>
      <c r="S3663" t="s">
        <v>125</v>
      </c>
      <c r="T3663" t="s">
        <v>8862</v>
      </c>
      <c r="U3663" t="s">
        <v>12279</v>
      </c>
      <c r="AM3663" t="s">
        <v>129</v>
      </c>
      <c r="AN3663" t="s">
        <v>130</v>
      </c>
      <c r="AP3663" t="s">
        <v>41</v>
      </c>
      <c r="AY3663" t="s">
        <v>50</v>
      </c>
      <c r="AZ3663" t="s">
        <v>51</v>
      </c>
      <c r="BA3663" t="s">
        <v>52</v>
      </c>
    </row>
    <row r="3664" spans="1:69" x14ac:dyDescent="0.2">
      <c r="A3664" t="s">
        <v>11974</v>
      </c>
      <c r="B3664" t="s">
        <v>639</v>
      </c>
      <c r="C3664" t="s">
        <v>12280</v>
      </c>
      <c r="D3664" t="s">
        <v>12281</v>
      </c>
      <c r="E3664" t="s">
        <v>12282</v>
      </c>
      <c r="F3664" t="s">
        <v>118</v>
      </c>
      <c r="G3664" t="str">
        <f>HYPERLINK("http://forum.ixbt.com/topic.cgi?id=14:66858-1#post20")</f>
        <v>http://forum.ixbt.com/topic.cgi?id=14:66858-1#post20</v>
      </c>
      <c r="H3664" t="s">
        <v>119</v>
      </c>
      <c r="I3664" t="s">
        <v>12283</v>
      </c>
      <c r="J3664" t="str">
        <f>HYPERLINK("http://forum.ixbt.com/topic.cgi?id=14:66858-1#post20")</f>
        <v>http://forum.ixbt.com/topic.cgi?id=14:66858-1#post20</v>
      </c>
      <c r="N3664" t="s">
        <v>1763</v>
      </c>
      <c r="O3664" t="s">
        <v>12284</v>
      </c>
      <c r="P3664" t="str">
        <f>HYPERLINK("https://forum.ixbt.com/?id=14")</f>
        <v>https://forum.ixbt.com/?id=14</v>
      </c>
      <c r="R3664" t="s">
        <v>295</v>
      </c>
      <c r="S3664" t="s">
        <v>125</v>
      </c>
      <c r="AM3664" t="s">
        <v>129</v>
      </c>
      <c r="AN3664" t="s">
        <v>130</v>
      </c>
      <c r="AP3664" t="s">
        <v>41</v>
      </c>
      <c r="AT3664" t="s">
        <v>45</v>
      </c>
      <c r="AY3664" t="s">
        <v>50</v>
      </c>
      <c r="AZ3664" t="s">
        <v>51</v>
      </c>
      <c r="BA3664" t="s">
        <v>52</v>
      </c>
      <c r="BL3664" t="s">
        <v>63</v>
      </c>
    </row>
    <row r="3665" spans="1:100" x14ac:dyDescent="0.2">
      <c r="A3665" t="s">
        <v>11974</v>
      </c>
      <c r="B3665" t="s">
        <v>639</v>
      </c>
      <c r="C3665" t="s">
        <v>12285</v>
      </c>
      <c r="D3665" t="s">
        <v>12281</v>
      </c>
      <c r="E3665" t="s">
        <v>12282</v>
      </c>
      <c r="F3665" t="s">
        <v>118</v>
      </c>
      <c r="G3665" t="str">
        <f>HYPERLINK("http://forum.ixbt.com/topic.cgi?id=4:136783-1#post22")</f>
        <v>http://forum.ixbt.com/topic.cgi?id=4:136783-1#post22</v>
      </c>
      <c r="H3665" t="s">
        <v>119</v>
      </c>
      <c r="I3665" t="s">
        <v>12283</v>
      </c>
      <c r="J3665" t="str">
        <f>HYPERLINK("http://forum.ixbt.com/topic.cgi?id=4:136783-1#post22")</f>
        <v>http://forum.ixbt.com/topic.cgi?id=4:136783-1#post22</v>
      </c>
      <c r="N3665" t="s">
        <v>1763</v>
      </c>
      <c r="O3665" t="s">
        <v>12286</v>
      </c>
      <c r="P3665" t="str">
        <f>HYPERLINK("https://forum.ixbt.com/?id=4")</f>
        <v>https://forum.ixbt.com/?id=4</v>
      </c>
      <c r="R3665" t="s">
        <v>295</v>
      </c>
      <c r="S3665" t="s">
        <v>125</v>
      </c>
      <c r="AM3665" t="s">
        <v>129</v>
      </c>
      <c r="AN3665" t="s">
        <v>130</v>
      </c>
      <c r="AP3665" t="s">
        <v>41</v>
      </c>
      <c r="AT3665" t="s">
        <v>45</v>
      </c>
      <c r="AY3665" t="s">
        <v>50</v>
      </c>
      <c r="AZ3665" t="s">
        <v>51</v>
      </c>
      <c r="BA3665" t="s">
        <v>52</v>
      </c>
      <c r="BL3665" t="s">
        <v>63</v>
      </c>
    </row>
    <row r="3666" spans="1:100" x14ac:dyDescent="0.2">
      <c r="A3666" t="s">
        <v>11974</v>
      </c>
      <c r="B3666" t="s">
        <v>3948</v>
      </c>
      <c r="C3666" t="s">
        <v>12261</v>
      </c>
      <c r="D3666" t="s">
        <v>7394</v>
      </c>
      <c r="E3666" t="s">
        <v>12287</v>
      </c>
      <c r="F3666" t="s">
        <v>180</v>
      </c>
      <c r="G3666" t="str">
        <f>HYPERLINK("https://www.wildberries.ru/catalog/27824475/detail.aspx?targetUrl=ES#Comments")</f>
        <v>https://www.wildberries.ru/catalog/27824475/detail.aspx?targetUrl=ES#Comments</v>
      </c>
      <c r="H3666" t="s">
        <v>181</v>
      </c>
      <c r="I3666" t="s">
        <v>7764</v>
      </c>
      <c r="J3666" t="str">
        <f>HYPERLINK("https://www.wildberries.ru/profile/w7TDssOkw7PCu8K1wrHCtMKywrDCssK3wrY=")</f>
        <v>https://www.wildberries.ru/profile/w7TDssOkw7PCu8K1wrHCtMKywrDCssK3wrY=</v>
      </c>
      <c r="L3666" t="s">
        <v>121</v>
      </c>
      <c r="N3666" t="s">
        <v>534</v>
      </c>
      <c r="O3666" t="s">
        <v>7394</v>
      </c>
      <c r="P3666" t="str">
        <f>HYPERLINK("https://www.wildberries.ru/catalog/20414642/detail.aspx")</f>
        <v>https://www.wildberries.ru/catalog/20414642/detail.aspx</v>
      </c>
      <c r="R3666" t="s">
        <v>184</v>
      </c>
      <c r="S3666" t="s">
        <v>125</v>
      </c>
      <c r="W3666">
        <v>0</v>
      </c>
      <c r="X3666">
        <v>0</v>
      </c>
      <c r="AH3666">
        <v>5</v>
      </c>
      <c r="AM3666" t="s">
        <v>129</v>
      </c>
      <c r="AN3666" t="s">
        <v>130</v>
      </c>
      <c r="AP3666" t="s">
        <v>41</v>
      </c>
      <c r="AT3666" t="s">
        <v>45</v>
      </c>
      <c r="AZ3666" t="s">
        <v>51</v>
      </c>
      <c r="BA3666" t="s">
        <v>52</v>
      </c>
      <c r="BL3666" t="s">
        <v>63</v>
      </c>
    </row>
    <row r="3667" spans="1:100" x14ac:dyDescent="0.2">
      <c r="A3667" t="s">
        <v>11974</v>
      </c>
      <c r="B3667" t="s">
        <v>5344</v>
      </c>
      <c r="C3667" t="s">
        <v>12288</v>
      </c>
      <c r="D3667" t="s">
        <v>12148</v>
      </c>
      <c r="E3667" t="s">
        <v>12289</v>
      </c>
      <c r="F3667" t="s">
        <v>118</v>
      </c>
      <c r="G3667" t="str">
        <f>HYPERLINK("https://vk.com/wall-22935147_367998?reply=368022")</f>
        <v>https://vk.com/wall-22935147_367998?reply=368022</v>
      </c>
      <c r="H3667" t="s">
        <v>181</v>
      </c>
      <c r="I3667" t="s">
        <v>2803</v>
      </c>
      <c r="J3667" t="str">
        <f>HYPERLINK("http://vk.com/id12396088")</f>
        <v>http://vk.com/id12396088</v>
      </c>
      <c r="K3667">
        <v>14</v>
      </c>
      <c r="L3667" t="s">
        <v>121</v>
      </c>
      <c r="N3667" t="s">
        <v>122</v>
      </c>
      <c r="O3667" t="s">
        <v>1093</v>
      </c>
      <c r="P3667" t="str">
        <f>HYPERLINK("http://vk.com/club22935147")</f>
        <v>http://vk.com/club22935147</v>
      </c>
      <c r="Q3667">
        <v>8943</v>
      </c>
      <c r="R3667" t="s">
        <v>124</v>
      </c>
      <c r="S3667" t="s">
        <v>125</v>
      </c>
      <c r="T3667" t="s">
        <v>759</v>
      </c>
      <c r="U3667" t="s">
        <v>2804</v>
      </c>
      <c r="W3667">
        <v>0</v>
      </c>
      <c r="X3667">
        <v>0</v>
      </c>
      <c r="AJ3667" t="s">
        <v>12290</v>
      </c>
      <c r="AK3667" t="s">
        <v>129</v>
      </c>
      <c r="AL3667" t="str">
        <f>HYPERLINK("https://sun9-55.userapi.com/impg/vRxKrlrF-Cqs7nX7-pfJERZEspECTCsXOMlyxA/Gfl00G-r17o.jpg?size=800x600&amp;quality=96&amp;sign=0991b14fbd891a3acfd687bfada2cf45&amp;c_uniq_tag=PQsQKAK8mThQVsH6VmYDV31zBWs_eAlzkdBJdmMiayQ&amp;type=album")</f>
        <v>https://sun9-55.userapi.com/impg/vRxKrlrF-Cqs7nX7-pfJERZEspECTCsXOMlyxA/Gfl00G-r17o.jpg?size=800x600&amp;quality=96&amp;sign=0991b14fbd891a3acfd687bfada2cf45&amp;c_uniq_tag=PQsQKAK8mThQVsH6VmYDV31zBWs_eAlzkdBJdmMiayQ&amp;type=album</v>
      </c>
      <c r="AM3667" t="s">
        <v>129</v>
      </c>
      <c r="AN3667" t="s">
        <v>130</v>
      </c>
      <c r="AP3667" t="s">
        <v>41</v>
      </c>
      <c r="AZ3667" t="s">
        <v>51</v>
      </c>
      <c r="BA3667" t="s">
        <v>52</v>
      </c>
      <c r="BL3667" t="s">
        <v>63</v>
      </c>
    </row>
    <row r="3668" spans="1:100" x14ac:dyDescent="0.2">
      <c r="A3668" t="s">
        <v>11974</v>
      </c>
      <c r="B3668" t="s">
        <v>1147</v>
      </c>
      <c r="C3668" t="s">
        <v>12291</v>
      </c>
      <c r="D3668" t="s">
        <v>8951</v>
      </c>
      <c r="E3668" t="s">
        <v>12292</v>
      </c>
      <c r="F3668" t="s">
        <v>118</v>
      </c>
      <c r="G3668" t="str">
        <f>HYPERLINK("https://vk.com/wall-13366_73190?reply=73273")</f>
        <v>https://vk.com/wall-13366_73190?reply=73273</v>
      </c>
      <c r="H3668" t="s">
        <v>119</v>
      </c>
      <c r="I3668" t="s">
        <v>12293</v>
      </c>
      <c r="J3668" t="str">
        <f>HYPERLINK("http://vk.com/id78853461")</f>
        <v>http://vk.com/id78853461</v>
      </c>
      <c r="K3668">
        <v>57</v>
      </c>
      <c r="L3668" t="s">
        <v>121</v>
      </c>
      <c r="N3668" t="s">
        <v>122</v>
      </c>
      <c r="O3668" t="s">
        <v>8954</v>
      </c>
      <c r="P3668" t="str">
        <f>HYPERLINK("http://vk.com/club13366")</f>
        <v>http://vk.com/club13366</v>
      </c>
      <c r="Q3668">
        <v>5532</v>
      </c>
      <c r="R3668" t="s">
        <v>124</v>
      </c>
      <c r="S3668" t="s">
        <v>125</v>
      </c>
      <c r="T3668" t="s">
        <v>137</v>
      </c>
      <c r="U3668" t="s">
        <v>137</v>
      </c>
      <c r="AM3668" t="s">
        <v>129</v>
      </c>
      <c r="AN3668" t="s">
        <v>130</v>
      </c>
      <c r="AP3668" t="s">
        <v>41</v>
      </c>
      <c r="AU3668" t="s">
        <v>46</v>
      </c>
      <c r="AW3668" t="s">
        <v>48</v>
      </c>
      <c r="AZ3668" t="s">
        <v>51</v>
      </c>
      <c r="BA3668" t="s">
        <v>52</v>
      </c>
      <c r="BL3668" t="s">
        <v>63</v>
      </c>
      <c r="BM3668" t="s">
        <v>64</v>
      </c>
    </row>
    <row r="3669" spans="1:100" x14ac:dyDescent="0.2">
      <c r="A3669" t="s">
        <v>11974</v>
      </c>
      <c r="B3669" t="s">
        <v>11601</v>
      </c>
      <c r="C3669" t="s">
        <v>12294</v>
      </c>
      <c r="D3669" t="s">
        <v>8951</v>
      </c>
      <c r="E3669" t="s">
        <v>12295</v>
      </c>
      <c r="F3669" t="s">
        <v>118</v>
      </c>
      <c r="G3669" t="str">
        <f>HYPERLINK("https://vk.com/wall-13366_73190?reply=73272")</f>
        <v>https://vk.com/wall-13366_73190?reply=73272</v>
      </c>
      <c r="H3669" t="s">
        <v>228</v>
      </c>
      <c r="I3669" t="s">
        <v>12296</v>
      </c>
      <c r="J3669" t="str">
        <f>HYPERLINK("http://vk.com/id430808277")</f>
        <v>http://vk.com/id430808277</v>
      </c>
      <c r="K3669">
        <v>0</v>
      </c>
      <c r="L3669" t="s">
        <v>121</v>
      </c>
      <c r="M3669">
        <v>46</v>
      </c>
      <c r="N3669" t="s">
        <v>122</v>
      </c>
      <c r="O3669" t="s">
        <v>8954</v>
      </c>
      <c r="P3669" t="str">
        <f>HYPERLINK("http://vk.com/club13366")</f>
        <v>http://vk.com/club13366</v>
      </c>
      <c r="Q3669">
        <v>5532</v>
      </c>
      <c r="R3669" t="s">
        <v>124</v>
      </c>
      <c r="S3669" t="s">
        <v>125</v>
      </c>
      <c r="T3669" t="s">
        <v>137</v>
      </c>
      <c r="U3669" t="s">
        <v>137</v>
      </c>
      <c r="AM3669" t="s">
        <v>129</v>
      </c>
      <c r="AN3669" t="s">
        <v>130</v>
      </c>
      <c r="AP3669" t="s">
        <v>41</v>
      </c>
      <c r="AT3669" t="s">
        <v>45</v>
      </c>
      <c r="AU3669" t="s">
        <v>46</v>
      </c>
      <c r="AW3669" t="s">
        <v>48</v>
      </c>
      <c r="AY3669" t="s">
        <v>50</v>
      </c>
      <c r="AZ3669" t="s">
        <v>51</v>
      </c>
      <c r="BA3669" t="s">
        <v>52</v>
      </c>
      <c r="BM3669" t="s">
        <v>64</v>
      </c>
    </row>
    <row r="3670" spans="1:100" x14ac:dyDescent="0.2">
      <c r="A3670" t="s">
        <v>11974</v>
      </c>
      <c r="B3670" t="s">
        <v>9737</v>
      </c>
      <c r="C3670" t="s">
        <v>12297</v>
      </c>
      <c r="D3670" t="s">
        <v>129</v>
      </c>
      <c r="E3670" t="s">
        <v>12298</v>
      </c>
      <c r="F3670" t="s">
        <v>118</v>
      </c>
      <c r="G3670" t="str">
        <f>HYPERLINK("https://telegram.me/chatzadrot/1138668")</f>
        <v>https://telegram.me/chatzadrot/1138668</v>
      </c>
      <c r="H3670" t="s">
        <v>119</v>
      </c>
      <c r="I3670" t="s">
        <v>12299</v>
      </c>
      <c r="J3670" t="str">
        <f>HYPERLINK("https://telegram.me/164395037")</f>
        <v>https://telegram.me/164395037</v>
      </c>
      <c r="L3670" t="s">
        <v>121</v>
      </c>
      <c r="N3670" t="s">
        <v>143</v>
      </c>
      <c r="O3670" t="s">
        <v>12300</v>
      </c>
      <c r="P3670" t="str">
        <f>HYPERLINK("https://telegram.me/chatzadrot")</f>
        <v>https://telegram.me/chatzadrot</v>
      </c>
      <c r="Q3670">
        <v>2698</v>
      </c>
      <c r="R3670" t="s">
        <v>145</v>
      </c>
      <c r="AM3670" t="s">
        <v>129</v>
      </c>
      <c r="AN3670" t="s">
        <v>130</v>
      </c>
      <c r="AP3670" t="s">
        <v>41</v>
      </c>
      <c r="AY3670" t="s">
        <v>50</v>
      </c>
      <c r="AZ3670" t="s">
        <v>51</v>
      </c>
      <c r="BB3670" t="s">
        <v>53</v>
      </c>
    </row>
    <row r="3671" spans="1:100" x14ac:dyDescent="0.2">
      <c r="A3671" t="s">
        <v>11974</v>
      </c>
      <c r="B3671" t="s">
        <v>12301</v>
      </c>
      <c r="C3671" t="s">
        <v>12302</v>
      </c>
      <c r="D3671" t="s">
        <v>11571</v>
      </c>
      <c r="E3671" t="s">
        <v>12303</v>
      </c>
      <c r="F3671" t="s">
        <v>118</v>
      </c>
      <c r="G3671" t="str">
        <f>HYPERLINK("https://vk.com/wall-27863223_291306?w=wall-27863223_291306_r291343")</f>
        <v>https://vk.com/wall-27863223_291306?w=wall-27863223_291306_r291343</v>
      </c>
      <c r="H3671" t="s">
        <v>119</v>
      </c>
      <c r="I3671" t="s">
        <v>8674</v>
      </c>
      <c r="J3671" t="str">
        <f>HYPERLINK("http://vk.com/id503571616")</f>
        <v>http://vk.com/id503571616</v>
      </c>
      <c r="K3671">
        <v>9610</v>
      </c>
      <c r="L3671" t="s">
        <v>121</v>
      </c>
      <c r="N3671" t="s">
        <v>122</v>
      </c>
      <c r="O3671" t="s">
        <v>175</v>
      </c>
      <c r="P3671" t="str">
        <f>HYPERLINK("http://vk.com/club27863223")</f>
        <v>http://vk.com/club27863223</v>
      </c>
      <c r="Q3671">
        <v>134698</v>
      </c>
      <c r="R3671" t="s">
        <v>124</v>
      </c>
      <c r="S3671" t="s">
        <v>125</v>
      </c>
      <c r="T3671" t="s">
        <v>1283</v>
      </c>
      <c r="U3671" t="s">
        <v>3811</v>
      </c>
      <c r="W3671">
        <v>0</v>
      </c>
      <c r="X3671">
        <v>0</v>
      </c>
      <c r="AM3671" t="s">
        <v>129</v>
      </c>
      <c r="AN3671" t="s">
        <v>130</v>
      </c>
      <c r="AP3671" t="s">
        <v>41</v>
      </c>
      <c r="AU3671" t="s">
        <v>46</v>
      </c>
      <c r="AZ3671" t="s">
        <v>51</v>
      </c>
      <c r="BA3671" t="s">
        <v>52</v>
      </c>
    </row>
    <row r="3672" spans="1:100" x14ac:dyDescent="0.2">
      <c r="A3672" t="s">
        <v>11974</v>
      </c>
      <c r="B3672" t="s">
        <v>9740</v>
      </c>
      <c r="C3672" t="s">
        <v>12304</v>
      </c>
      <c r="D3672" t="s">
        <v>129</v>
      </c>
      <c r="E3672" t="s">
        <v>12305</v>
      </c>
      <c r="F3672" t="s">
        <v>180</v>
      </c>
      <c r="G3672" t="str">
        <f>HYPERLINK("https://vk.com/wall-14098618_8638")</f>
        <v>https://vk.com/wall-14098618_8638</v>
      </c>
      <c r="H3672" t="s">
        <v>228</v>
      </c>
      <c r="I3672" t="s">
        <v>12306</v>
      </c>
      <c r="J3672" t="str">
        <f>HYPERLINK("http://vk.com/id470550832")</f>
        <v>http://vk.com/id470550832</v>
      </c>
      <c r="K3672">
        <v>7</v>
      </c>
      <c r="L3672" t="s">
        <v>121</v>
      </c>
      <c r="M3672">
        <v>36</v>
      </c>
      <c r="N3672" t="s">
        <v>122</v>
      </c>
      <c r="O3672" t="s">
        <v>1663</v>
      </c>
      <c r="P3672" t="str">
        <f>HYPERLINK("http://vk.com/club14098618")</f>
        <v>http://vk.com/club14098618</v>
      </c>
      <c r="Q3672">
        <v>4681</v>
      </c>
      <c r="R3672" t="s">
        <v>124</v>
      </c>
      <c r="W3672">
        <v>0</v>
      </c>
      <c r="X3672">
        <v>0</v>
      </c>
      <c r="AE3672">
        <v>0</v>
      </c>
      <c r="AF3672">
        <v>0</v>
      </c>
      <c r="AM3672" t="s">
        <v>129</v>
      </c>
      <c r="AN3672" t="s">
        <v>130</v>
      </c>
      <c r="AP3672" t="s">
        <v>41</v>
      </c>
      <c r="AX3672" t="s">
        <v>49</v>
      </c>
      <c r="AZ3672" t="s">
        <v>51</v>
      </c>
      <c r="BA3672" t="s">
        <v>52</v>
      </c>
    </row>
    <row r="3673" spans="1:100" x14ac:dyDescent="0.2">
      <c r="A3673" t="s">
        <v>11974</v>
      </c>
      <c r="B3673" t="s">
        <v>3259</v>
      </c>
      <c r="C3673" t="s">
        <v>12307</v>
      </c>
      <c r="D3673" t="s">
        <v>12308</v>
      </c>
      <c r="E3673" t="s">
        <v>12309</v>
      </c>
      <c r="F3673" t="s">
        <v>180</v>
      </c>
      <c r="G3673" t="str">
        <f>HYPERLINK("https://www.wildberries.ru/catalog/28814996/detail.aspx?targetUrl=ES#Comments")</f>
        <v>https://www.wildberries.ru/catalog/28814996/detail.aspx?targetUrl=ES#Comments</v>
      </c>
      <c r="H3673" t="s">
        <v>119</v>
      </c>
      <c r="I3673" t="s">
        <v>3326</v>
      </c>
      <c r="J3673" t="str">
        <f>HYPERLINK("https://www.wildberries.ru/profile/w7TDssOkw7PCu8KwwrPCucK2wrPCucKywrQ=")</f>
        <v>https://www.wildberries.ru/profile/w7TDssOkw7PCu8KwwrPCucK2wrPCucKywrQ=</v>
      </c>
      <c r="L3673" t="s">
        <v>151</v>
      </c>
      <c r="N3673" t="s">
        <v>534</v>
      </c>
      <c r="O3673" t="s">
        <v>12308</v>
      </c>
      <c r="P3673" t="str">
        <f>HYPERLINK("https://www.wildberries.ru/catalog/21200495/detail.aspx")</f>
        <v>https://www.wildberries.ru/catalog/21200495/detail.aspx</v>
      </c>
      <c r="R3673" t="s">
        <v>184</v>
      </c>
      <c r="S3673" t="s">
        <v>125</v>
      </c>
      <c r="W3673">
        <v>0</v>
      </c>
      <c r="X3673">
        <v>0</v>
      </c>
      <c r="AH3673">
        <v>5</v>
      </c>
      <c r="AM3673" t="s">
        <v>129</v>
      </c>
      <c r="AN3673" t="s">
        <v>130</v>
      </c>
      <c r="AP3673" t="s">
        <v>41</v>
      </c>
      <c r="AT3673" t="s">
        <v>45</v>
      </c>
      <c r="AZ3673" t="s">
        <v>51</v>
      </c>
      <c r="BA3673" t="s">
        <v>52</v>
      </c>
      <c r="BO3673" t="s">
        <v>66</v>
      </c>
    </row>
    <row r="3674" spans="1:100" x14ac:dyDescent="0.2">
      <c r="A3674" t="s">
        <v>11974</v>
      </c>
      <c r="B3674" t="s">
        <v>12310</v>
      </c>
      <c r="C3674" t="s">
        <v>12311</v>
      </c>
      <c r="D3674" t="s">
        <v>129</v>
      </c>
      <c r="E3674" t="s">
        <v>12312</v>
      </c>
      <c r="F3674" t="s">
        <v>180</v>
      </c>
      <c r="G3674" t="str">
        <f>HYPERLINK("https://vk.com/wall-14098618_8637")</f>
        <v>https://vk.com/wall-14098618_8637</v>
      </c>
      <c r="H3674" t="s">
        <v>119</v>
      </c>
      <c r="I3674" t="s">
        <v>12306</v>
      </c>
      <c r="J3674" t="str">
        <f>HYPERLINK("http://vk.com/id470550832")</f>
        <v>http://vk.com/id470550832</v>
      </c>
      <c r="K3674">
        <v>7</v>
      </c>
      <c r="L3674" t="s">
        <v>121</v>
      </c>
      <c r="M3674">
        <v>36</v>
      </c>
      <c r="N3674" t="s">
        <v>122</v>
      </c>
      <c r="O3674" t="s">
        <v>1663</v>
      </c>
      <c r="P3674" t="str">
        <f>HYPERLINK("http://vk.com/club14098618")</f>
        <v>http://vk.com/club14098618</v>
      </c>
      <c r="Q3674">
        <v>4681</v>
      </c>
      <c r="R3674" t="s">
        <v>124</v>
      </c>
      <c r="W3674">
        <v>0</v>
      </c>
      <c r="X3674">
        <v>0</v>
      </c>
      <c r="AE3674">
        <v>1</v>
      </c>
      <c r="AF3674">
        <v>0</v>
      </c>
      <c r="AM3674" t="s">
        <v>129</v>
      </c>
      <c r="AN3674" t="s">
        <v>130</v>
      </c>
      <c r="AP3674" t="s">
        <v>41</v>
      </c>
      <c r="AU3674" t="s">
        <v>46</v>
      </c>
      <c r="AY3674" t="s">
        <v>50</v>
      </c>
      <c r="AZ3674" t="s">
        <v>51</v>
      </c>
      <c r="BA3674" t="s">
        <v>52</v>
      </c>
    </row>
    <row r="3675" spans="1:100" x14ac:dyDescent="0.2">
      <c r="A3675" t="s">
        <v>11974</v>
      </c>
      <c r="B3675" t="s">
        <v>8692</v>
      </c>
      <c r="C3675" t="s">
        <v>12313</v>
      </c>
      <c r="D3675" t="s">
        <v>2110</v>
      </c>
      <c r="E3675" t="s">
        <v>12314</v>
      </c>
      <c r="F3675" t="s">
        <v>118</v>
      </c>
      <c r="G3675" t="str">
        <f>HYPERLINK("https://vk.com/topic-14098618_34670460?post=1998")</f>
        <v>https://vk.com/topic-14098618_34670460?post=1998</v>
      </c>
      <c r="H3675" t="s">
        <v>119</v>
      </c>
      <c r="I3675" t="s">
        <v>12306</v>
      </c>
      <c r="J3675" t="str">
        <f>HYPERLINK("http://vk.com/id470550832")</f>
        <v>http://vk.com/id470550832</v>
      </c>
      <c r="K3675">
        <v>7</v>
      </c>
      <c r="L3675" t="s">
        <v>121</v>
      </c>
      <c r="M3675">
        <v>36</v>
      </c>
      <c r="N3675" t="s">
        <v>122</v>
      </c>
      <c r="O3675" t="s">
        <v>1663</v>
      </c>
      <c r="P3675" t="str">
        <f>HYPERLINK("http://vk.com/club14098618")</f>
        <v>http://vk.com/club14098618</v>
      </c>
      <c r="Q3675">
        <v>4681</v>
      </c>
      <c r="R3675" t="s">
        <v>124</v>
      </c>
      <c r="AM3675" t="s">
        <v>129</v>
      </c>
      <c r="AN3675" t="s">
        <v>130</v>
      </c>
      <c r="AP3675" t="s">
        <v>41</v>
      </c>
      <c r="AU3675" t="s">
        <v>46</v>
      </c>
      <c r="AY3675" t="s">
        <v>50</v>
      </c>
      <c r="AZ3675" t="s">
        <v>51</v>
      </c>
      <c r="BA3675" t="s">
        <v>52</v>
      </c>
    </row>
    <row r="3676" spans="1:100" x14ac:dyDescent="0.2">
      <c r="A3676" t="s">
        <v>11974</v>
      </c>
      <c r="B3676" t="s">
        <v>3984</v>
      </c>
      <c r="C3676" t="s">
        <v>12315</v>
      </c>
      <c r="D3676" t="s">
        <v>11307</v>
      </c>
      <c r="E3676" t="s">
        <v>12316</v>
      </c>
      <c r="F3676" t="s">
        <v>118</v>
      </c>
      <c r="G3676" t="str">
        <f>HYPERLINK("https://vk.com/wall-14098618_8616?reply=8636&amp;thread=8620")</f>
        <v>https://vk.com/wall-14098618_8616?reply=8636&amp;thread=8620</v>
      </c>
      <c r="H3676" t="s">
        <v>119</v>
      </c>
      <c r="I3676" t="s">
        <v>12306</v>
      </c>
      <c r="J3676" t="str">
        <f>HYPERLINK("http://vk.com/id470550832")</f>
        <v>http://vk.com/id470550832</v>
      </c>
      <c r="K3676">
        <v>7</v>
      </c>
      <c r="L3676" t="s">
        <v>121</v>
      </c>
      <c r="M3676">
        <v>36</v>
      </c>
      <c r="N3676" t="s">
        <v>122</v>
      </c>
      <c r="O3676" t="s">
        <v>1663</v>
      </c>
      <c r="P3676" t="str">
        <f>HYPERLINK("http://vk.com/club14098618")</f>
        <v>http://vk.com/club14098618</v>
      </c>
      <c r="Q3676">
        <v>4681</v>
      </c>
      <c r="R3676" t="s">
        <v>124</v>
      </c>
      <c r="AM3676" t="s">
        <v>129</v>
      </c>
      <c r="AN3676" t="s">
        <v>130</v>
      </c>
      <c r="AP3676" t="s">
        <v>41</v>
      </c>
      <c r="AU3676" t="s">
        <v>46</v>
      </c>
      <c r="AY3676" t="s">
        <v>50</v>
      </c>
      <c r="AZ3676" t="s">
        <v>51</v>
      </c>
      <c r="BA3676" t="s">
        <v>52</v>
      </c>
    </row>
    <row r="3677" spans="1:100" x14ac:dyDescent="0.2">
      <c r="A3677" t="s">
        <v>11974</v>
      </c>
      <c r="B3677" t="s">
        <v>3991</v>
      </c>
      <c r="C3677" t="s">
        <v>12317</v>
      </c>
      <c r="D3677" t="s">
        <v>12318</v>
      </c>
      <c r="E3677" t="s">
        <v>12319</v>
      </c>
      <c r="F3677" t="s">
        <v>118</v>
      </c>
      <c r="G3677" t="str">
        <f>HYPERLINK("https://vk.com/wall-18736121_139215?reply=139417")</f>
        <v>https://vk.com/wall-18736121_139215?reply=139417</v>
      </c>
      <c r="H3677" t="s">
        <v>228</v>
      </c>
      <c r="I3677" t="s">
        <v>12320</v>
      </c>
      <c r="J3677" t="str">
        <f>HYPERLINK("http://vk.com/id72100919")</f>
        <v>http://vk.com/id72100919</v>
      </c>
      <c r="K3677">
        <v>251</v>
      </c>
      <c r="L3677" t="s">
        <v>151</v>
      </c>
      <c r="N3677" t="s">
        <v>122</v>
      </c>
      <c r="O3677" t="s">
        <v>12321</v>
      </c>
      <c r="P3677" t="str">
        <f>HYPERLINK("http://vk.com/club18736121")</f>
        <v>http://vk.com/club18736121</v>
      </c>
      <c r="Q3677">
        <v>15558</v>
      </c>
      <c r="R3677" t="s">
        <v>124</v>
      </c>
      <c r="S3677" t="s">
        <v>125</v>
      </c>
      <c r="T3677" t="s">
        <v>627</v>
      </c>
      <c r="U3677" t="s">
        <v>12322</v>
      </c>
      <c r="AM3677" t="s">
        <v>129</v>
      </c>
      <c r="AN3677" t="s">
        <v>130</v>
      </c>
      <c r="AP3677" t="s">
        <v>41</v>
      </c>
      <c r="AW3677" t="s">
        <v>48</v>
      </c>
      <c r="AY3677" t="s">
        <v>50</v>
      </c>
      <c r="AZ3677" t="s">
        <v>51</v>
      </c>
      <c r="BA3677" t="s">
        <v>52</v>
      </c>
      <c r="BL3677" t="s">
        <v>63</v>
      </c>
      <c r="CV3677" t="s">
        <v>99</v>
      </c>
    </row>
    <row r="3678" spans="1:100" x14ac:dyDescent="0.2">
      <c r="A3678" t="s">
        <v>11974</v>
      </c>
      <c r="B3678" t="s">
        <v>12323</v>
      </c>
      <c r="C3678" t="s">
        <v>12324</v>
      </c>
      <c r="D3678" t="s">
        <v>204</v>
      </c>
      <c r="E3678" t="s">
        <v>12325</v>
      </c>
      <c r="F3678" t="s">
        <v>180</v>
      </c>
      <c r="G3678" t="str">
        <f>HYPERLINK("https://play.google.com/store/apps/details?id=ru.iflex.android.a3colortv&amp;reviewId=gp:AOqpTOGyT7dVJ-7uxiZjyIXSlOD6NZetFcRATDUnmeoUp3EXTeU6yo3QwzHhSQt58cm7qTTo9C7Y8BjuzhnwdQ")</f>
        <v>https://play.google.com/store/apps/details?id=ru.iflex.android.a3colortv&amp;reviewId=gp:AOqpTOGyT7dVJ-7uxiZjyIXSlOD6NZetFcRATDUnmeoUp3EXTeU6yo3QwzHhSQt58cm7qTTo9C7Y8BjuzhnwdQ</v>
      </c>
      <c r="H3678" t="s">
        <v>181</v>
      </c>
      <c r="I3678" t="s">
        <v>12326</v>
      </c>
      <c r="J3678" t="str">
        <f>HYPERLINK("https://plus.google.com/109104069081555730282")</f>
        <v>https://plus.google.com/109104069081555730282</v>
      </c>
      <c r="L3678" t="s">
        <v>151</v>
      </c>
      <c r="N3678" t="s">
        <v>207</v>
      </c>
      <c r="O3678" t="s">
        <v>204</v>
      </c>
      <c r="P3678" t="str">
        <f>HYPERLINK("https://play.google.com/store/apps/details?id=ru.iflex.android.a3colortv&amp;hl=ru")</f>
        <v>https://play.google.com/store/apps/details?id=ru.iflex.android.a3colortv&amp;hl=ru</v>
      </c>
      <c r="R3678" t="s">
        <v>184</v>
      </c>
      <c r="S3678" t="s">
        <v>125</v>
      </c>
      <c r="W3678">
        <v>0</v>
      </c>
      <c r="X3678">
        <v>0</v>
      </c>
      <c r="AH3678">
        <v>5</v>
      </c>
      <c r="AM3678" t="s">
        <v>129</v>
      </c>
      <c r="AN3678" t="s">
        <v>130</v>
      </c>
      <c r="AP3678" t="s">
        <v>41</v>
      </c>
      <c r="AZ3678" t="s">
        <v>51</v>
      </c>
      <c r="BA3678" t="s">
        <v>52</v>
      </c>
      <c r="BP3678" t="s">
        <v>67</v>
      </c>
      <c r="BQ3678" t="s">
        <v>68</v>
      </c>
    </row>
    <row r="3679" spans="1:100" x14ac:dyDescent="0.2">
      <c r="A3679" t="s">
        <v>11974</v>
      </c>
      <c r="B3679" t="s">
        <v>12327</v>
      </c>
      <c r="C3679" t="s">
        <v>12328</v>
      </c>
      <c r="D3679" t="s">
        <v>12329</v>
      </c>
      <c r="E3679" t="s">
        <v>12330</v>
      </c>
      <c r="F3679" t="s">
        <v>118</v>
      </c>
      <c r="G3679" t="str">
        <f>HYPERLINK("https://vk.com/wall-66193196_296873?reply=297087")</f>
        <v>https://vk.com/wall-66193196_296873?reply=297087</v>
      </c>
      <c r="H3679" t="s">
        <v>181</v>
      </c>
      <c r="I3679" t="s">
        <v>12331</v>
      </c>
      <c r="J3679" t="str">
        <f>HYPERLINK("http://vk.com/id477645708")</f>
        <v>http://vk.com/id477645708</v>
      </c>
      <c r="K3679">
        <v>17</v>
      </c>
      <c r="L3679" t="s">
        <v>121</v>
      </c>
      <c r="M3679">
        <v>56</v>
      </c>
      <c r="N3679" t="s">
        <v>122</v>
      </c>
      <c r="O3679" t="s">
        <v>12332</v>
      </c>
      <c r="P3679" t="str">
        <f>HYPERLINK("http://vk.com/club66193196")</f>
        <v>http://vk.com/club66193196</v>
      </c>
      <c r="Q3679">
        <v>20602</v>
      </c>
      <c r="R3679" t="s">
        <v>124</v>
      </c>
      <c r="S3679" t="s">
        <v>125</v>
      </c>
      <c r="T3679" t="s">
        <v>570</v>
      </c>
      <c r="U3679" t="s">
        <v>10645</v>
      </c>
      <c r="AM3679" t="s">
        <v>129</v>
      </c>
      <c r="AN3679" t="s">
        <v>130</v>
      </c>
      <c r="AP3679" t="s">
        <v>41</v>
      </c>
      <c r="AZ3679" t="s">
        <v>51</v>
      </c>
      <c r="BA3679" t="s">
        <v>52</v>
      </c>
    </row>
    <row r="3680" spans="1:100" x14ac:dyDescent="0.2">
      <c r="A3680" t="s">
        <v>11974</v>
      </c>
      <c r="B3680" t="s">
        <v>5891</v>
      </c>
      <c r="C3680" t="s">
        <v>12333</v>
      </c>
      <c r="D3680" t="s">
        <v>12334</v>
      </c>
      <c r="E3680" t="s">
        <v>12335</v>
      </c>
      <c r="F3680" t="s">
        <v>180</v>
      </c>
      <c r="G3680" t="str">
        <f>HYPERLINK("https://www.rlocman.ru/news/new.html?di=642757")</f>
        <v>https://www.rlocman.ru/news/new.html?di=642757</v>
      </c>
      <c r="H3680" t="s">
        <v>119</v>
      </c>
      <c r="N3680" t="s">
        <v>12336</v>
      </c>
      <c r="R3680" t="s">
        <v>785</v>
      </c>
      <c r="S3680" t="s">
        <v>125</v>
      </c>
      <c r="AJ3680" t="s">
        <v>12337</v>
      </c>
      <c r="AK3680" t="s">
        <v>129</v>
      </c>
      <c r="AL3680" t="str">
        <f>HYPERLINK("https://www.rlocman.ru/i/Image/2021/07/01/GS.jpg")</f>
        <v>https://www.rlocman.ru/i/Image/2021/07/01/GS.jpg</v>
      </c>
      <c r="AM3680" t="s">
        <v>129</v>
      </c>
      <c r="AN3680" t="s">
        <v>130</v>
      </c>
      <c r="AV3680" t="s">
        <v>47</v>
      </c>
    </row>
    <row r="3681" spans="1:69" x14ac:dyDescent="0.2">
      <c r="A3681" t="s">
        <v>11974</v>
      </c>
      <c r="B3681" t="s">
        <v>12338</v>
      </c>
      <c r="C3681" t="s">
        <v>12339</v>
      </c>
      <c r="D3681" t="s">
        <v>129</v>
      </c>
      <c r="E3681" t="s">
        <v>12340</v>
      </c>
      <c r="F3681" t="s">
        <v>180</v>
      </c>
      <c r="G3681" t="str">
        <f>HYPERLINK("https://vk.com/wall-12854942_1534320")</f>
        <v>https://vk.com/wall-12854942_1534320</v>
      </c>
      <c r="H3681" t="s">
        <v>119</v>
      </c>
      <c r="I3681" t="s">
        <v>12341</v>
      </c>
      <c r="J3681" t="str">
        <f>HYPERLINK("http://vk.com/id651621975")</f>
        <v>http://vk.com/id651621975</v>
      </c>
      <c r="L3681" t="s">
        <v>151</v>
      </c>
      <c r="M3681">
        <v>24</v>
      </c>
      <c r="N3681" t="s">
        <v>122</v>
      </c>
      <c r="O3681" t="s">
        <v>12342</v>
      </c>
      <c r="P3681" t="str">
        <f>HYPERLINK("http://vk.com/club12854942")</f>
        <v>http://vk.com/club12854942</v>
      </c>
      <c r="Q3681">
        <v>34492</v>
      </c>
      <c r="R3681" t="s">
        <v>124</v>
      </c>
      <c r="S3681" t="s">
        <v>125</v>
      </c>
      <c r="T3681" t="s">
        <v>169</v>
      </c>
      <c r="U3681" t="s">
        <v>169</v>
      </c>
      <c r="W3681">
        <v>16</v>
      </c>
      <c r="X3681">
        <v>16</v>
      </c>
      <c r="AE3681">
        <v>0</v>
      </c>
      <c r="AF3681">
        <v>1</v>
      </c>
      <c r="AJ3681" t="s">
        <v>12343</v>
      </c>
      <c r="AK3681" t="s">
        <v>12344</v>
      </c>
      <c r="AL3681" t="str">
        <f>HYPERLINK("https://sun9-36.userapi.com/c525123/u158544283/video/l_78fe76dc.jpg")</f>
        <v>https://sun9-36.userapi.com/c525123/u158544283/video/l_78fe76dc.jpg</v>
      </c>
      <c r="AM3681" t="s">
        <v>129</v>
      </c>
      <c r="AN3681" t="s">
        <v>130</v>
      </c>
      <c r="AP3681" t="s">
        <v>41</v>
      </c>
      <c r="AU3681" t="s">
        <v>46</v>
      </c>
      <c r="AZ3681" t="s">
        <v>51</v>
      </c>
      <c r="BA3681" t="s">
        <v>52</v>
      </c>
    </row>
    <row r="3682" spans="1:69" x14ac:dyDescent="0.2">
      <c r="A3682" t="s">
        <v>11974</v>
      </c>
      <c r="B3682" t="s">
        <v>5907</v>
      </c>
      <c r="C3682" t="s">
        <v>12345</v>
      </c>
      <c r="D3682" t="s">
        <v>12346</v>
      </c>
      <c r="E3682" t="s">
        <v>12347</v>
      </c>
      <c r="F3682" t="s">
        <v>118</v>
      </c>
      <c r="G3682" t="str">
        <f>HYPERLINK("https://vk.com/wall-62577869_198734?reply=198753")</f>
        <v>https://vk.com/wall-62577869_198734?reply=198753</v>
      </c>
      <c r="H3682" t="s">
        <v>119</v>
      </c>
      <c r="I3682" t="s">
        <v>12348</v>
      </c>
      <c r="J3682" t="str">
        <f>HYPERLINK("http://vk.com/id436412740")</f>
        <v>http://vk.com/id436412740</v>
      </c>
      <c r="K3682">
        <v>125</v>
      </c>
      <c r="L3682" t="s">
        <v>121</v>
      </c>
      <c r="M3682">
        <v>23</v>
      </c>
      <c r="N3682" t="s">
        <v>122</v>
      </c>
      <c r="O3682" t="s">
        <v>12349</v>
      </c>
      <c r="P3682" t="str">
        <f>HYPERLINK("http://vk.com/club62577869")</f>
        <v>http://vk.com/club62577869</v>
      </c>
      <c r="Q3682">
        <v>11268</v>
      </c>
      <c r="R3682" t="s">
        <v>124</v>
      </c>
      <c r="S3682" t="s">
        <v>125</v>
      </c>
      <c r="T3682" t="s">
        <v>169</v>
      </c>
      <c r="U3682" t="s">
        <v>169</v>
      </c>
      <c r="AM3682" t="s">
        <v>129</v>
      </c>
      <c r="AN3682" t="s">
        <v>130</v>
      </c>
      <c r="AP3682" t="s">
        <v>41</v>
      </c>
      <c r="AZ3682" t="s">
        <v>51</v>
      </c>
      <c r="BA3682" t="s">
        <v>52</v>
      </c>
      <c r="BL3682" t="s">
        <v>63</v>
      </c>
    </row>
    <row r="3683" spans="1:69" x14ac:dyDescent="0.2">
      <c r="A3683" t="s">
        <v>11974</v>
      </c>
      <c r="B3683" t="s">
        <v>11050</v>
      </c>
      <c r="C3683" t="s">
        <v>12350</v>
      </c>
      <c r="D3683" t="s">
        <v>204</v>
      </c>
      <c r="E3683" t="s">
        <v>12351</v>
      </c>
      <c r="F3683" t="s">
        <v>180</v>
      </c>
      <c r="G3683" t="str">
        <f>HYPERLINK("https://play.google.com/store/apps/details?id=ru.iflex.android.a3colortv&amp;reviewId=gp:AOqpTOG87yuv1qVe8aSwSRkvqmXksfMgmFdX12BKksR1BayWU9oJXVHZKB2jh0L5-whkNsQM5MnaWkbUT1nm7Q")</f>
        <v>https://play.google.com/store/apps/details?id=ru.iflex.android.a3colortv&amp;reviewId=gp:AOqpTOG87yuv1qVe8aSwSRkvqmXksfMgmFdX12BKksR1BayWU9oJXVHZKB2jh0L5-whkNsQM5MnaWkbUT1nm7Q</v>
      </c>
      <c r="H3683" t="s">
        <v>119</v>
      </c>
      <c r="I3683" t="s">
        <v>12352</v>
      </c>
      <c r="J3683" t="str">
        <f>HYPERLINK("https://plus.google.com/111819222855764989645")</f>
        <v>https://plus.google.com/111819222855764989645</v>
      </c>
      <c r="L3683" t="s">
        <v>121</v>
      </c>
      <c r="N3683" t="s">
        <v>207</v>
      </c>
      <c r="O3683" t="s">
        <v>204</v>
      </c>
      <c r="P3683" t="str">
        <f>HYPERLINK("https://play.google.com/store/apps/details?id=ru.iflex.android.a3colortv&amp;hl=ru")</f>
        <v>https://play.google.com/store/apps/details?id=ru.iflex.android.a3colortv&amp;hl=ru</v>
      </c>
      <c r="R3683" t="s">
        <v>184</v>
      </c>
      <c r="S3683" t="s">
        <v>125</v>
      </c>
      <c r="W3683">
        <v>0</v>
      </c>
      <c r="X3683">
        <v>0</v>
      </c>
      <c r="AH3683">
        <v>4</v>
      </c>
      <c r="AM3683" t="s">
        <v>129</v>
      </c>
      <c r="AN3683" t="s">
        <v>130</v>
      </c>
      <c r="AP3683" t="s">
        <v>41</v>
      </c>
      <c r="AZ3683" t="s">
        <v>51</v>
      </c>
      <c r="BA3683" t="s">
        <v>52</v>
      </c>
      <c r="BQ3683" t="s">
        <v>68</v>
      </c>
    </row>
    <row r="3684" spans="1:69" x14ac:dyDescent="0.2">
      <c r="A3684" t="s">
        <v>11974</v>
      </c>
      <c r="B3684" t="s">
        <v>12353</v>
      </c>
      <c r="C3684" t="s">
        <v>12354</v>
      </c>
      <c r="D3684" t="s">
        <v>12355</v>
      </c>
      <c r="E3684" t="s">
        <v>12356</v>
      </c>
      <c r="F3684" t="s">
        <v>118</v>
      </c>
      <c r="G3684" t="str">
        <f>HYPERLINK("https://vk.com/topic-21470136_27590064?post=1422")</f>
        <v>https://vk.com/topic-21470136_27590064?post=1422</v>
      </c>
      <c r="H3684" t="s">
        <v>119</v>
      </c>
      <c r="I3684" t="s">
        <v>12357</v>
      </c>
      <c r="J3684" t="str">
        <f>HYPERLINK("http://vk.com/id640077433")</f>
        <v>http://vk.com/id640077433</v>
      </c>
      <c r="L3684" t="s">
        <v>121</v>
      </c>
      <c r="M3684">
        <v>14</v>
      </c>
      <c r="N3684" t="s">
        <v>122</v>
      </c>
      <c r="O3684" t="s">
        <v>12358</v>
      </c>
      <c r="P3684" t="str">
        <f>HYPERLINK("http://vk.com/club21470136")</f>
        <v>http://vk.com/club21470136</v>
      </c>
      <c r="Q3684">
        <v>64385</v>
      </c>
      <c r="R3684" t="s">
        <v>124</v>
      </c>
      <c r="S3684" t="s">
        <v>125</v>
      </c>
      <c r="AM3684" t="s">
        <v>129</v>
      </c>
      <c r="AN3684" t="s">
        <v>130</v>
      </c>
      <c r="AP3684" t="s">
        <v>41</v>
      </c>
      <c r="AU3684" t="s">
        <v>46</v>
      </c>
      <c r="AZ3684" t="s">
        <v>51</v>
      </c>
      <c r="BA3684" t="s">
        <v>52</v>
      </c>
    </row>
    <row r="3685" spans="1:69" x14ac:dyDescent="0.2">
      <c r="A3685" t="s">
        <v>11974</v>
      </c>
      <c r="B3685" t="s">
        <v>1231</v>
      </c>
      <c r="C3685" t="s">
        <v>12359</v>
      </c>
      <c r="D3685" t="s">
        <v>1648</v>
      </c>
      <c r="E3685" t="s">
        <v>12360</v>
      </c>
      <c r="F3685" t="s">
        <v>180</v>
      </c>
      <c r="G3685" t="str">
        <f>HYPERLINK("https://www.wildberries.ru/catalog/26550113/detail.aspx?targetUrl=ES#Comments")</f>
        <v>https://www.wildberries.ru/catalog/26550113/detail.aspx?targetUrl=ES#Comments</v>
      </c>
      <c r="H3685" t="s">
        <v>181</v>
      </c>
      <c r="I3685" t="s">
        <v>1347</v>
      </c>
      <c r="J3685" t="str">
        <f>HYPERLINK("https://www.wildberries.ru/profile/w7TDssOkw7PCu8KywrnCucK4wrnCtMK4wrA=")</f>
        <v>https://www.wildberries.ru/profile/w7TDssOkw7PCu8KywrnCucK4wrnCtMK4wrA=</v>
      </c>
      <c r="L3685" t="s">
        <v>121</v>
      </c>
      <c r="N3685" t="s">
        <v>534</v>
      </c>
      <c r="O3685" t="s">
        <v>1648</v>
      </c>
      <c r="P3685" t="str">
        <f>HYPERLINK("https://www.wildberries.ru/catalog/19471768/detail.aspx")</f>
        <v>https://www.wildberries.ru/catalog/19471768/detail.aspx</v>
      </c>
      <c r="R3685" t="s">
        <v>184</v>
      </c>
      <c r="S3685" t="s">
        <v>125</v>
      </c>
      <c r="W3685">
        <v>0</v>
      </c>
      <c r="X3685">
        <v>0</v>
      </c>
      <c r="AH3685">
        <v>5</v>
      </c>
      <c r="AM3685" t="s">
        <v>129</v>
      </c>
      <c r="AN3685" t="s">
        <v>130</v>
      </c>
      <c r="AP3685" t="s">
        <v>41</v>
      </c>
      <c r="AT3685" t="s">
        <v>45</v>
      </c>
      <c r="AZ3685" t="s">
        <v>51</v>
      </c>
      <c r="BA3685"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Упоминания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Сергей Зотов</cp:lastModifiedBy>
  <dcterms:modified xsi:type="dcterms:W3CDTF">2021-09-04T15:00:54Z</dcterms:modified>
</cp:coreProperties>
</file>