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erendeev\study\Принятие решений\Лаба1\"/>
    </mc:Choice>
  </mc:AlternateContent>
  <bookViews>
    <workbookView xWindow="0" yWindow="0" windowWidth="19200" windowHeight="7670" firstSheet="1" activeTab="1"/>
  </bookViews>
  <sheets>
    <sheet name="1б" sheetId="4" state="hidden" r:id="rId1"/>
    <sheet name="Б" sheetId="6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1" i="6" l="1"/>
  <c r="M82" i="6"/>
  <c r="M83" i="6"/>
  <c r="L81" i="6"/>
  <c r="L84" i="6" s="1"/>
  <c r="L82" i="6"/>
  <c r="L83" i="6"/>
  <c r="K81" i="6"/>
  <c r="K84" i="6" s="1"/>
  <c r="K82" i="6"/>
  <c r="K83" i="6"/>
  <c r="J81" i="6"/>
  <c r="J82" i="6"/>
  <c r="J83" i="6"/>
  <c r="I81" i="6"/>
  <c r="I84" i="6" s="1"/>
  <c r="I82" i="6"/>
  <c r="I83" i="6"/>
  <c r="H81" i="6"/>
  <c r="H84" i="6" s="1"/>
  <c r="H82" i="6"/>
  <c r="H83" i="6"/>
  <c r="G81" i="6"/>
  <c r="G82" i="6"/>
  <c r="G83" i="6"/>
  <c r="F81" i="6"/>
  <c r="F82" i="6"/>
  <c r="F83" i="6"/>
  <c r="E81" i="6"/>
  <c r="E82" i="6"/>
  <c r="E83" i="6"/>
  <c r="D81" i="6"/>
  <c r="D84" i="6" s="1"/>
  <c r="D82" i="6"/>
  <c r="D83" i="6"/>
  <c r="C81" i="6"/>
  <c r="C82" i="6"/>
  <c r="C83" i="6"/>
  <c r="C80" i="6"/>
  <c r="D80" i="6"/>
  <c r="E80" i="6"/>
  <c r="F80" i="6"/>
  <c r="G80" i="6"/>
  <c r="H80" i="6"/>
  <c r="I80" i="6"/>
  <c r="J80" i="6"/>
  <c r="K80" i="6"/>
  <c r="L80" i="6"/>
  <c r="M80" i="6"/>
  <c r="B81" i="6"/>
  <c r="B82" i="6"/>
  <c r="B83" i="6"/>
  <c r="B80" i="6"/>
  <c r="J84" i="6"/>
  <c r="C84" i="6"/>
  <c r="C78" i="6"/>
  <c r="D78" i="6"/>
  <c r="E78" i="6"/>
  <c r="F78" i="6"/>
  <c r="G78" i="6"/>
  <c r="H78" i="6"/>
  <c r="I78" i="6"/>
  <c r="J78" i="6"/>
  <c r="K78" i="6"/>
  <c r="L78" i="6"/>
  <c r="M78" i="6"/>
  <c r="B78" i="6"/>
  <c r="M75" i="6"/>
  <c r="M76" i="6"/>
  <c r="M77" i="6"/>
  <c r="M74" i="6"/>
  <c r="L75" i="6"/>
  <c r="L76" i="6"/>
  <c r="L77" i="6"/>
  <c r="L74" i="6"/>
  <c r="K75" i="6"/>
  <c r="K76" i="6"/>
  <c r="K77" i="6"/>
  <c r="K74" i="6"/>
  <c r="J75" i="6"/>
  <c r="J76" i="6"/>
  <c r="J77" i="6"/>
  <c r="I75" i="6"/>
  <c r="I76" i="6"/>
  <c r="I77" i="6"/>
  <c r="H75" i="6"/>
  <c r="H76" i="6"/>
  <c r="H77" i="6"/>
  <c r="G75" i="6"/>
  <c r="G76" i="6"/>
  <c r="G77" i="6"/>
  <c r="G74" i="6"/>
  <c r="F75" i="6"/>
  <c r="F76" i="6"/>
  <c r="F77" i="6"/>
  <c r="F74" i="6"/>
  <c r="E75" i="6"/>
  <c r="E76" i="6"/>
  <c r="E77" i="6"/>
  <c r="E74" i="6"/>
  <c r="D75" i="6"/>
  <c r="D76" i="6"/>
  <c r="D77" i="6"/>
  <c r="D74" i="6"/>
  <c r="C75" i="6"/>
  <c r="C76" i="6"/>
  <c r="C77" i="6"/>
  <c r="C74" i="6"/>
  <c r="H74" i="6"/>
  <c r="I74" i="6"/>
  <c r="J74" i="6"/>
  <c r="B75" i="6"/>
  <c r="B76" i="6"/>
  <c r="B77" i="6"/>
  <c r="B74" i="6"/>
  <c r="BQ2" i="4"/>
  <c r="C72" i="6"/>
  <c r="D72" i="6"/>
  <c r="E72" i="6"/>
  <c r="F72" i="6"/>
  <c r="G72" i="6"/>
  <c r="H72" i="6"/>
  <c r="I72" i="6"/>
  <c r="J72" i="6"/>
  <c r="K72" i="6"/>
  <c r="L72" i="6"/>
  <c r="M72" i="6"/>
  <c r="B72" i="6"/>
  <c r="C71" i="6"/>
  <c r="M84" i="6" l="1"/>
  <c r="G84" i="6"/>
  <c r="F84" i="6"/>
  <c r="E84" i="6"/>
  <c r="B84" i="6"/>
  <c r="C69" i="6"/>
  <c r="F68" i="6"/>
  <c r="C70" i="6"/>
  <c r="BK27" i="4"/>
  <c r="C49" i="6"/>
  <c r="C47" i="6"/>
  <c r="D62" i="6"/>
  <c r="D63" i="6"/>
  <c r="D61" i="6"/>
  <c r="D56" i="6"/>
  <c r="D57" i="6"/>
  <c r="D55" i="6"/>
  <c r="F42" i="6"/>
  <c r="F41" i="6"/>
  <c r="F40" i="6"/>
  <c r="F36" i="6"/>
  <c r="F35" i="6"/>
  <c r="F34" i="6"/>
  <c r="H29" i="6"/>
  <c r="H30" i="6"/>
  <c r="H28" i="6"/>
  <c r="G29" i="6"/>
  <c r="G30" i="6"/>
  <c r="G28" i="6"/>
  <c r="F30" i="6"/>
  <c r="F29" i="6"/>
  <c r="F28" i="6"/>
  <c r="F23" i="6"/>
  <c r="F24" i="6"/>
  <c r="F22" i="6"/>
  <c r="F15" i="6"/>
  <c r="F18" i="6"/>
  <c r="F17" i="6"/>
  <c r="F16" i="6"/>
  <c r="F43" i="6" l="1"/>
  <c r="G40" i="6" s="1"/>
  <c r="F37" i="6"/>
  <c r="G35" i="6" s="1"/>
  <c r="D59" i="6" s="1"/>
  <c r="I30" i="6"/>
  <c r="F31" i="6"/>
  <c r="I29" i="6"/>
  <c r="F25" i="6"/>
  <c r="G24" i="6" s="1"/>
  <c r="D54" i="6" s="1"/>
  <c r="F19" i="6"/>
  <c r="G41" i="6" l="1"/>
  <c r="G42" i="6"/>
  <c r="G43" i="6" s="1"/>
  <c r="G36" i="6"/>
  <c r="G34" i="6"/>
  <c r="D58" i="6" s="1"/>
  <c r="I28" i="6"/>
  <c r="J28" i="6" s="1"/>
  <c r="K28" i="6" s="1"/>
  <c r="L28" i="6" s="1"/>
  <c r="G31" i="6"/>
  <c r="G23" i="6"/>
  <c r="D53" i="6" s="1"/>
  <c r="G22" i="6"/>
  <c r="D52" i="6" s="1"/>
  <c r="G16" i="6"/>
  <c r="G17" i="6"/>
  <c r="G18" i="6"/>
  <c r="G15" i="6"/>
  <c r="H34" i="6" l="1"/>
  <c r="I34" i="6" s="1"/>
  <c r="D60" i="6"/>
  <c r="B52" i="6"/>
  <c r="E52" i="6" s="1"/>
  <c r="B46" i="6"/>
  <c r="B53" i="6"/>
  <c r="E53" i="6" s="1"/>
  <c r="B54" i="6"/>
  <c r="E54" i="6" s="1"/>
  <c r="B59" i="6"/>
  <c r="E59" i="6" s="1"/>
  <c r="B60" i="6"/>
  <c r="B48" i="6"/>
  <c r="B58" i="6"/>
  <c r="E58" i="6" s="1"/>
  <c r="B63" i="6"/>
  <c r="E63" i="6" s="1"/>
  <c r="B61" i="6"/>
  <c r="E61" i="6" s="1"/>
  <c r="B49" i="6"/>
  <c r="B62" i="6"/>
  <c r="E62" i="6" s="1"/>
  <c r="B57" i="6"/>
  <c r="E57" i="6" s="1"/>
  <c r="B55" i="6"/>
  <c r="E55" i="6" s="1"/>
  <c r="B56" i="6"/>
  <c r="E56" i="6" s="1"/>
  <c r="B47" i="6"/>
  <c r="H40" i="6"/>
  <c r="I40" i="6" s="1"/>
  <c r="H42" i="6"/>
  <c r="I42" i="6" s="1"/>
  <c r="H41" i="6"/>
  <c r="I41" i="6" s="1"/>
  <c r="J40" i="6" s="1"/>
  <c r="K40" i="6" s="1"/>
  <c r="L40" i="6" s="1"/>
  <c r="G37" i="6"/>
  <c r="H36" i="6"/>
  <c r="I36" i="6" s="1"/>
  <c r="H35" i="6"/>
  <c r="I35" i="6" s="1"/>
  <c r="H23" i="6"/>
  <c r="I23" i="6" s="1"/>
  <c r="H24" i="6"/>
  <c r="I24" i="6" s="1"/>
  <c r="H22" i="6"/>
  <c r="I22" i="6" s="1"/>
  <c r="G25" i="6"/>
  <c r="G19" i="6"/>
  <c r="H15" i="6"/>
  <c r="I15" i="6" s="1"/>
  <c r="H16" i="6"/>
  <c r="I16" i="6" s="1"/>
  <c r="H17" i="6"/>
  <c r="I17" i="6" s="1"/>
  <c r="H18" i="6"/>
  <c r="I18" i="6" s="1"/>
  <c r="E60" i="6" l="1"/>
  <c r="B87" i="6" s="1"/>
  <c r="J34" i="6"/>
  <c r="K34" i="6" s="1"/>
  <c r="L34" i="6" s="1"/>
  <c r="F49" i="6"/>
  <c r="D49" i="6"/>
  <c r="F46" i="6"/>
  <c r="F47" i="6"/>
  <c r="D47" i="6"/>
  <c r="F48" i="6"/>
  <c r="J22" i="6"/>
  <c r="K22" i="6" s="1"/>
  <c r="J15" i="6"/>
  <c r="K15" i="6" s="1"/>
  <c r="L15" i="6" s="1"/>
  <c r="L22" i="6" l="1"/>
  <c r="C46" i="6"/>
  <c r="D46" i="6" s="1"/>
  <c r="B86" i="6"/>
  <c r="E64" i="6"/>
  <c r="B88" i="6"/>
  <c r="B89" i="6"/>
  <c r="C48" i="6"/>
  <c r="D48" i="6" s="1"/>
  <c r="G46" i="6" s="1"/>
  <c r="H46" i="6"/>
  <c r="BJ4" i="4"/>
  <c r="BJ3" i="4"/>
  <c r="BV5" i="4"/>
  <c r="BT3" i="4"/>
  <c r="CA6" i="4"/>
  <c r="V4" i="4"/>
  <c r="AJ4" i="4"/>
  <c r="AK5" i="4"/>
  <c r="AJ5" i="4"/>
  <c r="BP18" i="4"/>
  <c r="BP34" i="4" s="1"/>
  <c r="BP17" i="4"/>
  <c r="BP35" i="4" s="1"/>
  <c r="BP16" i="4"/>
  <c r="BP32" i="4" s="1"/>
  <c r="BJ16" i="4"/>
  <c r="AX16" i="4"/>
  <c r="AW16" i="4"/>
  <c r="AV16" i="4"/>
  <c r="AU16" i="4"/>
  <c r="BP15" i="4"/>
  <c r="BP36" i="4" s="1"/>
  <c r="BJ15" i="4"/>
  <c r="AW15" i="4"/>
  <c r="AV15" i="4"/>
  <c r="BA15" i="4" s="1"/>
  <c r="BB15" i="4" s="1"/>
  <c r="AU15" i="4"/>
  <c r="BP14" i="4"/>
  <c r="BP33" i="4" s="1"/>
  <c r="BJ14" i="4"/>
  <c r="AV14" i="4"/>
  <c r="BA14" i="4" s="1"/>
  <c r="BB14" i="4" s="1"/>
  <c r="AU14" i="4"/>
  <c r="BJ13" i="4"/>
  <c r="BA13" i="4"/>
  <c r="BB13" i="4" s="1"/>
  <c r="AU13" i="4"/>
  <c r="AK13" i="4"/>
  <c r="AI13" i="4"/>
  <c r="BJ12" i="4"/>
  <c r="AI12" i="4"/>
  <c r="BJ11" i="4"/>
  <c r="AL11" i="4"/>
  <c r="AJ13" i="4" s="1"/>
  <c r="AN13" i="4" s="1"/>
  <c r="AO13" i="4" s="1"/>
  <c r="AK11" i="4"/>
  <c r="AI11" i="4"/>
  <c r="Q11" i="4"/>
  <c r="CH6" i="4" s="1"/>
  <c r="P11" i="4"/>
  <c r="CG5" i="4" s="1"/>
  <c r="O11" i="4"/>
  <c r="CE5" i="4" s="1"/>
  <c r="N11" i="4"/>
  <c r="CD3" i="4" s="1"/>
  <c r="M11" i="4"/>
  <c r="CC6" i="4" s="1"/>
  <c r="L11" i="4"/>
  <c r="CB6" i="4" s="1"/>
  <c r="K11" i="4"/>
  <c r="CA3" i="4" s="1"/>
  <c r="J11" i="4"/>
  <c r="BZ2" i="4" s="1"/>
  <c r="I11" i="4"/>
  <c r="BY5" i="4" s="1"/>
  <c r="H11" i="4"/>
  <c r="BX4" i="4" s="1"/>
  <c r="G11" i="4"/>
  <c r="BV3" i="4" s="1"/>
  <c r="F11" i="4"/>
  <c r="BT2" i="4" s="1"/>
  <c r="E11" i="4"/>
  <c r="BS5" i="4" s="1"/>
  <c r="D11" i="4"/>
  <c r="BQ6" i="4" s="1"/>
  <c r="BJ10" i="4"/>
  <c r="BJ9" i="4"/>
  <c r="BJ8" i="4"/>
  <c r="BJ7" i="4"/>
  <c r="BY6" i="4"/>
  <c r="BP6" i="4"/>
  <c r="BJ6" i="4"/>
  <c r="AX6" i="4"/>
  <c r="AW6" i="4"/>
  <c r="AV6" i="4"/>
  <c r="AU6" i="4"/>
  <c r="V6" i="4"/>
  <c r="BX5" i="4"/>
  <c r="BP5" i="4"/>
  <c r="BJ5" i="4"/>
  <c r="AW5" i="4"/>
  <c r="AV5" i="4"/>
  <c r="BA5" i="4" s="1"/>
  <c r="BB5" i="4" s="1"/>
  <c r="AU5" i="4"/>
  <c r="Z5" i="4"/>
  <c r="Y6" i="4" s="1"/>
  <c r="V5" i="4"/>
  <c r="CG4" i="4"/>
  <c r="BP4" i="4"/>
  <c r="AV4" i="4"/>
  <c r="BA4" i="4" s="1"/>
  <c r="BB4" i="4" s="1"/>
  <c r="AU4" i="4"/>
  <c r="AN4" i="4"/>
  <c r="AO4" i="4" s="1"/>
  <c r="Z4" i="4"/>
  <c r="X6" i="4" s="1"/>
  <c r="Y4" i="4"/>
  <c r="X5" i="4" s="1"/>
  <c r="W4" i="4"/>
  <c r="BP3" i="4"/>
  <c r="BA3" i="4"/>
  <c r="BB3" i="4" s="1"/>
  <c r="AU3" i="4"/>
  <c r="AN3" i="4"/>
  <c r="AO3" i="4" s="1"/>
  <c r="Z3" i="4"/>
  <c r="W6" i="4" s="1"/>
  <c r="Y3" i="4"/>
  <c r="W5" i="4" s="1"/>
  <c r="W3" i="4"/>
  <c r="V3" i="4"/>
  <c r="CC2" i="4"/>
  <c r="BX2" i="4"/>
  <c r="BP2" i="4"/>
  <c r="CH1" i="4"/>
  <c r="CG1" i="4"/>
  <c r="CE1" i="4"/>
  <c r="CD1" i="4"/>
  <c r="CC1" i="4"/>
  <c r="CB1" i="4"/>
  <c r="CA1" i="4"/>
  <c r="BZ1" i="4"/>
  <c r="BY1" i="4"/>
  <c r="BX1" i="4"/>
  <c r="BV1" i="4"/>
  <c r="BT1" i="4"/>
  <c r="BS1" i="4"/>
  <c r="BQ1" i="4"/>
  <c r="I46" i="6" l="1"/>
  <c r="AB3" i="4"/>
  <c r="AC3" i="4" s="1"/>
  <c r="CD6" i="4"/>
  <c r="BA16" i="4"/>
  <c r="BB16" i="4" s="1"/>
  <c r="BB17" i="4" s="1"/>
  <c r="BC16" i="4" s="1"/>
  <c r="BK13" i="4" s="1"/>
  <c r="CE4" i="4"/>
  <c r="BT6" i="4"/>
  <c r="CE3" i="4"/>
  <c r="BT5" i="4"/>
  <c r="BV2" i="4"/>
  <c r="BA6" i="4"/>
  <c r="BB6" i="4" s="1"/>
  <c r="BT4" i="4"/>
  <c r="BV6" i="4"/>
  <c r="CA4" i="4"/>
  <c r="BV4" i="4"/>
  <c r="CE2" i="4"/>
  <c r="CE6" i="4"/>
  <c r="AN5" i="4"/>
  <c r="AO5" i="4" s="1"/>
  <c r="AO6" i="4" s="1"/>
  <c r="AP4" i="4" s="1"/>
  <c r="BK4" i="4" s="1"/>
  <c r="BQ5" i="4"/>
  <c r="CB2" i="4"/>
  <c r="CB10" i="4" s="1"/>
  <c r="BX3" i="4"/>
  <c r="BX10" i="4" s="1"/>
  <c r="CB5" i="4"/>
  <c r="BX6" i="4"/>
  <c r="BQ4" i="4"/>
  <c r="CA5" i="4"/>
  <c r="CB3" i="4"/>
  <c r="BQ3" i="4"/>
  <c r="CB4" i="4"/>
  <c r="AN11" i="4"/>
  <c r="AO11" i="4" s="1"/>
  <c r="BS3" i="4"/>
  <c r="CA2" i="4"/>
  <c r="CH3" i="4"/>
  <c r="CH5" i="4"/>
  <c r="CG3" i="4"/>
  <c r="CG6" i="4"/>
  <c r="CG2" i="4"/>
  <c r="CD5" i="4"/>
  <c r="CD4" i="4"/>
  <c r="BZ3" i="4"/>
  <c r="CD2" i="4"/>
  <c r="BZ4" i="4"/>
  <c r="BZ5" i="4"/>
  <c r="BZ6" i="4"/>
  <c r="BY2" i="4"/>
  <c r="CC3" i="4"/>
  <c r="CC4" i="4"/>
  <c r="CH4" i="4"/>
  <c r="CC5" i="4"/>
  <c r="BS6" i="4"/>
  <c r="BS2" i="4"/>
  <c r="BY3" i="4"/>
  <c r="BY4" i="4"/>
  <c r="CH2" i="4"/>
  <c r="BS4" i="4"/>
  <c r="AB5" i="4"/>
  <c r="AC5" i="4" s="1"/>
  <c r="BB7" i="4"/>
  <c r="BC4" i="4" s="1"/>
  <c r="BK7" i="4" s="1"/>
  <c r="AB6" i="4"/>
  <c r="AC6" i="4" s="1"/>
  <c r="AB4" i="4"/>
  <c r="AC4" i="4" s="1"/>
  <c r="AJ12" i="4"/>
  <c r="BU6" i="4" l="1"/>
  <c r="BQ10" i="4"/>
  <c r="BC6" i="4"/>
  <c r="BK9" i="4" s="1"/>
  <c r="BT10" i="4"/>
  <c r="CD10" i="4"/>
  <c r="BC5" i="4"/>
  <c r="BK8" i="4" s="1"/>
  <c r="BR6" i="4"/>
  <c r="BR5" i="4"/>
  <c r="BR4" i="4"/>
  <c r="BR2" i="4"/>
  <c r="BR3" i="4"/>
  <c r="BC3" i="4"/>
  <c r="CH10" i="4"/>
  <c r="CG10" i="4"/>
  <c r="BC15" i="4"/>
  <c r="BK12" i="4" s="1"/>
  <c r="AC7" i="4"/>
  <c r="AD3" i="4" s="1"/>
  <c r="BI4" i="4" s="1"/>
  <c r="BL4" i="4" s="1"/>
  <c r="BZ10" i="4"/>
  <c r="CC10" i="4"/>
  <c r="BS10" i="4"/>
  <c r="BY10" i="4"/>
  <c r="CA10" i="4"/>
  <c r="CE10" i="4"/>
  <c r="CF5" i="4" s="1"/>
  <c r="BV10" i="4"/>
  <c r="AN12" i="4"/>
  <c r="AO12" i="4" s="1"/>
  <c r="AP3" i="4"/>
  <c r="BC14" i="4"/>
  <c r="BK11" i="4" s="1"/>
  <c r="AP5" i="4"/>
  <c r="BK5" i="4" s="1"/>
  <c r="BC13" i="4"/>
  <c r="AD5" i="4"/>
  <c r="BI23" i="4" s="1"/>
  <c r="BU3" i="4" l="1"/>
  <c r="BU2" i="4"/>
  <c r="CF4" i="4"/>
  <c r="BU4" i="4"/>
  <c r="CF3" i="4"/>
  <c r="BR10" i="4"/>
  <c r="CF2" i="4"/>
  <c r="CF10" i="4" s="1"/>
  <c r="BU5" i="4"/>
  <c r="CF6" i="4"/>
  <c r="BW3" i="4"/>
  <c r="BW5" i="4"/>
  <c r="BW6" i="4"/>
  <c r="BW4" i="4"/>
  <c r="BW2" i="4"/>
  <c r="BW10" i="4" s="1"/>
  <c r="BE6" i="4"/>
  <c r="BE5" i="4"/>
  <c r="BF5" i="4" s="1"/>
  <c r="BK6" i="4"/>
  <c r="BC7" i="4"/>
  <c r="BE3" i="4"/>
  <c r="BF3" i="4" s="1"/>
  <c r="BE4" i="4"/>
  <c r="BF4" i="4" s="1"/>
  <c r="BI21" i="4"/>
  <c r="BM21" i="4" s="1"/>
  <c r="BI5" i="4"/>
  <c r="BL5" i="4" s="1"/>
  <c r="AR3" i="4"/>
  <c r="AS3" i="4" s="1"/>
  <c r="AR5" i="4"/>
  <c r="AS5" i="4" s="1"/>
  <c r="AD4" i="4"/>
  <c r="AD6" i="4"/>
  <c r="BI14" i="4" s="1"/>
  <c r="BI3" i="4"/>
  <c r="BE16" i="4"/>
  <c r="BE15" i="4"/>
  <c r="BF15" i="4" s="1"/>
  <c r="BE13" i="4"/>
  <c r="BF13" i="4" s="1"/>
  <c r="BC17" i="4"/>
  <c r="BE14" i="4"/>
  <c r="BF14" i="4" s="1"/>
  <c r="BK10" i="4"/>
  <c r="BI11" i="4"/>
  <c r="BL11" i="4" s="1"/>
  <c r="BI12" i="4"/>
  <c r="BL12" i="4" s="1"/>
  <c r="BI10" i="4"/>
  <c r="BL10" i="4" s="1"/>
  <c r="BI13" i="4"/>
  <c r="BL13" i="4" s="1"/>
  <c r="BK3" i="4"/>
  <c r="AP6" i="4"/>
  <c r="AR4" i="4"/>
  <c r="AS4" i="4" s="1"/>
  <c r="AO14" i="4"/>
  <c r="BI24" i="4"/>
  <c r="BU10" i="4" l="1"/>
  <c r="BF6" i="4"/>
  <c r="BF8" i="4" s="1"/>
  <c r="BF9" i="4" s="1"/>
  <c r="AF4" i="4"/>
  <c r="AG4" i="4" s="1"/>
  <c r="BI15" i="4"/>
  <c r="BI22" i="4"/>
  <c r="BM22" i="4" s="1"/>
  <c r="BI9" i="4"/>
  <c r="BL9" i="4" s="1"/>
  <c r="AF5" i="4"/>
  <c r="AG5" i="4" s="1"/>
  <c r="AF6" i="4"/>
  <c r="AG6" i="4" s="1"/>
  <c r="BI7" i="4"/>
  <c r="BL7" i="4" s="1"/>
  <c r="BI6" i="4"/>
  <c r="BL6" i="4" s="1"/>
  <c r="BI16" i="4"/>
  <c r="AF3" i="4"/>
  <c r="AG3" i="4" s="1"/>
  <c r="AD7" i="4"/>
  <c r="BI8" i="4"/>
  <c r="BL8" i="4" s="1"/>
  <c r="BF7" i="4"/>
  <c r="AP11" i="4"/>
  <c r="AP13" i="4"/>
  <c r="BK16" i="4" s="1"/>
  <c r="BL3" i="4"/>
  <c r="BF16" i="4"/>
  <c r="BF18" i="4" s="1"/>
  <c r="BM24" i="4"/>
  <c r="AS6" i="4"/>
  <c r="AS7" i="4" s="1"/>
  <c r="BM23" i="4"/>
  <c r="AP12" i="4"/>
  <c r="BK15" i="4" s="1"/>
  <c r="BJ22" i="4"/>
  <c r="AG7" i="4" l="1"/>
  <c r="AG8" i="4" s="1"/>
  <c r="AG9" i="4" s="1"/>
  <c r="BL16" i="4"/>
  <c r="BK22" i="4"/>
  <c r="BL15" i="4"/>
  <c r="BK31" i="4"/>
  <c r="BF17" i="4"/>
  <c r="BJ21" i="4"/>
  <c r="BK21" i="4" s="1"/>
  <c r="AS8" i="4"/>
  <c r="AR13" i="4"/>
  <c r="AS13" i="4" s="1"/>
  <c r="AP14" i="4"/>
  <c r="AR11" i="4"/>
  <c r="AS11" i="4" s="1"/>
  <c r="BK14" i="4"/>
  <c r="AR12" i="4"/>
  <c r="AS12" i="4" s="1"/>
  <c r="BJ23" i="4"/>
  <c r="BK23" i="4" s="1"/>
  <c r="BF19" i="4"/>
  <c r="BL14" i="4" l="1"/>
  <c r="BK17" i="4"/>
  <c r="AS14" i="4"/>
  <c r="AS15" i="4" s="1"/>
  <c r="BQ15" i="4" l="1"/>
  <c r="BQ14" i="4"/>
  <c r="BQ16" i="4"/>
  <c r="BQ17" i="4"/>
  <c r="BQ35" i="4" s="1"/>
  <c r="BQ18" i="4"/>
  <c r="BQ34" i="4" s="1"/>
  <c r="BQ36" i="4"/>
  <c r="BQ32" i="4"/>
  <c r="AS16" i="4"/>
  <c r="BJ24" i="4"/>
  <c r="BK24" i="4" s="1"/>
  <c r="BK26" i="4" s="1"/>
  <c r="BL17" i="4"/>
  <c r="BQ19" i="4" l="1"/>
  <c r="BQ33" i="4"/>
  <c r="BK28" i="4"/>
  <c r="BK29" i="4" s="1"/>
  <c r="BK30" i="4"/>
  <c r="BK32" i="4"/>
</calcChain>
</file>

<file path=xl/sharedStrings.xml><?xml version="1.0" encoding="utf-8"?>
<sst xmlns="http://schemas.openxmlformats.org/spreadsheetml/2006/main" count="319" uniqueCount="158">
  <si>
    <t>ИС</t>
  </si>
  <si>
    <t>ОС</t>
  </si>
  <si>
    <t>Расчет</t>
  </si>
  <si>
    <t>приоритетов</t>
  </si>
  <si>
    <t>вектора</t>
  </si>
  <si>
    <t>W</t>
  </si>
  <si>
    <t>Определение</t>
  </si>
  <si>
    <t>согласованности</t>
  </si>
  <si>
    <t>О</t>
  </si>
  <si>
    <t>Р</t>
  </si>
  <si>
    <t>Группа</t>
  </si>
  <si>
    <t>w группы</t>
  </si>
  <si>
    <t>критерий</t>
  </si>
  <si>
    <t>w критерия</t>
  </si>
  <si>
    <t>1 уровень</t>
  </si>
  <si>
    <t>ИТОГ:</t>
  </si>
  <si>
    <t>w</t>
  </si>
  <si>
    <t>w*ИС</t>
  </si>
  <si>
    <t>СС</t>
  </si>
  <si>
    <t>w*СС</t>
  </si>
  <si>
    <t>М</t>
  </si>
  <si>
    <t>~М</t>
  </si>
  <si>
    <t>ОСИ</t>
  </si>
  <si>
    <t>ОСИ %</t>
  </si>
  <si>
    <t>Рейтинг:</t>
  </si>
  <si>
    <t xml:space="preserve">Минимальная выдержка, 1/1000 сек </t>
  </si>
  <si>
    <t>Скорость серийной съемки, кадр/сек</t>
  </si>
  <si>
    <t>Автоспуск, сек</t>
  </si>
  <si>
    <t>Минимальная дистанция съемки, см</t>
  </si>
  <si>
    <t>Диаметр светофильтра, мм</t>
  </si>
  <si>
    <t>Число лепестков диафрагмы</t>
  </si>
  <si>
    <t>Число оптических элементов</t>
  </si>
  <si>
    <t>Общее число пикселей, Мп</t>
  </si>
  <si>
    <t>Кроп-фактор</t>
  </si>
  <si>
    <t>Максимальная чувствительность (ISO)</t>
  </si>
  <si>
    <t>Расширенная максимальная чувствительность (ISO)</t>
  </si>
  <si>
    <t>Canon EOS 850D Kit 18-135mm IS USM</t>
  </si>
  <si>
    <t>Минимальная выдержка, сек</t>
  </si>
  <si>
    <t>Nikon D3500 Kit 18-55mm VR AF-P</t>
  </si>
  <si>
    <t>Nikon D7500 Kit 18-140mm VR</t>
  </si>
  <si>
    <t>Canon EOS 250D Kit 18-55mm IS STM</t>
  </si>
  <si>
    <t>Canon EOS 2000D Kit 18-55mm DC</t>
  </si>
  <si>
    <t>Световые</t>
  </si>
  <si>
    <t>Оптические</t>
  </si>
  <si>
    <t>Технические</t>
  </si>
  <si>
    <t>Экономические</t>
  </si>
  <si>
    <t>Акции,скидки,предложения</t>
  </si>
  <si>
    <t>Стоимость покуки, тыс руб</t>
  </si>
  <si>
    <t>Срок гарантии, мес</t>
  </si>
  <si>
    <t>8)Иерархический синтез, проверка итогового ОС</t>
  </si>
  <si>
    <t>9)Выбор альтернативы</t>
  </si>
  <si>
    <t>Альтернативы</t>
  </si>
  <si>
    <t>1)Тема</t>
  </si>
  <si>
    <t>2)Постановка задачи(цель)</t>
  </si>
  <si>
    <t>3)Альтернативы</t>
  </si>
  <si>
    <t>4)Иерархия критериев</t>
  </si>
  <si>
    <t>5)Провести парные сравнения внутри групп и между собой</t>
  </si>
  <si>
    <t>7)По качеств критериям заолнить матрицы парных сравнений</t>
  </si>
  <si>
    <t>6)Отметить колич критерии и подобрать по ним числ данные</t>
  </si>
  <si>
    <t>сумм</t>
  </si>
  <si>
    <t>Световые (С)</t>
  </si>
  <si>
    <t>Оптические (О)</t>
  </si>
  <si>
    <t>Технические (Т)</t>
  </si>
  <si>
    <t>Экономические (Э)</t>
  </si>
  <si>
    <t>Э</t>
  </si>
  <si>
    <t>С</t>
  </si>
  <si>
    <t>Т</t>
  </si>
  <si>
    <t>Оценка согласованности всей иерархии:</t>
  </si>
  <si>
    <t>Сравнение групп критериев между собой и расчет весов:</t>
  </si>
  <si>
    <t>Сравнение критериев внутри своей группы и расчет весов:</t>
  </si>
  <si>
    <t>Расчет весов всех критериев отн цели:</t>
  </si>
  <si>
    <t>Оценка альтернативы:</t>
  </si>
  <si>
    <t>Оценка альтернативы отн главной цели</t>
  </si>
  <si>
    <t>Выбор альтернативы</t>
  </si>
  <si>
    <t>Оценка альтернативы нормированная</t>
  </si>
  <si>
    <t>Лабораторная работа 1б</t>
  </si>
  <si>
    <r>
      <rPr>
        <b/>
        <sz val="11"/>
        <color theme="1"/>
        <rFont val="Calibri"/>
        <family val="2"/>
        <charset val="204"/>
        <scheme val="minor"/>
      </rPr>
      <t xml:space="preserve">Бронь отеля в Москве: </t>
    </r>
    <r>
      <rPr>
        <sz val="11"/>
        <color theme="1"/>
        <rFont val="Calibri"/>
        <family val="2"/>
        <charset val="204"/>
        <scheme val="minor"/>
      </rPr>
      <t>семья из Нижнего Новгорода приезжает на выходные в Москву. Основная цель - туризм. Бюджет выходных - 30к. Возможен перенос на другие выходные в связи со сменной работой отца.</t>
    </r>
  </si>
  <si>
    <t>W, normed</t>
  </si>
  <si>
    <t>(M * w)</t>
  </si>
  <si>
    <t>(λ * w)</t>
  </si>
  <si>
    <t>λ_max</t>
  </si>
  <si>
    <t>Сумма:</t>
  </si>
  <si>
    <t>У</t>
  </si>
  <si>
    <t>Экономический критерий (Э)</t>
  </si>
  <si>
    <t>Группы критериев</t>
  </si>
  <si>
    <t>Э1</t>
  </si>
  <si>
    <t>Э2</t>
  </si>
  <si>
    <t>Э3</t>
  </si>
  <si>
    <t>Критерий удобства (У)</t>
  </si>
  <si>
    <t>У1</t>
  </si>
  <si>
    <t>У2</t>
  </si>
  <si>
    <t>У3</t>
  </si>
  <si>
    <t>Критерий местоположения (М)</t>
  </si>
  <si>
    <t>М1</t>
  </si>
  <si>
    <t>М3</t>
  </si>
  <si>
    <t>М2</t>
  </si>
  <si>
    <t>Рейтинг-критерий (Р)</t>
  </si>
  <si>
    <t>Р1</t>
  </si>
  <si>
    <t>Р2</t>
  </si>
  <si>
    <t>Р3</t>
  </si>
  <si>
    <t>Рассчет весов всех критериев</t>
  </si>
  <si>
    <t>Веса группы</t>
  </si>
  <si>
    <t>Группа критериев</t>
  </si>
  <si>
    <t>Критерий</t>
  </si>
  <si>
    <t>Веса критериев</t>
  </si>
  <si>
    <t>До 1-ого уровня</t>
  </si>
  <si>
    <t>Оценка согласованности всей иерархии</t>
  </si>
  <si>
    <t>W группы критериев</t>
  </si>
  <si>
    <t>W * ИС</t>
  </si>
  <si>
    <t>W * СС</t>
  </si>
  <si>
    <t>ОСИ, %</t>
  </si>
  <si>
    <t>Рассмотрение альтернатив</t>
  </si>
  <si>
    <t>Four Seasons</t>
  </si>
  <si>
    <t>Стоимость питания</t>
  </si>
  <si>
    <t>Экономический критерий</t>
  </si>
  <si>
    <r>
      <rPr>
        <b/>
        <sz val="11"/>
        <color theme="1"/>
        <rFont val="Calibri"/>
        <family val="2"/>
        <charset val="204"/>
        <scheme val="minor"/>
      </rPr>
      <t xml:space="preserve">Бронь отеля в Москве: </t>
    </r>
    <r>
      <rPr>
        <sz val="11"/>
        <color theme="1"/>
        <rFont val="Calibri"/>
        <family val="2"/>
        <charset val="204"/>
        <scheme val="minor"/>
      </rPr>
      <t>семья из 2-х родителей и 2-х детей из Нижнего Новгорода приезжает на выходные в Москву. Основная цель - туризм. Бюджет выходных - 30к. Возможен перенос на другие выходные в связи со сменной работой отца.</t>
    </r>
  </si>
  <si>
    <t>Критерий удобства</t>
  </si>
  <si>
    <t>Wi-fi</t>
  </si>
  <si>
    <t>Холодильник</t>
  </si>
  <si>
    <t>Размер помещения</t>
  </si>
  <si>
    <t>Стоимость аренды</t>
  </si>
  <si>
    <t>Критерий местоположения</t>
  </si>
  <si>
    <t>Удаленность от центра</t>
  </si>
  <si>
    <t>Удаленность от метро</t>
  </si>
  <si>
    <t>Удаленность от Казанского вокзала</t>
  </si>
  <si>
    <t>Рейтинг-критерий</t>
  </si>
  <si>
    <t>Средний балл отзывов</t>
  </si>
  <si>
    <t>Количество звезд</t>
  </si>
  <si>
    <t>SEO</t>
  </si>
  <si>
    <t>Cosmos Moscow Vdnh Hotel</t>
  </si>
  <si>
    <t>Гостиница Измайлово Дельта</t>
  </si>
  <si>
    <t>Скидка преждевременное бронирование</t>
  </si>
  <si>
    <t>AZIMUT Отель Дербеневская</t>
  </si>
  <si>
    <t>Э1 оценка альтернативы</t>
  </si>
  <si>
    <t>Э2 оценка альтернативы</t>
  </si>
  <si>
    <t>Э3 оценка альтернативы</t>
  </si>
  <si>
    <t>У1 оценка альтернативы</t>
  </si>
  <si>
    <t>У2 оценка альтернативы</t>
  </si>
  <si>
    <t>У3 оценка альтернативы</t>
  </si>
  <si>
    <t>М1 оценка альтернативы</t>
  </si>
  <si>
    <t>М2 оценка альтернативы</t>
  </si>
  <si>
    <t>М3 оценка альтернативы</t>
  </si>
  <si>
    <t>Р1 оценка альтернативы</t>
  </si>
  <si>
    <t>Р2 оценка альтернативы</t>
  </si>
  <si>
    <t>Р3 оценка альтернативы</t>
  </si>
  <si>
    <t>Э1 оценка альтернативы нормированная</t>
  </si>
  <si>
    <t>Э2 оценка альтернативы нормированная</t>
  </si>
  <si>
    <t>Э3 оценка альтернативы нормированная</t>
  </si>
  <si>
    <t>У1 оценка альтернативы нормированная</t>
  </si>
  <si>
    <t>У2 оценка альтернативы нормированная</t>
  </si>
  <si>
    <t>У3 оценка альтернативы нормированная</t>
  </si>
  <si>
    <t>М1 оценка альтернативы нормированная</t>
  </si>
  <si>
    <t>М2 оценка альтернативы нормированная</t>
  </si>
  <si>
    <t>М3 оценка альтернативы нормированная</t>
  </si>
  <si>
    <t>Р1 оценка альтернативы нормированная</t>
  </si>
  <si>
    <t>Р2 оценка альтернативы нормированная</t>
  </si>
  <si>
    <t>Р3 оценка альтернативы нормированная</t>
  </si>
  <si>
    <t>Итог: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</si>
</sst>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00000"/>
    <numFmt numFmtId="167" formatCode="0.000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B050"/>
      <name val="Calibri"/>
    </font>
    <font>
      <sz val="11"/>
      <color rgb="FFFF0000"/>
      <name val="Calibri"/>
    </font>
    <font>
      <sz val="11"/>
      <color rgb="FF0070C0"/>
      <name val="Calibri"/>
    </font>
    <font>
      <sz val="11"/>
      <color theme="8"/>
      <name val="Calibri"/>
    </font>
    <font>
      <sz val="11"/>
      <color rgb="FF000000"/>
      <name val="Calibri"/>
    </font>
    <font>
      <sz val="11"/>
      <color theme="5" tint="-0.249977111117893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B050"/>
      <name val="Calibri"/>
      <family val="2"/>
      <charset val="204"/>
    </font>
    <font>
      <sz val="11"/>
      <color theme="8" tint="-0.249977111117893"/>
      <name val="Calibri"/>
      <family val="2"/>
      <charset val="204"/>
    </font>
    <font>
      <sz val="11"/>
      <color theme="8" tint="-0.249977111117893"/>
      <name val="Calibri"/>
      <family val="2"/>
      <charset val="204"/>
      <scheme val="minor"/>
    </font>
    <font>
      <sz val="11"/>
      <color rgb="FF00B0F0"/>
      <name val="Calibri"/>
      <family val="2"/>
      <charset val="204"/>
    </font>
    <font>
      <sz val="11"/>
      <color rgb="FF00B0F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1A1A1A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0" fillId="0" borderId="0"/>
    <xf numFmtId="0" fontId="10" fillId="2" borderId="1" applyNumberFormat="0" applyFont="0" applyAlignment="0" applyProtection="0"/>
    <xf numFmtId="0" fontId="17" fillId="0" borderId="0"/>
    <xf numFmtId="0" fontId="19" fillId="0" borderId="0"/>
  </cellStyleXfs>
  <cellXfs count="134">
    <xf numFmtId="0" fontId="0" fillId="0" borderId="0" xfId="0"/>
    <xf numFmtId="2" fontId="0" fillId="0" borderId="0" xfId="0" applyNumberFormat="1"/>
    <xf numFmtId="2" fontId="0" fillId="3" borderId="0" xfId="0" applyNumberFormat="1" applyFill="1" applyAlignment="1"/>
    <xf numFmtId="2" fontId="0" fillId="3" borderId="0" xfId="0" applyNumberFormat="1" applyFill="1"/>
    <xf numFmtId="0" fontId="0" fillId="3" borderId="0" xfId="0" applyFill="1"/>
    <xf numFmtId="2" fontId="2" fillId="0" borderId="0" xfId="1" applyNumberFormat="1" applyFont="1"/>
    <xf numFmtId="2" fontId="3" fillId="0" borderId="0" xfId="1" applyNumberFormat="1" applyFont="1"/>
    <xf numFmtId="2" fontId="4" fillId="0" borderId="0" xfId="1" applyNumberFormat="1" applyFont="1"/>
    <xf numFmtId="2" fontId="5" fillId="0" borderId="0" xfId="1" applyNumberFormat="1" applyFont="1"/>
    <xf numFmtId="0" fontId="1" fillId="0" borderId="0" xfId="1"/>
    <xf numFmtId="0" fontId="2" fillId="0" borderId="0" xfId="1" applyFont="1"/>
    <xf numFmtId="1" fontId="2" fillId="0" borderId="0" xfId="1" applyNumberFormat="1" applyFont="1"/>
    <xf numFmtId="165" fontId="2" fillId="0" borderId="0" xfId="1" applyNumberFormat="1" applyFont="1"/>
    <xf numFmtId="166" fontId="2" fillId="0" borderId="0" xfId="1" applyNumberFormat="1" applyFont="1"/>
    <xf numFmtId="0" fontId="6" fillId="0" borderId="0" xfId="1" applyFont="1"/>
    <xf numFmtId="2" fontId="7" fillId="0" borderId="0" xfId="1" applyNumberFormat="1" applyFont="1"/>
    <xf numFmtId="164" fontId="2" fillId="0" borderId="0" xfId="1" applyNumberFormat="1" applyFont="1"/>
    <xf numFmtId="166" fontId="3" fillId="0" borderId="0" xfId="1" applyNumberFormat="1" applyFont="1"/>
    <xf numFmtId="164" fontId="5" fillId="0" borderId="0" xfId="1" applyNumberFormat="1" applyFont="1"/>
    <xf numFmtId="0" fontId="3" fillId="0" borderId="0" xfId="1" applyFont="1"/>
    <xf numFmtId="167" fontId="2" fillId="0" borderId="0" xfId="1" applyNumberFormat="1" applyFont="1"/>
    <xf numFmtId="2" fontId="2" fillId="5" borderId="0" xfId="1" applyNumberFormat="1" applyFont="1" applyFill="1"/>
    <xf numFmtId="2" fontId="3" fillId="5" borderId="0" xfId="1" applyNumberFormat="1" applyFont="1" applyFill="1"/>
    <xf numFmtId="2" fontId="2" fillId="6" borderId="0" xfId="1" applyNumberFormat="1" applyFont="1" applyFill="1"/>
    <xf numFmtId="2" fontId="3" fillId="6" borderId="0" xfId="1" applyNumberFormat="1" applyFont="1" applyFill="1"/>
    <xf numFmtId="2" fontId="2" fillId="4" borderId="0" xfId="1" applyNumberFormat="1" applyFont="1" applyFill="1"/>
    <xf numFmtId="2" fontId="8" fillId="0" borderId="0" xfId="1" applyNumberFormat="1" applyFont="1"/>
    <xf numFmtId="2" fontId="9" fillId="0" borderId="0" xfId="1" applyNumberFormat="1" applyFont="1"/>
    <xf numFmtId="2" fontId="2" fillId="6" borderId="0" xfId="1" applyNumberFormat="1" applyFont="1" applyFill="1" applyBorder="1"/>
    <xf numFmtId="2" fontId="3" fillId="6" borderId="0" xfId="1" applyNumberFormat="1" applyFont="1" applyFill="1" applyBorder="1"/>
    <xf numFmtId="167" fontId="2" fillId="5" borderId="0" xfId="1" applyNumberFormat="1" applyFont="1" applyFill="1"/>
    <xf numFmtId="2" fontId="1" fillId="0" borderId="0" xfId="1" applyNumberFormat="1"/>
    <xf numFmtId="166" fontId="12" fillId="0" borderId="0" xfId="1" applyNumberFormat="1" applyFont="1"/>
    <xf numFmtId="2" fontId="13" fillId="0" borderId="0" xfId="1" applyNumberFormat="1" applyFont="1"/>
    <xf numFmtId="0" fontId="11" fillId="0" borderId="0" xfId="1" applyFont="1"/>
    <xf numFmtId="2" fontId="11" fillId="0" borderId="0" xfId="1" applyNumberFormat="1" applyFont="1"/>
    <xf numFmtId="0" fontId="14" fillId="0" borderId="0" xfId="1" applyFont="1"/>
    <xf numFmtId="166" fontId="13" fillId="0" borderId="0" xfId="1" applyNumberFormat="1" applyFont="1"/>
    <xf numFmtId="0" fontId="0" fillId="0" borderId="0" xfId="1" applyFont="1"/>
    <xf numFmtId="0" fontId="0" fillId="0" borderId="0" xfId="1" applyFont="1" applyAlignment="1"/>
    <xf numFmtId="2" fontId="15" fillId="0" borderId="0" xfId="1" applyNumberFormat="1" applyFont="1"/>
    <xf numFmtId="166" fontId="15" fillId="0" borderId="0" xfId="1" applyNumberFormat="1" applyFont="1"/>
    <xf numFmtId="0" fontId="16" fillId="0" borderId="0" xfId="1" applyFont="1"/>
    <xf numFmtId="0" fontId="1" fillId="0" borderId="0" xfId="1" applyFill="1" applyBorder="1"/>
    <xf numFmtId="2" fontId="9" fillId="0" borderId="0" xfId="1" applyNumberFormat="1" applyFont="1" applyFill="1" applyBorder="1"/>
    <xf numFmtId="2" fontId="2" fillId="0" borderId="0" xfId="1" applyNumberFormat="1" applyFont="1" applyFill="1" applyBorder="1"/>
    <xf numFmtId="0" fontId="0" fillId="0" borderId="0" xfId="1" applyFont="1" applyFill="1" applyBorder="1" applyAlignment="1">
      <alignment vertical="center" wrapText="1"/>
    </xf>
    <xf numFmtId="0" fontId="0" fillId="8" borderId="3" xfId="0" applyFill="1" applyBorder="1"/>
    <xf numFmtId="0" fontId="0" fillId="8" borderId="10" xfId="0" applyFill="1" applyBorder="1"/>
    <xf numFmtId="0" fontId="0" fillId="9" borderId="3" xfId="0" applyFill="1" applyBorder="1"/>
    <xf numFmtId="0" fontId="0" fillId="10" borderId="3" xfId="0" applyFill="1" applyBorder="1"/>
    <xf numFmtId="164" fontId="0" fillId="10" borderId="3" xfId="0" applyNumberFormat="1" applyFill="1" applyBorder="1"/>
    <xf numFmtId="164" fontId="0" fillId="10" borderId="10" xfId="0" applyNumberFormat="1" applyFill="1" applyBorder="1"/>
    <xf numFmtId="10" fontId="0" fillId="10" borderId="3" xfId="0" applyNumberFormat="1" applyFill="1" applyBorder="1"/>
    <xf numFmtId="12" fontId="19" fillId="7" borderId="3" xfId="5" applyNumberFormat="1" applyFill="1" applyBorder="1"/>
    <xf numFmtId="12" fontId="19" fillId="7" borderId="10" xfId="5" applyNumberFormat="1" applyFill="1" applyBorder="1"/>
    <xf numFmtId="164" fontId="0" fillId="0" borderId="0" xfId="0" applyNumberFormat="1" applyFill="1" applyBorder="1"/>
    <xf numFmtId="0" fontId="0" fillId="0" borderId="0" xfId="0" applyFill="1" applyBorder="1"/>
    <xf numFmtId="12" fontId="19" fillId="7" borderId="11" xfId="5" applyNumberFormat="1" applyFill="1" applyBorder="1"/>
    <xf numFmtId="12" fontId="19" fillId="7" borderId="4" xfId="5" applyNumberFormat="1" applyFill="1" applyBorder="1"/>
    <xf numFmtId="0" fontId="0" fillId="9" borderId="13" xfId="0" applyFill="1" applyBorder="1"/>
    <xf numFmtId="2" fontId="0" fillId="0" borderId="0" xfId="0" applyNumberFormat="1" applyFill="1" applyBorder="1" applyAlignment="1"/>
    <xf numFmtId="1" fontId="2" fillId="0" borderId="0" xfId="1" applyNumberFormat="1" applyFont="1" applyFill="1" applyBorder="1"/>
    <xf numFmtId="166" fontId="15" fillId="0" borderId="0" xfId="1" applyNumberFormat="1" applyFont="1" applyFill="1" applyBorder="1"/>
    <xf numFmtId="166" fontId="13" fillId="0" borderId="0" xfId="1" applyNumberFormat="1" applyFont="1" applyFill="1" applyBorder="1"/>
    <xf numFmtId="0" fontId="16" fillId="0" borderId="0" xfId="1" applyFont="1" applyFill="1" applyBorder="1"/>
    <xf numFmtId="0" fontId="14" fillId="0" borderId="0" xfId="1" applyFont="1" applyFill="1" applyBorder="1"/>
    <xf numFmtId="0" fontId="11" fillId="0" borderId="0" xfId="1" applyFont="1" applyFill="1" applyBorder="1"/>
    <xf numFmtId="2" fontId="0" fillId="0" borderId="0" xfId="0" applyNumberFormat="1" applyFill="1" applyBorder="1"/>
    <xf numFmtId="2" fontId="7" fillId="0" borderId="0" xfId="1" applyNumberFormat="1" applyFont="1" applyFill="1" applyBorder="1"/>
    <xf numFmtId="164" fontId="2" fillId="0" borderId="0" xfId="1" applyNumberFormat="1" applyFont="1" applyFill="1" applyBorder="1"/>
    <xf numFmtId="2" fontId="1" fillId="0" borderId="0" xfId="1" applyNumberFormat="1" applyFill="1" applyBorder="1"/>
    <xf numFmtId="2" fontId="3" fillId="0" borderId="0" xfId="1" applyNumberFormat="1" applyFont="1" applyFill="1" applyBorder="1"/>
    <xf numFmtId="2" fontId="4" fillId="0" borderId="0" xfId="1" applyNumberFormat="1" applyFont="1" applyFill="1" applyBorder="1"/>
    <xf numFmtId="166" fontId="2" fillId="0" borderId="0" xfId="1" applyNumberFormat="1" applyFont="1" applyFill="1" applyBorder="1"/>
    <xf numFmtId="0" fontId="6" fillId="0" borderId="0" xfId="1" applyFont="1" applyFill="1" applyBorder="1"/>
    <xf numFmtId="2" fontId="5" fillId="0" borderId="0" xfId="1" applyNumberFormat="1" applyFont="1" applyFill="1" applyBorder="1"/>
    <xf numFmtId="2" fontId="11" fillId="0" borderId="0" xfId="1" applyNumberFormat="1" applyFont="1" applyFill="1" applyBorder="1"/>
    <xf numFmtId="166" fontId="3" fillId="0" borderId="0" xfId="1" applyNumberFormat="1" applyFont="1" applyFill="1" applyBorder="1"/>
    <xf numFmtId="166" fontId="12" fillId="0" borderId="0" xfId="1" applyNumberFormat="1" applyFont="1" applyFill="1" applyBorder="1"/>
    <xf numFmtId="0" fontId="0" fillId="0" borderId="0" xfId="1" applyFont="1" applyFill="1" applyBorder="1"/>
    <xf numFmtId="0" fontId="3" fillId="0" borderId="0" xfId="1" applyFont="1" applyFill="1" applyBorder="1"/>
    <xf numFmtId="167" fontId="2" fillId="0" borderId="0" xfId="1" applyNumberFormat="1" applyFont="1" applyFill="1" applyBorder="1"/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2" fontId="19" fillId="7" borderId="14" xfId="5" applyNumberFormat="1" applyFill="1" applyBorder="1"/>
    <xf numFmtId="12" fontId="19" fillId="7" borderId="15" xfId="5" applyNumberFormat="1" applyFill="1" applyBorder="1"/>
    <xf numFmtId="0" fontId="0" fillId="10" borderId="3" xfId="1" applyFont="1" applyFill="1" applyBorder="1"/>
    <xf numFmtId="0" fontId="0" fillId="10" borderId="13" xfId="1" applyFont="1" applyFill="1" applyBorder="1"/>
    <xf numFmtId="12" fontId="19" fillId="7" borderId="8" xfId="5" applyNumberFormat="1" applyFill="1" applyBorder="1"/>
    <xf numFmtId="12" fontId="19" fillId="7" borderId="13" xfId="5" applyNumberFormat="1" applyFill="1" applyBorder="1"/>
    <xf numFmtId="12" fontId="19" fillId="7" borderId="7" xfId="5" applyNumberFormat="1" applyFill="1" applyBorder="1"/>
    <xf numFmtId="0" fontId="1" fillId="10" borderId="3" xfId="1" applyFill="1" applyBorder="1"/>
    <xf numFmtId="0" fontId="0" fillId="10" borderId="3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0" fontId="0" fillId="0" borderId="0" xfId="0" applyNumberFormat="1" applyFill="1" applyBorder="1"/>
    <xf numFmtId="0" fontId="0" fillId="7" borderId="3" xfId="1" applyFont="1" applyFill="1" applyBorder="1"/>
    <xf numFmtId="12" fontId="19" fillId="0" borderId="0" xfId="5" applyNumberFormat="1" applyFill="1" applyBorder="1"/>
    <xf numFmtId="0" fontId="1" fillId="7" borderId="3" xfId="1" applyFill="1" applyBorder="1" applyAlignment="1">
      <alignment vertical="center"/>
    </xf>
    <xf numFmtId="164" fontId="2" fillId="7" borderId="3" xfId="1" applyNumberFormat="1" applyFont="1" applyFill="1" applyBorder="1"/>
    <xf numFmtId="164" fontId="1" fillId="7" borderId="3" xfId="1" applyNumberFormat="1" applyFill="1" applyBorder="1" applyAlignment="1">
      <alignment horizontal="center"/>
    </xf>
    <xf numFmtId="0" fontId="0" fillId="10" borderId="3" xfId="1" applyFont="1" applyFill="1" applyBorder="1" applyAlignment="1">
      <alignment wrapText="1"/>
    </xf>
    <xf numFmtId="2" fontId="9" fillId="10" borderId="3" xfId="1" applyNumberFormat="1" applyFont="1" applyFill="1" applyBorder="1" applyAlignment="1">
      <alignment wrapText="1"/>
    </xf>
    <xf numFmtId="2" fontId="9" fillId="9" borderId="3" xfId="1" applyNumberFormat="1" applyFont="1" applyFill="1" applyBorder="1"/>
    <xf numFmtId="2" fontId="2" fillId="9" borderId="3" xfId="1" applyNumberFormat="1" applyFont="1" applyFill="1" applyBorder="1"/>
    <xf numFmtId="0" fontId="1" fillId="7" borderId="3" xfId="1" applyFill="1" applyBorder="1"/>
    <xf numFmtId="164" fontId="1" fillId="7" borderId="3" xfId="1" applyNumberFormat="1" applyFill="1" applyBorder="1"/>
    <xf numFmtId="10" fontId="2" fillId="7" borderId="3" xfId="1" applyNumberFormat="1" applyFont="1" applyFill="1" applyBorder="1"/>
    <xf numFmtId="0" fontId="0" fillId="7" borderId="3" xfId="0" applyFont="1" applyFill="1" applyBorder="1" applyAlignment="1">
      <alignment vertical="center"/>
    </xf>
    <xf numFmtId="0" fontId="20" fillId="7" borderId="3" xfId="0" applyFont="1" applyFill="1" applyBorder="1" applyAlignment="1">
      <alignment vertical="center" wrapText="1"/>
    </xf>
    <xf numFmtId="0" fontId="0" fillId="7" borderId="3" xfId="1" applyFont="1" applyFill="1" applyBorder="1" applyAlignment="1">
      <alignment vertical="center"/>
    </xf>
    <xf numFmtId="0" fontId="0" fillId="10" borderId="3" xfId="0" applyFont="1" applyFill="1" applyBorder="1" applyAlignment="1">
      <alignment vertical="center"/>
    </xf>
    <xf numFmtId="0" fontId="20" fillId="10" borderId="3" xfId="0" applyFont="1" applyFill="1" applyBorder="1" applyAlignment="1">
      <alignment vertical="center" wrapText="1"/>
    </xf>
    <xf numFmtId="0" fontId="0" fillId="10" borderId="3" xfId="1" applyFont="1" applyFill="1" applyBorder="1" applyAlignment="1">
      <alignment vertical="center"/>
    </xf>
    <xf numFmtId="0" fontId="1" fillId="9" borderId="3" xfId="1" applyFill="1" applyBorder="1"/>
    <xf numFmtId="0" fontId="0" fillId="0" borderId="0" xfId="1" applyFont="1" applyAlignment="1">
      <alignment horizontal="center" vertical="center" wrapText="1"/>
    </xf>
    <xf numFmtId="0" fontId="0" fillId="7" borderId="3" xfId="1" applyFont="1" applyFill="1" applyBorder="1" applyAlignment="1">
      <alignment horizontal="center" vertical="center" wrapText="1"/>
    </xf>
    <xf numFmtId="0" fontId="0" fillId="7" borderId="3" xfId="1" applyFont="1" applyFill="1" applyBorder="1" applyAlignment="1">
      <alignment horizontal="center" wrapText="1"/>
    </xf>
    <xf numFmtId="0" fontId="0" fillId="11" borderId="9" xfId="1" applyFont="1" applyFill="1" applyBorder="1" applyAlignment="1">
      <alignment horizontal="center"/>
    </xf>
    <xf numFmtId="0" fontId="1" fillId="11" borderId="9" xfId="1" applyFill="1" applyBorder="1" applyAlignment="1">
      <alignment horizontal="center"/>
    </xf>
    <xf numFmtId="0" fontId="1" fillId="11" borderId="3" xfId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3" xfId="0" applyFill="1" applyBorder="1" applyAlignment="1">
      <alignment horizontal="center"/>
    </xf>
    <xf numFmtId="0" fontId="0" fillId="10" borderId="3" xfId="1" applyFont="1" applyFill="1" applyBorder="1" applyAlignment="1">
      <alignment horizontal="center"/>
    </xf>
    <xf numFmtId="0" fontId="1" fillId="10" borderId="3" xfId="1" applyFill="1" applyBorder="1" applyAlignment="1">
      <alignment horizontal="center"/>
    </xf>
    <xf numFmtId="0" fontId="1" fillId="10" borderId="9" xfId="1" applyFill="1" applyBorder="1" applyAlignment="1">
      <alignment horizontal="center"/>
    </xf>
    <xf numFmtId="0" fontId="1" fillId="10" borderId="13" xfId="1" applyFill="1" applyBorder="1" applyAlignment="1">
      <alignment horizontal="center"/>
    </xf>
    <xf numFmtId="0" fontId="1" fillId="7" borderId="5" xfId="1" applyFill="1" applyBorder="1" applyAlignment="1">
      <alignment horizontal="center"/>
    </xf>
    <xf numFmtId="0" fontId="1" fillId="7" borderId="9" xfId="1" applyFill="1" applyBorder="1" applyAlignment="1">
      <alignment horizontal="center" vertical="center"/>
    </xf>
    <xf numFmtId="0" fontId="1" fillId="7" borderId="16" xfId="1" applyFill="1" applyBorder="1" applyAlignment="1">
      <alignment horizontal="center" vertical="center"/>
    </xf>
    <xf numFmtId="0" fontId="1" fillId="7" borderId="13" xfId="1" applyFill="1" applyBorder="1" applyAlignment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4" xfId="4"/>
    <cellStyle name="Обычный 5" xfId="5"/>
    <cellStyle name="Примечание 2" xfId="3"/>
  </cellStyles>
  <dxfs count="0"/>
  <tableStyles count="0" defaultTableStyle="TableStyleMedium2" defaultPivotStyle="PivotStyleLight16"/>
  <colors>
    <mruColors>
      <color rgb="FFFFA48F"/>
      <color rgb="FFFFFF99"/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153028</xdr:rowOff>
    </xdr:from>
    <xdr:to>
      <xdr:col>4</xdr:col>
      <xdr:colOff>703428</xdr:colOff>
      <xdr:row>27</xdr:row>
      <xdr:rowOff>8738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94528"/>
          <a:ext cx="5554828" cy="3075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</xdr:colOff>
      <xdr:row>0</xdr:row>
      <xdr:rowOff>158750</xdr:rowOff>
    </xdr:from>
    <xdr:to>
      <xdr:col>12</xdr:col>
      <xdr:colOff>535145</xdr:colOff>
      <xdr:row>11</xdr:row>
      <xdr:rowOff>141718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3950" y="158750"/>
          <a:ext cx="3627595" cy="2008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97"/>
  <sheetViews>
    <sheetView topLeftCell="BP1" workbookViewId="0">
      <selection activeCell="BQ14" sqref="BQ14"/>
    </sheetView>
  </sheetViews>
  <sheetFormatPr defaultColWidth="14.453125" defaultRowHeight="15" customHeight="1" x14ac:dyDescent="0.35"/>
  <cols>
    <col min="1" max="35" width="17.36328125" style="9" customWidth="1"/>
    <col min="36" max="36" width="26.08984375" style="9" customWidth="1"/>
    <col min="37" max="37" width="24.453125" style="9" customWidth="1"/>
    <col min="38" max="38" width="16.453125" style="9" customWidth="1"/>
    <col min="39" max="39" width="12" style="9" customWidth="1"/>
    <col min="40" max="42" width="8.7265625" style="9" customWidth="1"/>
    <col min="43" max="43" width="15.81640625" style="9" customWidth="1"/>
    <col min="44" max="46" width="8.7265625" style="9" customWidth="1"/>
    <col min="47" max="47" width="37.08984375" style="9" customWidth="1"/>
    <col min="48" max="48" width="16.26953125" style="9" customWidth="1"/>
    <col min="49" max="49" width="15.453125" style="9" customWidth="1"/>
    <col min="50" max="50" width="43.54296875" style="9" customWidth="1"/>
    <col min="51" max="51" width="34.08984375" style="9" customWidth="1"/>
    <col min="52" max="52" width="11.453125" style="9" customWidth="1"/>
    <col min="53" max="55" width="8.7265625" style="9" customWidth="1"/>
    <col min="56" max="56" width="15.08984375" style="9" customWidth="1"/>
    <col min="57" max="58" width="8.7265625" style="9" customWidth="1"/>
    <col min="59" max="59" width="35.453125" style="9" customWidth="1"/>
    <col min="60" max="60" width="14.6328125" style="9" customWidth="1"/>
    <col min="61" max="61" width="9.54296875" style="9" customWidth="1"/>
    <col min="62" max="62" width="38" style="9" customWidth="1"/>
    <col min="63" max="63" width="11.54296875" style="9" customWidth="1"/>
    <col min="64" max="64" width="10" style="9" customWidth="1"/>
    <col min="65" max="66" width="8.7265625" style="9" customWidth="1"/>
    <col min="67" max="67" width="35.453125" style="9" customWidth="1"/>
    <col min="68" max="68" width="33.36328125" style="9" bestFit="1" customWidth="1"/>
    <col min="69" max="69" width="26.08984375" style="9" customWidth="1"/>
    <col min="70" max="70" width="35.90625" style="9" customWidth="1"/>
    <col min="71" max="71" width="24.453125" style="9" customWidth="1"/>
    <col min="72" max="72" width="13.08984375" style="9" customWidth="1"/>
    <col min="73" max="73" width="35.7265625" style="9" customWidth="1"/>
    <col min="74" max="74" width="16.26953125" style="9" customWidth="1"/>
    <col min="75" max="75" width="36.7265625" style="9" customWidth="1"/>
    <col min="76" max="76" width="22" style="9" customWidth="1"/>
    <col min="77" max="77" width="25.54296875" style="9" customWidth="1"/>
    <col min="78" max="78" width="27.36328125" style="9" customWidth="1"/>
    <col min="79" max="79" width="25.54296875" style="9" customWidth="1"/>
    <col min="80" max="80" width="15.453125" style="9" customWidth="1"/>
    <col min="81" max="81" width="38" style="9" customWidth="1"/>
    <col min="82" max="82" width="34.08984375" style="9" customWidth="1"/>
    <col min="83" max="83" width="16.453125" style="9" customWidth="1"/>
    <col min="84" max="84" width="36.54296875" style="9" customWidth="1"/>
    <col min="85" max="85" width="18.26953125" style="9" customWidth="1"/>
    <col min="86" max="86" width="16.453125" style="9" customWidth="1"/>
    <col min="87" max="16384" width="14.453125" style="9"/>
  </cols>
  <sheetData>
    <row r="1" spans="1:86" ht="14.5" x14ac:dyDescent="0.35">
      <c r="A1" s="38" t="s">
        <v>75</v>
      </c>
      <c r="B1" s="117" t="s">
        <v>76</v>
      </c>
      <c r="C1" s="27" t="s">
        <v>51</v>
      </c>
      <c r="D1" s="6" t="s">
        <v>25</v>
      </c>
      <c r="E1" s="6" t="s">
        <v>26</v>
      </c>
      <c r="F1" s="6" t="s">
        <v>27</v>
      </c>
      <c r="G1" s="7" t="s">
        <v>28</v>
      </c>
      <c r="H1" s="7" t="s">
        <v>29</v>
      </c>
      <c r="I1" s="7" t="s">
        <v>30</v>
      </c>
      <c r="J1" s="7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26" t="s">
        <v>47</v>
      </c>
      <c r="P1" s="26" t="s">
        <v>48</v>
      </c>
      <c r="Q1" s="26" t="s">
        <v>46</v>
      </c>
      <c r="R1" s="5"/>
      <c r="S1" s="5"/>
      <c r="T1" s="27" t="s">
        <v>68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38" t="s">
        <v>71</v>
      </c>
      <c r="BP1" s="38" t="s">
        <v>51</v>
      </c>
      <c r="BQ1" s="40" t="str">
        <f>D1</f>
        <v xml:space="preserve">Минимальная выдержка, 1/1000 сек </v>
      </c>
      <c r="BR1" s="33" t="s">
        <v>74</v>
      </c>
      <c r="BS1" s="5" t="str">
        <f>E1</f>
        <v>Скорость серийной съемки, кадр/сек</v>
      </c>
      <c r="BT1" s="40" t="str">
        <f>F1</f>
        <v>Автоспуск, сек</v>
      </c>
      <c r="BU1" s="33" t="s">
        <v>74</v>
      </c>
      <c r="BV1" s="40" t="str">
        <f>G1</f>
        <v>Минимальная дистанция съемки, см</v>
      </c>
      <c r="BW1" s="33" t="s">
        <v>74</v>
      </c>
      <c r="BX1" s="5" t="str">
        <f t="shared" ref="BX1:CE1" si="0">H1</f>
        <v>Диаметр светофильтра, мм</v>
      </c>
      <c r="BY1" s="5" t="str">
        <f t="shared" si="0"/>
        <v>Число лепестков диафрагмы</v>
      </c>
      <c r="BZ1" s="5" t="str">
        <f t="shared" si="0"/>
        <v>Число оптических элементов</v>
      </c>
      <c r="CA1" s="35" t="str">
        <f t="shared" si="0"/>
        <v>Общее число пикселей, Мп</v>
      </c>
      <c r="CB1" s="5" t="str">
        <f t="shared" si="0"/>
        <v>Кроп-фактор</v>
      </c>
      <c r="CC1" s="5" t="str">
        <f t="shared" si="0"/>
        <v>Максимальная чувствительность (ISO)</v>
      </c>
      <c r="CD1" s="5" t="str">
        <f t="shared" si="0"/>
        <v>Расширенная максимальная чувствительность (ISO)</v>
      </c>
      <c r="CE1" s="40" t="str">
        <f t="shared" si="0"/>
        <v>Стоимость покуки, тыс руб</v>
      </c>
      <c r="CF1" s="33" t="s">
        <v>74</v>
      </c>
      <c r="CG1" s="5" t="str">
        <f>P1</f>
        <v>Срок гарантии, мес</v>
      </c>
      <c r="CH1" s="5" t="str">
        <f>Q1</f>
        <v>Акции,скидки,предложения</v>
      </c>
    </row>
    <row r="2" spans="1:86" ht="14.5" x14ac:dyDescent="0.35">
      <c r="A2" s="38" t="s">
        <v>52</v>
      </c>
      <c r="B2" s="117"/>
      <c r="C2" s="5" t="s">
        <v>36</v>
      </c>
      <c r="D2" s="10">
        <v>0.25</v>
      </c>
      <c r="E2" s="11">
        <v>7</v>
      </c>
      <c r="F2" s="5">
        <v>10</v>
      </c>
      <c r="G2" s="11">
        <v>39</v>
      </c>
      <c r="H2" s="11">
        <v>67</v>
      </c>
      <c r="I2" s="11">
        <v>6</v>
      </c>
      <c r="J2" s="11">
        <v>16</v>
      </c>
      <c r="K2" s="12">
        <v>25.8</v>
      </c>
      <c r="L2" s="12">
        <v>1.6</v>
      </c>
      <c r="M2" s="11">
        <v>25600</v>
      </c>
      <c r="N2" s="11">
        <v>51200</v>
      </c>
      <c r="O2" s="11">
        <v>31</v>
      </c>
      <c r="P2" s="11">
        <v>12</v>
      </c>
      <c r="Q2" s="11">
        <v>4</v>
      </c>
      <c r="R2" s="5"/>
      <c r="S2" s="5"/>
      <c r="T2" s="5"/>
      <c r="U2" s="5"/>
      <c r="V2" s="5"/>
      <c r="W2" s="27" t="s">
        <v>60</v>
      </c>
      <c r="X2" s="27" t="s">
        <v>61</v>
      </c>
      <c r="Y2" s="27" t="s">
        <v>62</v>
      </c>
      <c r="Z2" s="27" t="s">
        <v>63</v>
      </c>
      <c r="AA2" s="2" t="s">
        <v>2</v>
      </c>
      <c r="AB2" s="5"/>
      <c r="AC2" s="5"/>
      <c r="AD2" t="s">
        <v>5</v>
      </c>
      <c r="AE2"/>
      <c r="AF2" s="5"/>
      <c r="AG2" s="5"/>
      <c r="AH2" s="27" t="s">
        <v>69</v>
      </c>
      <c r="AI2" s="27" t="s">
        <v>65</v>
      </c>
      <c r="AJ2" s="5" t="s">
        <v>37</v>
      </c>
      <c r="AK2" s="5" t="s">
        <v>26</v>
      </c>
      <c r="AL2" s="5" t="s">
        <v>27</v>
      </c>
      <c r="AM2" s="2" t="s">
        <v>2</v>
      </c>
      <c r="AN2" s="5"/>
      <c r="AO2" s="5"/>
      <c r="AP2" s="5" t="s">
        <v>5</v>
      </c>
      <c r="AQ2" s="5"/>
      <c r="AR2" s="5"/>
      <c r="AS2" s="5"/>
      <c r="AT2" s="5"/>
      <c r="AU2" s="27" t="s">
        <v>8</v>
      </c>
      <c r="AV2" s="5" t="s">
        <v>28</v>
      </c>
      <c r="AW2" s="5" t="s">
        <v>29</v>
      </c>
      <c r="AX2" s="5" t="s">
        <v>30</v>
      </c>
      <c r="AY2" s="5" t="s">
        <v>31</v>
      </c>
      <c r="AZ2" s="2" t="s">
        <v>2</v>
      </c>
      <c r="BA2" s="5"/>
      <c r="BB2" s="5"/>
      <c r="BC2" s="27" t="s">
        <v>5</v>
      </c>
      <c r="BD2" s="27"/>
      <c r="BE2" s="5"/>
      <c r="BF2" s="5"/>
      <c r="BG2" s="27" t="s">
        <v>70</v>
      </c>
      <c r="BH2" s="5" t="s">
        <v>10</v>
      </c>
      <c r="BI2" s="5" t="s">
        <v>11</v>
      </c>
      <c r="BJ2" s="5" t="s">
        <v>12</v>
      </c>
      <c r="BK2" s="5" t="s">
        <v>13</v>
      </c>
      <c r="BL2" s="5" t="s">
        <v>14</v>
      </c>
      <c r="BM2" s="5"/>
      <c r="BN2" s="5"/>
      <c r="BP2" s="11" t="str">
        <f t="shared" ref="BP2:BP6" si="1">C2</f>
        <v>Canon EOS 850D Kit 18-135mm IS USM</v>
      </c>
      <c r="BQ2" s="41">
        <f>1/D2/$D$11</f>
        <v>3.5555555555555554</v>
      </c>
      <c r="BR2" s="37">
        <f>BQ2/$BQ$10</f>
        <v>0.16666666666666663</v>
      </c>
      <c r="BS2" s="9">
        <f>E2/$E$11</f>
        <v>0.25</v>
      </c>
      <c r="BT2" s="42">
        <f>1/F2/F$11</f>
        <v>1.4285714285714286E-3</v>
      </c>
      <c r="BU2" s="36">
        <f>BT2/$BT$10</f>
        <v>0.25</v>
      </c>
      <c r="BV2" s="42">
        <f>1/G2/G$11</f>
        <v>1.6126431220770844E-4</v>
      </c>
      <c r="BW2" s="36">
        <f>BV2/$BV$10</f>
        <v>0.15274949083503056</v>
      </c>
      <c r="BX2" s="9">
        <f t="shared" ref="BX2:BZ6" si="2">H2/H$11</f>
        <v>0.21967213114754097</v>
      </c>
      <c r="BY2" s="9">
        <f t="shared" si="2"/>
        <v>0.18181818181818182</v>
      </c>
      <c r="BZ2" s="9">
        <f t="shared" si="2"/>
        <v>0.23529411764705882</v>
      </c>
      <c r="CA2" s="34">
        <f>(K2/K$11)</f>
        <v>0.21045762297087853</v>
      </c>
      <c r="CB2" s="9">
        <f t="shared" ref="CB2:CD6" si="3">L2/L$11</f>
        <v>0.20512820512820518</v>
      </c>
      <c r="CC2" s="9">
        <f t="shared" si="3"/>
        <v>0.19047619047619047</v>
      </c>
      <c r="CD2" s="9">
        <f t="shared" si="3"/>
        <v>2.8751123090745734E-2</v>
      </c>
      <c r="CE2" s="42">
        <f>1/O2/O$11</f>
        <v>2.2637238256932653E-4</v>
      </c>
      <c r="CF2" s="36">
        <f>CE2/$CE$10</f>
        <v>0.17915696126989067</v>
      </c>
      <c r="CG2" s="9">
        <f t="shared" ref="CG2:CH6" si="4">P2/P$11</f>
        <v>0.16666666666666666</v>
      </c>
      <c r="CH2" s="9">
        <f t="shared" si="4"/>
        <v>0.26666666666666666</v>
      </c>
    </row>
    <row r="3" spans="1:86" ht="14.5" x14ac:dyDescent="0.35">
      <c r="A3" s="38" t="s">
        <v>53</v>
      </c>
      <c r="B3" s="117"/>
      <c r="C3" s="5" t="s">
        <v>38</v>
      </c>
      <c r="D3" s="10">
        <v>0.25</v>
      </c>
      <c r="E3" s="11">
        <v>5</v>
      </c>
      <c r="F3" s="5">
        <v>20</v>
      </c>
      <c r="G3" s="11">
        <v>25</v>
      </c>
      <c r="H3" s="11">
        <v>55</v>
      </c>
      <c r="I3" s="11">
        <v>7</v>
      </c>
      <c r="J3" s="11">
        <v>12</v>
      </c>
      <c r="K3" s="12">
        <v>24.78</v>
      </c>
      <c r="L3" s="12">
        <v>1.5</v>
      </c>
      <c r="M3" s="11">
        <v>25600</v>
      </c>
      <c r="N3" s="11">
        <v>25600</v>
      </c>
      <c r="O3" s="11">
        <v>24</v>
      </c>
      <c r="P3" s="11">
        <v>6</v>
      </c>
      <c r="Q3" s="11">
        <v>3</v>
      </c>
      <c r="R3" s="5"/>
      <c r="S3" s="5"/>
      <c r="T3" s="5"/>
      <c r="U3" s="5"/>
      <c r="V3" s="5" t="str">
        <f>W2</f>
        <v>Световые (С)</v>
      </c>
      <c r="W3" s="5">
        <f>1</f>
        <v>1</v>
      </c>
      <c r="X3" s="5">
        <v>3</v>
      </c>
      <c r="Y3" s="5">
        <f t="shared" ref="Y3:Z3" si="5">1/3</f>
        <v>0.33333333333333331</v>
      </c>
      <c r="Z3" s="5">
        <f t="shared" si="5"/>
        <v>0.33333333333333331</v>
      </c>
      <c r="AA3" s="3" t="s">
        <v>4</v>
      </c>
      <c r="AB3" s="5">
        <f>W3*X3*Y3*Z3</f>
        <v>0.33333333333333331</v>
      </c>
      <c r="AC3" s="5">
        <f>SQRT(SQRT(AB3))</f>
        <v>0.75983568565159254</v>
      </c>
      <c r="AD3" s="21">
        <f t="shared" ref="AD3:AD6" si="6">AC3/$AC$7</f>
        <v>0.14654459496465058</v>
      </c>
      <c r="AE3" s="4" t="s">
        <v>6</v>
      </c>
      <c r="AF3" s="5">
        <f>W3*AD3+X3*AD4+Y3*AD5+Z3*AD6</f>
        <v>0.60579435721703756</v>
      </c>
      <c r="AG3" s="5">
        <f t="shared" ref="AG3:AG6" si="7">AF3/AD3</f>
        <v>4.1338567100558503</v>
      </c>
      <c r="AH3" s="5"/>
      <c r="AI3" s="15" t="s">
        <v>37</v>
      </c>
      <c r="AJ3" s="5">
        <v>1</v>
      </c>
      <c r="AK3" s="5">
        <v>3</v>
      </c>
      <c r="AL3" s="5">
        <v>0.33333333333333331</v>
      </c>
      <c r="AM3" s="3" t="s">
        <v>4</v>
      </c>
      <c r="AN3" s="5">
        <f t="shared" ref="AN3:AN4" si="8">AJ3*AL3*AK3</f>
        <v>1</v>
      </c>
      <c r="AO3" s="5">
        <f t="shared" ref="AO3:AO5" si="9">POWER(AN3,(1/3))</f>
        <v>1</v>
      </c>
      <c r="AP3" s="21">
        <f>AO3/AO6</f>
        <v>0.25828499437449498</v>
      </c>
      <c r="AQ3" s="4" t="s">
        <v>6</v>
      </c>
      <c r="AR3" s="5">
        <f>AJ3*AP3+AK3*AP4+AL3*AP5</f>
        <v>0.78480181993165765</v>
      </c>
      <c r="AS3" s="5">
        <f t="shared" ref="AS3:AS5" si="10">AR3/AP3</f>
        <v>3.0385110905581705</v>
      </c>
      <c r="AT3" s="5"/>
      <c r="AU3" s="5" t="str">
        <f>AV2</f>
        <v>Минимальная дистанция съемки, см</v>
      </c>
      <c r="AV3" s="5">
        <v>1</v>
      </c>
      <c r="AW3" s="5">
        <v>3</v>
      </c>
      <c r="AX3" s="5">
        <v>0.2</v>
      </c>
      <c r="AY3" s="5">
        <v>0.33333333333333331</v>
      </c>
      <c r="AZ3" s="3" t="s">
        <v>4</v>
      </c>
      <c r="BA3" s="5">
        <f t="shared" ref="BA3:BA6" si="11">AV3*AX3*AW3*AY3</f>
        <v>0.2</v>
      </c>
      <c r="BB3" s="5">
        <f t="shared" ref="BB3:BB6" si="12">POWER(BA3,(1/4))</f>
        <v>0.66874030497642201</v>
      </c>
      <c r="BC3" s="21">
        <f>BB3/BB7</f>
        <v>0.12069276565504114</v>
      </c>
      <c r="BD3" s="4" t="s">
        <v>6</v>
      </c>
      <c r="BE3" s="5">
        <f>AV3*BC3+AW3*BC4+AX3*BC5+AY3*BC6</f>
        <v>0.50759251716185405</v>
      </c>
      <c r="BF3" s="5">
        <f t="shared" ref="BF3:BF5" si="13">BE3/BC3</f>
        <v>4.2056581801483706</v>
      </c>
      <c r="BG3" s="5"/>
      <c r="BH3" s="27" t="s">
        <v>42</v>
      </c>
      <c r="BI3" s="5">
        <f t="shared" ref="BI3:BI5" si="14">$AD$3</f>
        <v>0.14654459496465058</v>
      </c>
      <c r="BJ3" s="5" t="str">
        <f>D1</f>
        <v xml:space="preserve">Минимальная выдержка, 1/1000 сек </v>
      </c>
      <c r="BK3" s="5">
        <f t="shared" ref="BK3:BK5" si="15">AP3</f>
        <v>0.25828499437449498</v>
      </c>
      <c r="BL3" s="16">
        <f t="shared" ref="BL3:BL16" si="16">BI3*BK3</f>
        <v>3.7850269886057421E-2</v>
      </c>
      <c r="BM3" s="5"/>
      <c r="BN3" s="5"/>
      <c r="BP3" s="11" t="str">
        <f t="shared" si="1"/>
        <v>Nikon D3500 Kit 18-55mm VR AF-P</v>
      </c>
      <c r="BQ3" s="41">
        <f t="shared" ref="BQ3:BQ6" si="17">1/D3/$D$11</f>
        <v>3.5555555555555554</v>
      </c>
      <c r="BR3" s="37">
        <f t="shared" ref="BR3:BR6" si="18">BQ3/$BQ$10</f>
        <v>0.16666666666666663</v>
      </c>
      <c r="BS3" s="9">
        <f>E3/$E$11</f>
        <v>0.17857142857142858</v>
      </c>
      <c r="BT3" s="42">
        <f t="shared" ref="BT3:BT6" si="19">1/F3/F$11</f>
        <v>7.1428571428571429E-4</v>
      </c>
      <c r="BU3" s="36">
        <f t="shared" ref="BU3:BU6" si="20">BT3/$BT$10</f>
        <v>0.125</v>
      </c>
      <c r="BV3" s="42">
        <f t="shared" ref="BV3:BV6" si="21">1/G3/G$11</f>
        <v>2.5157232704402514E-4</v>
      </c>
      <c r="BW3" s="36">
        <f t="shared" ref="BW3:BW6" si="22">BV3/$BV$10</f>
        <v>0.23828920570264767</v>
      </c>
      <c r="BX3" s="9">
        <f t="shared" si="2"/>
        <v>0.18032786885245902</v>
      </c>
      <c r="BY3" s="9">
        <f t="shared" si="2"/>
        <v>0.21212121212121213</v>
      </c>
      <c r="BZ3" s="9">
        <f t="shared" si="2"/>
        <v>0.17647058823529413</v>
      </c>
      <c r="CA3" s="34">
        <f t="shared" ref="CA3:CA6" si="23">(K3/K$11)</f>
        <v>0.20213720531854149</v>
      </c>
      <c r="CB3" s="9">
        <f t="shared" si="3"/>
        <v>0.19230769230769235</v>
      </c>
      <c r="CC3" s="9">
        <f t="shared" si="3"/>
        <v>0.19047619047619047</v>
      </c>
      <c r="CD3" s="9">
        <f t="shared" si="3"/>
        <v>1.4375561545372867E-2</v>
      </c>
      <c r="CE3" s="42">
        <f t="shared" ref="CE3:CE6" si="24">1/O3/O$11</f>
        <v>2.9239766081871346E-4</v>
      </c>
      <c r="CF3" s="36">
        <f t="shared" ref="CF3:CF6" si="25">CE3/$CE$10</f>
        <v>0.2314110749736088</v>
      </c>
      <c r="CG3" s="9">
        <f t="shared" si="4"/>
        <v>8.3333333333333329E-2</v>
      </c>
      <c r="CH3" s="9">
        <f t="shared" si="4"/>
        <v>0.2</v>
      </c>
    </row>
    <row r="4" spans="1:86" ht="14.5" x14ac:dyDescent="0.35">
      <c r="A4" s="39" t="s">
        <v>54</v>
      </c>
      <c r="B4" s="117"/>
      <c r="C4" s="5" t="s">
        <v>39</v>
      </c>
      <c r="D4" s="10">
        <v>0.125</v>
      </c>
      <c r="E4" s="11">
        <v>8</v>
      </c>
      <c r="F4" s="5">
        <v>20</v>
      </c>
      <c r="G4" s="11">
        <v>45</v>
      </c>
      <c r="H4" s="11">
        <v>67</v>
      </c>
      <c r="I4" s="11">
        <v>7</v>
      </c>
      <c r="J4" s="11">
        <v>17</v>
      </c>
      <c r="K4" s="12">
        <v>21.51</v>
      </c>
      <c r="L4" s="12">
        <v>1.5</v>
      </c>
      <c r="M4" s="11">
        <v>51200</v>
      </c>
      <c r="N4" s="11">
        <v>1640000</v>
      </c>
      <c r="O4" s="11">
        <v>35.5</v>
      </c>
      <c r="P4" s="11">
        <v>24</v>
      </c>
      <c r="Q4" s="11">
        <v>5</v>
      </c>
      <c r="R4" s="5"/>
      <c r="S4" s="5"/>
      <c r="T4" s="5"/>
      <c r="U4" s="5"/>
      <c r="V4" s="5" t="str">
        <f>X2</f>
        <v>Оптические (О)</v>
      </c>
      <c r="W4" s="5">
        <f>1/X3</f>
        <v>0.33333333333333331</v>
      </c>
      <c r="X4" s="5">
        <v>1</v>
      </c>
      <c r="Y4" s="5">
        <f t="shared" ref="Y4:Z4" si="26">1/5</f>
        <v>0.2</v>
      </c>
      <c r="Z4" s="5">
        <f t="shared" si="26"/>
        <v>0.2</v>
      </c>
      <c r="AA4" s="3" t="s">
        <v>3</v>
      </c>
      <c r="AB4" s="5">
        <f t="shared" ref="AB4:AB6" si="27">W4*X4*Y4*Z4</f>
        <v>1.3333333333333334E-2</v>
      </c>
      <c r="AC4" s="5">
        <f t="shared" ref="AC4:AC6" si="28">SQRT(SQRT(AB4))</f>
        <v>0.33980884896942454</v>
      </c>
      <c r="AD4" s="21">
        <f t="shared" si="6"/>
        <v>6.5536735215226433E-2</v>
      </c>
      <c r="AE4" s="4" t="s">
        <v>7</v>
      </c>
      <c r="AF4" s="5">
        <f>W4*AD3+X4*AD4+Y4*AD5+Z4*AD6</f>
        <v>0.27196866750080123</v>
      </c>
      <c r="AG4" s="5">
        <f t="shared" si="7"/>
        <v>4.1498659737571666</v>
      </c>
      <c r="AH4" s="5"/>
      <c r="AI4" s="15" t="s">
        <v>26</v>
      </c>
      <c r="AJ4" s="5">
        <f>1/AK3</f>
        <v>0.33333333333333331</v>
      </c>
      <c r="AK4" s="5">
        <v>1</v>
      </c>
      <c r="AL4" s="5">
        <v>0.2</v>
      </c>
      <c r="AM4" s="3" t="s">
        <v>3</v>
      </c>
      <c r="AN4" s="5">
        <f t="shared" si="8"/>
        <v>6.6666666666666666E-2</v>
      </c>
      <c r="AO4" s="5">
        <f t="shared" si="9"/>
        <v>0.40548013303822666</v>
      </c>
      <c r="AP4" s="21">
        <f>AO4/AO6</f>
        <v>0.10472943388074786</v>
      </c>
      <c r="AQ4" s="4" t="s">
        <v>7</v>
      </c>
      <c r="AR4" s="5">
        <f>AJ4*AP3+AK4*AP4+AL4*AP5</f>
        <v>0.31822154635453098</v>
      </c>
      <c r="AS4" s="5">
        <f>AR4/AP4</f>
        <v>3.0385110905581705</v>
      </c>
      <c r="AT4" s="5"/>
      <c r="AU4" s="5" t="str">
        <f>AW2</f>
        <v>Диаметр светофильтра, мм</v>
      </c>
      <c r="AV4" s="5">
        <f>1/AW3</f>
        <v>0.33333333333333331</v>
      </c>
      <c r="AW4" s="5">
        <v>1</v>
      </c>
      <c r="AX4" s="5">
        <v>0.14285714285714285</v>
      </c>
      <c r="AY4" s="5">
        <v>0.33333333333333331</v>
      </c>
      <c r="AZ4" s="3" t="s">
        <v>3</v>
      </c>
      <c r="BA4" s="5">
        <f t="shared" si="11"/>
        <v>1.5873015873015872E-2</v>
      </c>
      <c r="BB4" s="5">
        <f t="shared" si="12"/>
        <v>0.35494810560100531</v>
      </c>
      <c r="BC4" s="21">
        <f>BB4/BB7</f>
        <v>6.4060246122765618E-2</v>
      </c>
      <c r="BD4" s="4" t="s">
        <v>7</v>
      </c>
      <c r="BE4" s="5">
        <f>AV4*BC3+AW4*BC4+AX4*BC5+AY4*BC6</f>
        <v>0.26599733131677455</v>
      </c>
      <c r="BF4" s="5">
        <f t="shared" si="13"/>
        <v>4.1522995526276141</v>
      </c>
      <c r="BG4" s="5"/>
      <c r="BH4" s="27" t="s">
        <v>42</v>
      </c>
      <c r="BI4" s="5">
        <f t="shared" si="14"/>
        <v>0.14654459496465058</v>
      </c>
      <c r="BJ4" s="5" t="str">
        <f>E1</f>
        <v>Скорость серийной съемки, кадр/сек</v>
      </c>
      <c r="BK4" s="5">
        <f t="shared" si="15"/>
        <v>0.10472943388074786</v>
      </c>
      <c r="BL4" s="16">
        <f t="shared" si="16"/>
        <v>1.5347532468931349E-2</v>
      </c>
      <c r="BM4" s="5"/>
      <c r="BN4" s="5"/>
      <c r="BP4" s="11" t="str">
        <f t="shared" si="1"/>
        <v>Nikon D7500 Kit 18-140mm VR</v>
      </c>
      <c r="BQ4" s="41">
        <f t="shared" si="17"/>
        <v>7.1111111111111107</v>
      </c>
      <c r="BR4" s="37">
        <f t="shared" si="18"/>
        <v>0.33333333333333326</v>
      </c>
      <c r="BS4" s="9">
        <f>E4/$E$11</f>
        <v>0.2857142857142857</v>
      </c>
      <c r="BT4" s="42">
        <f t="shared" si="19"/>
        <v>7.1428571428571429E-4</v>
      </c>
      <c r="BU4" s="36">
        <f t="shared" si="20"/>
        <v>0.125</v>
      </c>
      <c r="BV4" s="42">
        <f t="shared" si="21"/>
        <v>1.397624039133473E-4</v>
      </c>
      <c r="BW4" s="36">
        <f t="shared" si="22"/>
        <v>0.13238289205702647</v>
      </c>
      <c r="BX4" s="9">
        <f t="shared" si="2"/>
        <v>0.21967213114754097</v>
      </c>
      <c r="BY4" s="9">
        <f t="shared" si="2"/>
        <v>0.21212121212121213</v>
      </c>
      <c r="BZ4" s="9">
        <f t="shared" si="2"/>
        <v>0.25</v>
      </c>
      <c r="CA4" s="34">
        <f t="shared" si="23"/>
        <v>0.17546292519781387</v>
      </c>
      <c r="CB4" s="9">
        <f t="shared" si="3"/>
        <v>0.19230769230769235</v>
      </c>
      <c r="CC4" s="9">
        <f t="shared" si="3"/>
        <v>0.38095238095238093</v>
      </c>
      <c r="CD4" s="9">
        <f t="shared" si="3"/>
        <v>0.92093441150044919</v>
      </c>
      <c r="CE4" s="42">
        <f t="shared" si="24"/>
        <v>1.9767729182110206E-4</v>
      </c>
      <c r="CF4" s="36">
        <f t="shared" si="25"/>
        <v>0.15644692392582005</v>
      </c>
      <c r="CG4" s="9">
        <f t="shared" si="4"/>
        <v>0.33333333333333331</v>
      </c>
      <c r="CH4" s="9">
        <f t="shared" si="4"/>
        <v>0.33333333333333331</v>
      </c>
    </row>
    <row r="5" spans="1:86" ht="14.5" x14ac:dyDescent="0.35">
      <c r="A5" s="38" t="s">
        <v>55</v>
      </c>
      <c r="B5" s="117"/>
      <c r="C5" s="5" t="s">
        <v>40</v>
      </c>
      <c r="D5" s="10">
        <v>0.25</v>
      </c>
      <c r="E5" s="11">
        <v>5</v>
      </c>
      <c r="F5" s="5">
        <v>10</v>
      </c>
      <c r="G5" s="11">
        <v>25</v>
      </c>
      <c r="H5" s="11">
        <v>58</v>
      </c>
      <c r="I5" s="11">
        <v>7</v>
      </c>
      <c r="J5" s="11">
        <v>12</v>
      </c>
      <c r="K5" s="12">
        <v>25.8</v>
      </c>
      <c r="L5" s="12">
        <v>1.6</v>
      </c>
      <c r="M5" s="11">
        <v>25600</v>
      </c>
      <c r="N5" s="11">
        <v>51200</v>
      </c>
      <c r="O5" s="11">
        <v>23</v>
      </c>
      <c r="P5" s="11">
        <v>12</v>
      </c>
      <c r="Q5" s="11">
        <v>1</v>
      </c>
      <c r="R5" s="5"/>
      <c r="S5" s="5"/>
      <c r="T5" s="5"/>
      <c r="U5" s="5"/>
      <c r="V5" s="5" t="str">
        <f>Y2</f>
        <v>Технические (Т)</v>
      </c>
      <c r="W5" s="5">
        <f>1/Y3</f>
        <v>3</v>
      </c>
      <c r="X5" s="5">
        <f>1/Y4</f>
        <v>5</v>
      </c>
      <c r="Y5" s="5">
        <v>1</v>
      </c>
      <c r="Z5" s="5">
        <f>1/3</f>
        <v>0.33333333333333331</v>
      </c>
      <c r="AA5" s="5"/>
      <c r="AB5" s="5">
        <f t="shared" si="27"/>
        <v>5</v>
      </c>
      <c r="AC5" s="5">
        <f t="shared" si="28"/>
        <v>1.4953487812212205</v>
      </c>
      <c r="AD5" s="21">
        <f t="shared" si="6"/>
        <v>0.28839824927020835</v>
      </c>
      <c r="AE5" s="4" t="s">
        <v>3</v>
      </c>
      <c r="AF5" s="5">
        <f>W5*AD3+X5*AD4+Y5*AD5+Z5*AD6</f>
        <v>1.2222225170902639</v>
      </c>
      <c r="AG5" s="5">
        <f t="shared" si="7"/>
        <v>4.2379678801209693</v>
      </c>
      <c r="AH5" s="5"/>
      <c r="AI5" s="15" t="s">
        <v>27</v>
      </c>
      <c r="AJ5" s="31">
        <f>1/AL3</f>
        <v>3</v>
      </c>
      <c r="AK5" s="5">
        <f>1/AL4</f>
        <v>5</v>
      </c>
      <c r="AL5" s="5">
        <v>1</v>
      </c>
      <c r="AM5" s="5"/>
      <c r="AN5" s="5">
        <f>AJ5*AK5*AL5</f>
        <v>15</v>
      </c>
      <c r="AO5" s="5">
        <f t="shared" si="9"/>
        <v>2.4662120743304703</v>
      </c>
      <c r="AP5" s="21">
        <f>AO5/AO6</f>
        <v>0.63698557174475723</v>
      </c>
      <c r="AQ5" s="4" t="s">
        <v>3</v>
      </c>
      <c r="AR5" s="5">
        <f>AJ5*AP3+AK5*AP4+AL5*AP5</f>
        <v>1.9354877242719815</v>
      </c>
      <c r="AS5" s="5">
        <f t="shared" si="10"/>
        <v>3.0385110905581696</v>
      </c>
      <c r="AT5" s="5"/>
      <c r="AU5" s="5" t="str">
        <f>AX2</f>
        <v>Число лепестков диафрагмы</v>
      </c>
      <c r="AV5" s="5">
        <f>1/AX3</f>
        <v>5</v>
      </c>
      <c r="AW5" s="5">
        <f>1/AX4</f>
        <v>7</v>
      </c>
      <c r="AX5" s="5">
        <v>1</v>
      </c>
      <c r="AY5" s="5">
        <v>3</v>
      </c>
      <c r="AZ5" s="5"/>
      <c r="BA5" s="5">
        <f t="shared" si="11"/>
        <v>105</v>
      </c>
      <c r="BB5" s="5">
        <f t="shared" si="12"/>
        <v>3.2010858729436791</v>
      </c>
      <c r="BC5" s="21">
        <f>BB5/BB7</f>
        <v>0.57772487201661316</v>
      </c>
      <c r="BD5" s="4" t="s">
        <v>3</v>
      </c>
      <c r="BE5" s="5">
        <f>AV5*BC3+AW5*BC4+AX5*BC5+AY5*BC6</f>
        <v>2.3421767717679183</v>
      </c>
      <c r="BF5" s="5">
        <f t="shared" si="13"/>
        <v>4.0541387176084163</v>
      </c>
      <c r="BG5" s="5"/>
      <c r="BH5" s="27" t="s">
        <v>42</v>
      </c>
      <c r="BI5" s="5">
        <f t="shared" si="14"/>
        <v>0.14654459496465058</v>
      </c>
      <c r="BJ5" s="5" t="str">
        <f>F1</f>
        <v>Автоспуск, сек</v>
      </c>
      <c r="BK5" s="5">
        <f t="shared" si="15"/>
        <v>0.63698557174475723</v>
      </c>
      <c r="BL5" s="16">
        <f>BI5*BK5</f>
        <v>9.3346792609661819E-2</v>
      </c>
      <c r="BM5" s="5"/>
      <c r="BN5" s="5"/>
      <c r="BP5" s="11" t="str">
        <f t="shared" si="1"/>
        <v>Canon EOS 250D Kit 18-55mm IS STM</v>
      </c>
      <c r="BQ5" s="41">
        <f t="shared" si="17"/>
        <v>3.5555555555555554</v>
      </c>
      <c r="BR5" s="37">
        <f t="shared" si="18"/>
        <v>0.16666666666666663</v>
      </c>
      <c r="BS5" s="9">
        <f>E5/$E$11</f>
        <v>0.17857142857142858</v>
      </c>
      <c r="BT5" s="42">
        <f t="shared" si="19"/>
        <v>1.4285714285714286E-3</v>
      </c>
      <c r="BU5" s="36">
        <f t="shared" si="20"/>
        <v>0.25</v>
      </c>
      <c r="BV5" s="42">
        <f t="shared" si="21"/>
        <v>2.5157232704402514E-4</v>
      </c>
      <c r="BW5" s="36">
        <f t="shared" si="22"/>
        <v>0.23828920570264767</v>
      </c>
      <c r="BX5" s="9">
        <f t="shared" si="2"/>
        <v>0.1901639344262295</v>
      </c>
      <c r="BY5" s="9">
        <f t="shared" si="2"/>
        <v>0.21212121212121213</v>
      </c>
      <c r="BZ5" s="9">
        <f t="shared" si="2"/>
        <v>0.17647058823529413</v>
      </c>
      <c r="CA5" s="34">
        <f t="shared" si="23"/>
        <v>0.21045762297087853</v>
      </c>
      <c r="CB5" s="9">
        <f t="shared" si="3"/>
        <v>0.20512820512820518</v>
      </c>
      <c r="CC5" s="9">
        <f t="shared" si="3"/>
        <v>0.19047619047619047</v>
      </c>
      <c r="CD5" s="9">
        <f t="shared" si="3"/>
        <v>2.8751123090745734E-2</v>
      </c>
      <c r="CE5" s="42">
        <f t="shared" si="24"/>
        <v>3.0511060259344014E-4</v>
      </c>
      <c r="CF5" s="36">
        <f t="shared" si="25"/>
        <v>0.24147242605941791</v>
      </c>
      <c r="CG5" s="9">
        <f t="shared" si="4"/>
        <v>0.16666666666666666</v>
      </c>
      <c r="CH5" s="9">
        <f t="shared" si="4"/>
        <v>6.6666666666666666E-2</v>
      </c>
    </row>
    <row r="6" spans="1:86" ht="14.5" x14ac:dyDescent="0.35">
      <c r="A6" s="38" t="s">
        <v>56</v>
      </c>
      <c r="B6" s="117"/>
      <c r="C6" s="5" t="s">
        <v>41</v>
      </c>
      <c r="D6" s="10">
        <v>0.25</v>
      </c>
      <c r="E6" s="11">
        <v>3</v>
      </c>
      <c r="F6" s="5">
        <v>10</v>
      </c>
      <c r="G6" s="11">
        <v>25</v>
      </c>
      <c r="H6" s="11">
        <v>58</v>
      </c>
      <c r="I6" s="11">
        <v>6</v>
      </c>
      <c r="J6" s="11">
        <v>11</v>
      </c>
      <c r="K6" s="12">
        <v>24.7</v>
      </c>
      <c r="L6" s="12">
        <v>1.6</v>
      </c>
      <c r="M6" s="11">
        <v>6400</v>
      </c>
      <c r="N6" s="11">
        <v>12800</v>
      </c>
      <c r="O6" s="11">
        <v>29</v>
      </c>
      <c r="P6" s="11">
        <v>18</v>
      </c>
      <c r="Q6" s="11">
        <v>2</v>
      </c>
      <c r="R6" s="5"/>
      <c r="S6" s="5"/>
      <c r="T6" s="5"/>
      <c r="U6" s="5"/>
      <c r="V6" s="5" t="str">
        <f>Z2</f>
        <v>Экономические (Э)</v>
      </c>
      <c r="W6" s="5">
        <f>1/Z3</f>
        <v>3</v>
      </c>
      <c r="X6" s="5">
        <f>1/Z4</f>
        <v>5</v>
      </c>
      <c r="Y6" s="5">
        <f>1/Z5</f>
        <v>3</v>
      </c>
      <c r="Z6" s="5">
        <v>1</v>
      </c>
      <c r="AA6" s="5"/>
      <c r="AB6" s="5">
        <f t="shared" si="27"/>
        <v>45</v>
      </c>
      <c r="AC6" s="5">
        <f t="shared" si="28"/>
        <v>2.5900200641113513</v>
      </c>
      <c r="AD6" s="21">
        <f t="shared" si="6"/>
        <v>0.49952042054991475</v>
      </c>
      <c r="AE6" s="23"/>
      <c r="AF6" s="5">
        <f>W6*AD3+X6*AD4+Y6*AD5+Z6*AD6</f>
        <v>2.1320326293306238</v>
      </c>
      <c r="AG6" s="5">
        <f t="shared" si="7"/>
        <v>4.2681591014507481</v>
      </c>
      <c r="AH6" s="5"/>
      <c r="AI6" s="5"/>
      <c r="AJ6" s="5"/>
      <c r="AK6" s="5"/>
      <c r="AL6" s="5"/>
      <c r="AM6" s="5"/>
      <c r="AN6" s="5"/>
      <c r="AO6" s="5">
        <f t="shared" ref="AO6:AP6" si="29">AO3+AO4+AO5</f>
        <v>3.8716922073686968</v>
      </c>
      <c r="AP6" s="22">
        <f t="shared" si="29"/>
        <v>1</v>
      </c>
      <c r="AQ6" s="24"/>
      <c r="AR6" s="5"/>
      <c r="AS6" s="5">
        <f>(AS3+AS4+AS5)/3</f>
        <v>3.0385110905581705</v>
      </c>
      <c r="AT6" s="5"/>
      <c r="AU6" s="5" t="str">
        <f>AY2</f>
        <v>Число оптических элементов</v>
      </c>
      <c r="AV6" s="5">
        <f>1/AY3</f>
        <v>3</v>
      </c>
      <c r="AW6" s="5">
        <f>1/AY4</f>
        <v>3</v>
      </c>
      <c r="AX6" s="5">
        <f>1/AY5</f>
        <v>0.33333333333333331</v>
      </c>
      <c r="AY6" s="5">
        <v>1</v>
      </c>
      <c r="AZ6" s="5"/>
      <c r="BA6" s="5">
        <f t="shared" si="11"/>
        <v>3</v>
      </c>
      <c r="BB6" s="5">
        <f t="shared" si="12"/>
        <v>1.3160740129524926</v>
      </c>
      <c r="BC6" s="21">
        <f>BB6/BB7</f>
        <v>0.23752211620558009</v>
      </c>
      <c r="BD6" s="23"/>
      <c r="BE6" s="5">
        <f>AV6*BC3+AW6*BC4+AX6*BC5+AY6*BC6</f>
        <v>0.98435610887787139</v>
      </c>
      <c r="BF6" s="5">
        <f>(BF3+BF4+BF5)/3</f>
        <v>4.1373654834614664</v>
      </c>
      <c r="BG6" s="5"/>
      <c r="BH6" s="27" t="s">
        <v>43</v>
      </c>
      <c r="BI6" s="5">
        <f t="shared" ref="BI6:BI9" si="30">$AD$4</f>
        <v>6.5536735215226433E-2</v>
      </c>
      <c r="BJ6" s="5" t="str">
        <f>G1</f>
        <v>Минимальная дистанция съемки, см</v>
      </c>
      <c r="BK6" s="5">
        <f t="shared" ref="BK6:BK9" si="31">BC3</f>
        <v>0.12069276565504114</v>
      </c>
      <c r="BL6" s="16">
        <f t="shared" si="16"/>
        <v>7.9098098251278066E-3</v>
      </c>
      <c r="BM6" s="5"/>
      <c r="BN6" s="5"/>
      <c r="BP6" s="11" t="str">
        <f t="shared" si="1"/>
        <v>Canon EOS 2000D Kit 18-55mm DC</v>
      </c>
      <c r="BQ6" s="41">
        <f t="shared" si="17"/>
        <v>3.5555555555555554</v>
      </c>
      <c r="BR6" s="37">
        <f t="shared" si="18"/>
        <v>0.16666666666666663</v>
      </c>
      <c r="BS6" s="9">
        <f>E6/$E$11</f>
        <v>0.10714285714285714</v>
      </c>
      <c r="BT6" s="42">
        <f t="shared" si="19"/>
        <v>1.4285714285714286E-3</v>
      </c>
      <c r="BU6" s="36">
        <f t="shared" si="20"/>
        <v>0.25</v>
      </c>
      <c r="BV6" s="42">
        <f t="shared" si="21"/>
        <v>2.5157232704402514E-4</v>
      </c>
      <c r="BW6" s="36">
        <f t="shared" si="22"/>
        <v>0.23828920570264767</v>
      </c>
      <c r="BX6" s="9">
        <f t="shared" si="2"/>
        <v>0.1901639344262295</v>
      </c>
      <c r="BY6" s="9">
        <f t="shared" si="2"/>
        <v>0.18181818181818182</v>
      </c>
      <c r="BZ6" s="9">
        <f t="shared" si="2"/>
        <v>0.16176470588235295</v>
      </c>
      <c r="CA6" s="34">
        <f t="shared" si="23"/>
        <v>0.20148462354188759</v>
      </c>
      <c r="CB6" s="9">
        <f t="shared" si="3"/>
        <v>0.20512820512820518</v>
      </c>
      <c r="CC6" s="9">
        <f t="shared" si="3"/>
        <v>4.7619047619047616E-2</v>
      </c>
      <c r="CD6" s="9">
        <f t="shared" si="3"/>
        <v>7.1877807726864335E-3</v>
      </c>
      <c r="CE6" s="42">
        <f t="shared" si="24"/>
        <v>2.4198427102238354E-4</v>
      </c>
      <c r="CF6" s="36">
        <f t="shared" si="25"/>
        <v>0.19151261377126244</v>
      </c>
      <c r="CG6" s="9">
        <f t="shared" si="4"/>
        <v>0.25</v>
      </c>
      <c r="CH6" s="9">
        <f t="shared" si="4"/>
        <v>0.13333333333333333</v>
      </c>
    </row>
    <row r="7" spans="1:86" ht="14.5" x14ac:dyDescent="0.35">
      <c r="A7" s="38" t="s">
        <v>58</v>
      </c>
      <c r="B7" s="117"/>
      <c r="C7" s="5"/>
      <c r="D7" s="11"/>
      <c r="E7" s="11"/>
      <c r="F7" s="5"/>
      <c r="G7" s="11"/>
      <c r="H7" s="11"/>
      <c r="I7" s="11"/>
      <c r="J7" s="11"/>
      <c r="K7" s="12"/>
      <c r="L7" s="11"/>
      <c r="M7" s="11"/>
      <c r="N7" s="5"/>
      <c r="O7" s="11"/>
      <c r="P7" s="11"/>
      <c r="Q7" s="11"/>
      <c r="R7" s="5"/>
      <c r="S7" s="5"/>
      <c r="T7" s="5"/>
      <c r="U7" s="5"/>
      <c r="V7" s="5"/>
      <c r="W7" s="7"/>
      <c r="X7" s="7"/>
      <c r="Y7" s="7"/>
      <c r="Z7" s="7"/>
      <c r="AA7" s="5"/>
      <c r="AB7" s="5"/>
      <c r="AC7" s="5">
        <f t="shared" ref="AC7:AD7" si="32">AC3+AC4+AC5+AC6</f>
        <v>5.1850133799535882</v>
      </c>
      <c r="AD7" s="22">
        <f t="shared" si="32"/>
        <v>1</v>
      </c>
      <c r="AE7" s="24"/>
      <c r="AF7" s="5"/>
      <c r="AG7" s="5">
        <f>(AG4+AG3+AG5+AG6)/4</f>
        <v>4.197462416346184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25" t="s">
        <v>0</v>
      </c>
      <c r="AS7" s="25">
        <f>(AS6-3)/2</f>
        <v>1.925554527908524E-2</v>
      </c>
      <c r="AT7" s="5"/>
      <c r="AU7" s="5"/>
      <c r="AV7" s="5"/>
      <c r="AW7" s="5"/>
      <c r="AX7" s="5"/>
      <c r="AY7" s="5"/>
      <c r="AZ7" s="5"/>
      <c r="BA7" s="5"/>
      <c r="BB7" s="5">
        <f t="shared" ref="BB7:BC7" si="33">SUM(BB3:BB6)</f>
        <v>5.540848296473599</v>
      </c>
      <c r="BC7" s="22">
        <f t="shared" si="33"/>
        <v>1</v>
      </c>
      <c r="BD7" s="24"/>
      <c r="BE7" s="5"/>
      <c r="BF7" s="5">
        <f>(BF3+BF4+BF5+BF6)/4</f>
        <v>4.1373654834614664</v>
      </c>
      <c r="BG7" s="5"/>
      <c r="BH7" s="27" t="s">
        <v>43</v>
      </c>
      <c r="BI7" s="5">
        <f t="shared" si="30"/>
        <v>6.5536735215226433E-2</v>
      </c>
      <c r="BJ7" s="5" t="str">
        <f>H1</f>
        <v>Диаметр светофильтра, мм</v>
      </c>
      <c r="BK7" s="5">
        <f t="shared" si="31"/>
        <v>6.4060246122765618E-2</v>
      </c>
      <c r="BL7" s="16">
        <f t="shared" si="16"/>
        <v>4.1982993879699261E-3</v>
      </c>
      <c r="BM7" s="5"/>
      <c r="BN7" s="5"/>
      <c r="BP7" s="11"/>
      <c r="BQ7" s="13"/>
      <c r="BR7" s="13"/>
      <c r="CA7" s="34"/>
      <c r="CE7" s="36"/>
    </row>
    <row r="8" spans="1:86" ht="14.5" x14ac:dyDescent="0.35">
      <c r="A8" s="38" t="s">
        <v>57</v>
      </c>
      <c r="C8" s="5"/>
      <c r="D8" s="11"/>
      <c r="E8" s="11"/>
      <c r="F8" s="5"/>
      <c r="G8" s="11"/>
      <c r="H8" s="11"/>
      <c r="I8" s="11"/>
      <c r="J8" s="11"/>
      <c r="K8" s="12"/>
      <c r="L8" s="11"/>
      <c r="M8" s="11"/>
      <c r="N8" s="5"/>
      <c r="O8" s="11"/>
      <c r="P8" s="11"/>
      <c r="Q8" s="11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25" t="s">
        <v>0</v>
      </c>
      <c r="AG8" s="25">
        <f>(AG7-4)/3</f>
        <v>6.5820805448727995E-2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25" t="s">
        <v>1</v>
      </c>
      <c r="AS8" s="25">
        <f>AS7/0.58*100</f>
        <v>3.3199215998422829</v>
      </c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25" t="s">
        <v>0</v>
      </c>
      <c r="BF8" s="25">
        <f>(BF6-4)/3</f>
        <v>4.5788494487155461E-2</v>
      </c>
      <c r="BG8" s="5"/>
      <c r="BH8" s="27" t="s">
        <v>43</v>
      </c>
      <c r="BI8" s="5">
        <f t="shared" si="30"/>
        <v>6.5536735215226433E-2</v>
      </c>
      <c r="BJ8" s="5" t="str">
        <f>I1</f>
        <v>Число лепестков диафрагмы</v>
      </c>
      <c r="BK8" s="5">
        <f t="shared" si="31"/>
        <v>0.57772487201661316</v>
      </c>
      <c r="BL8" s="16">
        <f t="shared" si="16"/>
        <v>3.7862201964603354E-2</v>
      </c>
      <c r="BM8" s="5"/>
      <c r="BN8" s="5"/>
      <c r="BP8" s="11"/>
      <c r="BQ8" s="13"/>
      <c r="BR8" s="13"/>
      <c r="CA8" s="14"/>
      <c r="CE8" s="36"/>
    </row>
    <row r="9" spans="1:86" ht="14.5" x14ac:dyDescent="0.35">
      <c r="A9" s="38" t="s">
        <v>49</v>
      </c>
      <c r="C9" s="5"/>
      <c r="D9" s="11"/>
      <c r="E9" s="11"/>
      <c r="F9" s="5"/>
      <c r="G9" s="11"/>
      <c r="H9" s="11"/>
      <c r="I9" s="11"/>
      <c r="J9" s="11"/>
      <c r="K9" s="12"/>
      <c r="L9" s="11"/>
      <c r="M9" s="11"/>
      <c r="N9" s="5"/>
      <c r="O9" s="11"/>
      <c r="P9" s="11"/>
      <c r="Q9" s="11"/>
      <c r="R9" s="5"/>
      <c r="S9" s="5"/>
      <c r="T9" s="5"/>
      <c r="U9" s="8"/>
      <c r="V9" s="8"/>
      <c r="W9" s="8"/>
      <c r="X9" s="8"/>
      <c r="Y9" s="8"/>
      <c r="Z9" s="8"/>
      <c r="AA9" s="8"/>
      <c r="AB9" s="8"/>
      <c r="AC9" s="5"/>
      <c r="AD9" s="5"/>
      <c r="AE9" s="5"/>
      <c r="AF9" s="25" t="s">
        <v>1</v>
      </c>
      <c r="AG9" s="25">
        <f>AG8/0.9*100</f>
        <v>7.3134228276364439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25" t="s">
        <v>1</v>
      </c>
      <c r="BF9" s="25">
        <f>BF8/0.9*100</f>
        <v>5.087610498572829</v>
      </c>
      <c r="BG9" s="5"/>
      <c r="BH9" s="27" t="s">
        <v>43</v>
      </c>
      <c r="BI9" s="5">
        <f t="shared" si="30"/>
        <v>6.5536735215226433E-2</v>
      </c>
      <c r="BJ9" s="5" t="str">
        <f>J1</f>
        <v>Число оптических элементов</v>
      </c>
      <c r="BK9" s="5">
        <f t="shared" si="31"/>
        <v>0.23752211620558009</v>
      </c>
      <c r="BL9" s="16">
        <f t="shared" si="16"/>
        <v>1.5566424037525345E-2</v>
      </c>
      <c r="BM9" s="5"/>
      <c r="BN9" s="5"/>
      <c r="BP9" s="11"/>
      <c r="BQ9" s="13"/>
      <c r="BR9" s="13"/>
      <c r="CA9" s="14"/>
      <c r="CE9" s="36"/>
    </row>
    <row r="10" spans="1:86" ht="14.5" x14ac:dyDescent="0.35">
      <c r="A10" s="38" t="s">
        <v>50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8"/>
      <c r="V10" s="8"/>
      <c r="W10" s="8"/>
      <c r="X10" s="8"/>
      <c r="Y10" s="8"/>
      <c r="Z10" s="8"/>
      <c r="AA10" s="8"/>
      <c r="AB10" s="8"/>
      <c r="AC10" s="5"/>
      <c r="AD10" s="5"/>
      <c r="AE10" s="5"/>
      <c r="AF10" s="5"/>
      <c r="AG10" s="5"/>
      <c r="AH10" s="5"/>
      <c r="AI10" s="27" t="s">
        <v>64</v>
      </c>
      <c r="AJ10" s="35" t="s">
        <v>47</v>
      </c>
      <c r="AK10" s="35" t="s">
        <v>48</v>
      </c>
      <c r="AL10" s="35" t="s">
        <v>46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27" t="s">
        <v>44</v>
      </c>
      <c r="BI10" s="5">
        <f t="shared" ref="BI10:BI13" si="34">$AD$5</f>
        <v>0.28839824927020835</v>
      </c>
      <c r="BJ10" s="5" t="str">
        <f>K1</f>
        <v>Общее число пикселей, Мп</v>
      </c>
      <c r="BK10" s="5">
        <f t="shared" ref="BK10:BK13" si="35">BC13</f>
        <v>0.14654459496465058</v>
      </c>
      <c r="BL10" s="16">
        <f t="shared" si="16"/>
        <v>4.2263204627817019E-2</v>
      </c>
      <c r="BM10" s="5"/>
      <c r="BN10" s="5"/>
      <c r="BP10" s="11"/>
      <c r="BQ10" s="17">
        <f>SUM(BQ2:BQ9)</f>
        <v>21.333333333333336</v>
      </c>
      <c r="BR10" s="17">
        <f>SUM(BR2:BR9)</f>
        <v>0.99999999999999978</v>
      </c>
      <c r="BS10" s="17">
        <f t="shared" ref="BS10:CA10" si="36">SUM(BS2:BS9)</f>
        <v>1</v>
      </c>
      <c r="BT10" s="17">
        <f t="shared" si="36"/>
        <v>5.7142857142857143E-3</v>
      </c>
      <c r="BU10" s="17">
        <f t="shared" si="36"/>
        <v>1</v>
      </c>
      <c r="BV10" s="17">
        <f t="shared" si="36"/>
        <v>1.0557436972531311E-3</v>
      </c>
      <c r="BW10" s="17">
        <f t="shared" si="36"/>
        <v>1</v>
      </c>
      <c r="BX10" s="17">
        <f t="shared" si="36"/>
        <v>1</v>
      </c>
      <c r="BY10" s="17">
        <f t="shared" si="36"/>
        <v>1</v>
      </c>
      <c r="BZ10" s="17">
        <f t="shared" si="36"/>
        <v>1</v>
      </c>
      <c r="CA10" s="32">
        <f t="shared" si="36"/>
        <v>1</v>
      </c>
      <c r="CB10" s="17">
        <f t="shared" ref="CB10:CH10" si="37">SUM(CB2:CB9)</f>
        <v>1.0000000000000002</v>
      </c>
      <c r="CC10" s="17">
        <f t="shared" si="37"/>
        <v>1</v>
      </c>
      <c r="CD10" s="17">
        <f t="shared" si="37"/>
        <v>0.99999999999999989</v>
      </c>
      <c r="CE10" s="32">
        <f t="shared" si="37"/>
        <v>1.2635422088249659E-3</v>
      </c>
      <c r="CF10" s="32">
        <f t="shared" si="37"/>
        <v>0.99999999999999978</v>
      </c>
      <c r="CG10" s="17">
        <f t="shared" si="37"/>
        <v>0.99999999999999989</v>
      </c>
      <c r="CH10" s="17">
        <f t="shared" si="37"/>
        <v>1</v>
      </c>
    </row>
    <row r="11" spans="1:86" ht="14.5" x14ac:dyDescent="0.35">
      <c r="C11" s="27" t="s">
        <v>59</v>
      </c>
      <c r="D11" s="5">
        <f t="shared" ref="D11:Q11" si="38">SUM(D2:D9)</f>
        <v>1.125</v>
      </c>
      <c r="E11" s="5">
        <f t="shared" si="38"/>
        <v>28</v>
      </c>
      <c r="F11" s="5">
        <f t="shared" si="38"/>
        <v>70</v>
      </c>
      <c r="G11" s="5">
        <f t="shared" si="38"/>
        <v>159</v>
      </c>
      <c r="H11" s="5">
        <f t="shared" si="38"/>
        <v>305</v>
      </c>
      <c r="I11" s="5">
        <f t="shared" si="38"/>
        <v>33</v>
      </c>
      <c r="J11" s="5">
        <f t="shared" si="38"/>
        <v>68</v>
      </c>
      <c r="K11" s="5">
        <f t="shared" si="38"/>
        <v>122.59</v>
      </c>
      <c r="L11" s="5">
        <f t="shared" si="38"/>
        <v>7.7999999999999989</v>
      </c>
      <c r="M11" s="5">
        <f t="shared" si="38"/>
        <v>134400</v>
      </c>
      <c r="N11" s="5">
        <f t="shared" si="38"/>
        <v>1780800</v>
      </c>
      <c r="O11" s="5">
        <f t="shared" si="38"/>
        <v>142.5</v>
      </c>
      <c r="P11" s="5">
        <f t="shared" si="38"/>
        <v>72</v>
      </c>
      <c r="Q11" s="5">
        <f t="shared" si="38"/>
        <v>15</v>
      </c>
      <c r="R11" s="5"/>
      <c r="S11" s="5"/>
      <c r="T11" s="5"/>
      <c r="U11" s="8"/>
      <c r="V11" s="8"/>
      <c r="W11" s="8"/>
      <c r="X11" s="8"/>
      <c r="Y11" s="18"/>
      <c r="Z11" s="8"/>
      <c r="AA11" s="8"/>
      <c r="AB11" s="8"/>
      <c r="AC11" s="5"/>
      <c r="AD11" s="5"/>
      <c r="AE11" s="5"/>
      <c r="AF11" s="5"/>
      <c r="AG11" s="5"/>
      <c r="AH11" s="5"/>
      <c r="AI11" s="5" t="str">
        <f>AJ10</f>
        <v>Стоимость покуки, тыс руб</v>
      </c>
      <c r="AJ11" s="5">
        <v>1</v>
      </c>
      <c r="AK11" s="5">
        <f>1/7</f>
        <v>0.14285714285714285</v>
      </c>
      <c r="AL11" s="5">
        <f>1/5</f>
        <v>0.2</v>
      </c>
      <c r="AM11" s="5"/>
      <c r="AN11" s="5">
        <f t="shared" ref="AN11:AN13" si="39">AJ11*AL11*AK11</f>
        <v>2.8571428571428571E-2</v>
      </c>
      <c r="AO11" s="5">
        <f t="shared" ref="AO11:AO13" si="40">POWER(AN11,(1/3))</f>
        <v>0.30571070873287992</v>
      </c>
      <c r="AP11" s="21">
        <f t="shared" ref="AP11:AP13" si="41">AO11/$AO$14</f>
        <v>7.1927429882256477E-2</v>
      </c>
      <c r="AQ11" s="5"/>
      <c r="AR11" s="5">
        <f>AJ11*AP11+AK11*AP12+AL11*AP13</f>
        <v>0.2204494864983009</v>
      </c>
      <c r="AS11" s="5">
        <f t="shared" ref="AS11:AS13" si="42">AR11/AP11</f>
        <v>3.0648875798728183</v>
      </c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27" t="s">
        <v>44</v>
      </c>
      <c r="BI11" s="5">
        <f t="shared" si="34"/>
        <v>0.28839824927020835</v>
      </c>
      <c r="BJ11" s="5" t="str">
        <f>L1</f>
        <v>Кроп-фактор</v>
      </c>
      <c r="BK11" s="5">
        <f t="shared" si="35"/>
        <v>6.5536735215226433E-2</v>
      </c>
      <c r="BL11" s="16">
        <f t="shared" si="16"/>
        <v>1.8900679698956514E-2</v>
      </c>
      <c r="BM11" s="5"/>
      <c r="BN11" s="5"/>
      <c r="BP11" s="11"/>
    </row>
    <row r="12" spans="1:86" ht="14.5" x14ac:dyDescent="0.35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8"/>
      <c r="V12" s="8"/>
      <c r="W12" s="8"/>
      <c r="X12" s="8"/>
      <c r="Y12" s="18"/>
      <c r="Z12" s="8"/>
      <c r="AA12" s="8"/>
      <c r="AB12" s="8"/>
      <c r="AC12" s="5"/>
      <c r="AD12" s="5"/>
      <c r="AE12" s="5"/>
      <c r="AF12" s="5"/>
      <c r="AG12" s="5"/>
      <c r="AH12" s="5"/>
      <c r="AI12" s="5" t="str">
        <f>AK10</f>
        <v>Срок гарантии, мес</v>
      </c>
      <c r="AJ12" s="5">
        <f>1/AK11</f>
        <v>7</v>
      </c>
      <c r="AK12" s="5">
        <v>1</v>
      </c>
      <c r="AL12" s="5">
        <v>3</v>
      </c>
      <c r="AM12" s="5"/>
      <c r="AN12" s="5">
        <f t="shared" si="39"/>
        <v>21</v>
      </c>
      <c r="AO12" s="5">
        <f t="shared" si="40"/>
        <v>2.7589241763811208</v>
      </c>
      <c r="AP12" s="21">
        <f t="shared" si="41"/>
        <v>0.6491180046313253</v>
      </c>
      <c r="AQ12" s="5"/>
      <c r="AR12" s="5">
        <f>AJ12*AP11+AK12*AP12+AL12*AP13</f>
        <v>1.9894737102663755</v>
      </c>
      <c r="AS12" s="5">
        <f t="shared" si="42"/>
        <v>3.0648875798728183</v>
      </c>
      <c r="AT12" s="5"/>
      <c r="AU12" s="27" t="s">
        <v>66</v>
      </c>
      <c r="AV12" s="5" t="s">
        <v>32</v>
      </c>
      <c r="AW12" s="5" t="s">
        <v>33</v>
      </c>
      <c r="AX12" s="5" t="s">
        <v>34</v>
      </c>
      <c r="AY12" s="5" t="s">
        <v>35</v>
      </c>
      <c r="AZ12" s="5"/>
      <c r="BA12" s="5"/>
      <c r="BB12" s="5"/>
      <c r="BC12" s="5"/>
      <c r="BD12" s="5"/>
      <c r="BE12" s="5"/>
      <c r="BF12" s="5"/>
      <c r="BG12" s="5"/>
      <c r="BH12" s="27" t="s">
        <v>44</v>
      </c>
      <c r="BI12" s="5">
        <f t="shared" si="34"/>
        <v>0.28839824927020835</v>
      </c>
      <c r="BJ12" s="5" t="str">
        <f>M1</f>
        <v>Максимальная чувствительность (ISO)</v>
      </c>
      <c r="BK12" s="5">
        <f t="shared" si="35"/>
        <v>0.49952042054991475</v>
      </c>
      <c r="BL12" s="16">
        <f t="shared" si="16"/>
        <v>0.14406081476131363</v>
      </c>
      <c r="BM12" s="5"/>
      <c r="BN12" s="5"/>
      <c r="BP12" s="11"/>
    </row>
    <row r="13" spans="1:86" ht="14.5" x14ac:dyDescent="0.35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8"/>
      <c r="V13" s="8"/>
      <c r="W13" s="8"/>
      <c r="X13" s="8"/>
      <c r="Y13" s="18"/>
      <c r="Z13" s="8"/>
      <c r="AA13" s="8"/>
      <c r="AB13" s="8"/>
      <c r="AC13" s="5"/>
      <c r="AD13" s="5"/>
      <c r="AE13" s="5"/>
      <c r="AF13" s="5"/>
      <c r="AG13" s="5"/>
      <c r="AH13" s="5"/>
      <c r="AI13" s="5" t="str">
        <f>AL10</f>
        <v>Акции,скидки,предложения</v>
      </c>
      <c r="AJ13" s="5">
        <f>1/AL11</f>
        <v>5</v>
      </c>
      <c r="AK13" s="5">
        <f>1/AL12</f>
        <v>0.33333333333333331</v>
      </c>
      <c r="AL13" s="5">
        <v>1</v>
      </c>
      <c r="AM13" s="5"/>
      <c r="AN13" s="5">
        <f t="shared" si="39"/>
        <v>1.6666666666666665</v>
      </c>
      <c r="AO13" s="5">
        <f t="shared" si="40"/>
        <v>1.1856311014966876</v>
      </c>
      <c r="AP13" s="21">
        <f t="shared" si="41"/>
        <v>0.27895456548641834</v>
      </c>
      <c r="AQ13" s="5"/>
      <c r="AR13" s="5">
        <f>AJ13*AP11+AK13*AP12+AL13*AP13</f>
        <v>0.85496438310814238</v>
      </c>
      <c r="AS13" s="5">
        <f t="shared" si="42"/>
        <v>3.0648875798728183</v>
      </c>
      <c r="AT13" s="5"/>
      <c r="AU13" s="5" t="str">
        <f>AV12</f>
        <v>Общее число пикселей, Мп</v>
      </c>
      <c r="AV13" s="5">
        <v>1</v>
      </c>
      <c r="AW13" s="5">
        <v>3</v>
      </c>
      <c r="AX13" s="5">
        <v>0.33333333333333331</v>
      </c>
      <c r="AY13" s="5">
        <v>0.33333333333333331</v>
      </c>
      <c r="AZ13" s="5"/>
      <c r="BA13" s="5">
        <f t="shared" ref="BA13:BA16" si="43">AV13*AX13*AW13*AY13</f>
        <v>0.33333333333333331</v>
      </c>
      <c r="BB13" s="5">
        <f t="shared" ref="BB13:BB16" si="44">POWER(BA13,(1/4))</f>
        <v>0.75983568565159254</v>
      </c>
      <c r="BC13" s="21">
        <f>BB13/BB17</f>
        <v>0.14654459496465058</v>
      </c>
      <c r="BD13" s="28"/>
      <c r="BE13" s="5">
        <f>AV13*BC13+AW13*BC14+AX13*BC15+AY13*BC16</f>
        <v>0.60579435721703756</v>
      </c>
      <c r="BF13" s="5">
        <f t="shared" ref="BF13:BF15" si="45">BE13/BC13</f>
        <v>4.1338567100558503</v>
      </c>
      <c r="BG13" s="5"/>
      <c r="BH13" s="27" t="s">
        <v>44</v>
      </c>
      <c r="BI13" s="5">
        <f t="shared" si="34"/>
        <v>0.28839824927020835</v>
      </c>
      <c r="BJ13" s="5" t="str">
        <f>N1</f>
        <v>Расширенная максимальная чувствительность (ISO)</v>
      </c>
      <c r="BK13" s="5">
        <f t="shared" si="35"/>
        <v>0.28839824927020835</v>
      </c>
      <c r="BL13" s="16">
        <f t="shared" si="16"/>
        <v>8.3173550182121234E-2</v>
      </c>
      <c r="BM13" s="5"/>
      <c r="BN13" s="5"/>
      <c r="BO13" s="38" t="s">
        <v>72</v>
      </c>
      <c r="BP13" s="11" t="s">
        <v>15</v>
      </c>
    </row>
    <row r="14" spans="1:86" ht="14.5" x14ac:dyDescent="0.35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8"/>
      <c r="V14" s="8"/>
      <c r="W14" s="8"/>
      <c r="X14" s="8"/>
      <c r="Y14" s="18"/>
      <c r="Z14" s="8"/>
      <c r="AA14" s="8"/>
      <c r="AB14" s="8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>
        <f t="shared" ref="AO14:AP14" si="46">AO11+AO12+AO13</f>
        <v>4.250265986610688</v>
      </c>
      <c r="AP14" s="22">
        <f t="shared" si="46"/>
        <v>1</v>
      </c>
      <c r="AQ14" s="6"/>
      <c r="AR14" s="5"/>
      <c r="AS14" s="5">
        <f>(AS11+AS12+AS13)/3</f>
        <v>3.0648875798728183</v>
      </c>
      <c r="AT14" s="5"/>
      <c r="AU14" s="5" t="str">
        <f>AW12</f>
        <v>Кроп-фактор</v>
      </c>
      <c r="AV14" s="5">
        <f>1/AW13</f>
        <v>0.33333333333333331</v>
      </c>
      <c r="AW14" s="5">
        <v>1</v>
      </c>
      <c r="AX14" s="5">
        <v>0.2</v>
      </c>
      <c r="AY14" s="5">
        <v>0.2</v>
      </c>
      <c r="AZ14" s="5"/>
      <c r="BA14" s="5">
        <f t="shared" si="43"/>
        <v>1.3333333333333334E-2</v>
      </c>
      <c r="BB14" s="5">
        <f t="shared" si="44"/>
        <v>0.33980884896942454</v>
      </c>
      <c r="BC14" s="21">
        <f>BB14/BB17</f>
        <v>6.5536735215226433E-2</v>
      </c>
      <c r="BD14" s="28"/>
      <c r="BE14" s="5">
        <f>AV14*BC13+AW14*BC14+AX14*BC15+AY14*BC16</f>
        <v>0.27196866750080123</v>
      </c>
      <c r="BF14" s="5">
        <f t="shared" si="45"/>
        <v>4.1498659737571666</v>
      </c>
      <c r="BG14" s="5"/>
      <c r="BH14" s="27" t="s">
        <v>45</v>
      </c>
      <c r="BI14" s="5">
        <f t="shared" ref="BI14:BI16" si="47">$AD$6</f>
        <v>0.49952042054991475</v>
      </c>
      <c r="BJ14" s="5" t="str">
        <f>O1</f>
        <v>Стоимость покуки, тыс руб</v>
      </c>
      <c r="BK14" s="5">
        <f t="shared" ref="BK14:BK16" si="48">AP11</f>
        <v>7.1927429882256477E-2</v>
      </c>
      <c r="BL14" s="16">
        <f t="shared" si="16"/>
        <v>3.592922002385926E-2</v>
      </c>
      <c r="BM14" s="5"/>
      <c r="BN14" s="5"/>
      <c r="BO14" s="38" t="s">
        <v>73</v>
      </c>
      <c r="BP14" s="11" t="str">
        <f t="shared" ref="BP14:BP18" si="49">C2</f>
        <v>Canon EOS 850D Kit 18-135mm IS USM</v>
      </c>
      <c r="BQ14" s="9">
        <f>$BL$3*BR2+$BL$4*BS2+$BL$5*BU2+$BL$6*BW2+$BL$7*BX2+$BL$8*BY2+$BL$9*BZ2+$BL$10*CA2+$BL$11*CB2+$BL$12*CC2+$BL$13*CD2+$BL$14*CF2+$BL$15*CG2+$BL$16*CH2</f>
        <v>0.18639883752461983</v>
      </c>
    </row>
    <row r="15" spans="1:86" ht="14.5" x14ac:dyDescent="0.35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8"/>
      <c r="V15" s="8"/>
      <c r="W15" s="8"/>
      <c r="X15" s="8"/>
      <c r="Y15" s="8"/>
      <c r="Z15" s="8"/>
      <c r="AA15" s="8"/>
      <c r="AB15" s="8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25" t="s">
        <v>0</v>
      </c>
      <c r="AS15" s="25">
        <f>(AS14-3)/2</f>
        <v>3.2443789936409173E-2</v>
      </c>
      <c r="AT15" s="5"/>
      <c r="AU15" s="5" t="str">
        <f>AX12</f>
        <v>Максимальная чувствительность (ISO)</v>
      </c>
      <c r="AV15" s="5">
        <f>1/AX13</f>
        <v>3</v>
      </c>
      <c r="AW15" s="5">
        <f>1/AX14</f>
        <v>5</v>
      </c>
      <c r="AX15" s="5">
        <v>1</v>
      </c>
      <c r="AY15" s="5">
        <v>3</v>
      </c>
      <c r="AZ15" s="5"/>
      <c r="BA15" s="5">
        <f t="shared" si="43"/>
        <v>45</v>
      </c>
      <c r="BB15" s="5">
        <f t="shared" si="44"/>
        <v>2.5900200641113513</v>
      </c>
      <c r="BC15" s="21">
        <f>BB15/BB17</f>
        <v>0.49952042054991475</v>
      </c>
      <c r="BD15" s="28"/>
      <c r="BE15" s="5">
        <f>AV15*BC13+AW15*BC14+AX15*BC15+AY15*BC16</f>
        <v>2.1320326293306238</v>
      </c>
      <c r="BF15" s="5">
        <f t="shared" si="45"/>
        <v>4.2681591014507481</v>
      </c>
      <c r="BG15" s="5"/>
      <c r="BH15" s="27" t="s">
        <v>45</v>
      </c>
      <c r="BI15" s="5">
        <f t="shared" si="47"/>
        <v>0.49952042054991475</v>
      </c>
      <c r="BJ15" s="5" t="str">
        <f>P1</f>
        <v>Срок гарантии, мес</v>
      </c>
      <c r="BK15" s="5">
        <f t="shared" si="48"/>
        <v>0.6491180046313253</v>
      </c>
      <c r="BL15" s="16">
        <f t="shared" si="16"/>
        <v>0.32424769865996111</v>
      </c>
      <c r="BM15" s="5"/>
      <c r="BN15" s="5"/>
      <c r="BP15" s="11" t="str">
        <f t="shared" si="49"/>
        <v>Nikon D3500 Kit 18-55mm VR AF-P</v>
      </c>
      <c r="BQ15" s="9">
        <f t="shared" ref="BQ15:BQ18" si="50">$BL$3*BR3+$BL$4*BS3+$BL$5*BU3+$BL$6*BW3+$BL$7*BX3+$BL$8*BY3+$BL$9*BZ3+$BL$10*CA3+$BL$11*CB3+$BL$12*CC3+$BL$13*CD3+$BL$14*CF3+$BL$15*CG3+$BL$16*CH3</f>
        <v>0.1381549382577793</v>
      </c>
    </row>
    <row r="16" spans="1:86" ht="14.5" x14ac:dyDescent="0.35">
      <c r="C16" s="5"/>
      <c r="D16" s="5"/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8"/>
      <c r="V16" s="8"/>
      <c r="W16" s="8"/>
      <c r="X16" s="8"/>
      <c r="Y16" s="8"/>
      <c r="Z16" s="8"/>
      <c r="AA16" s="8"/>
      <c r="AB16" s="8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25" t="s">
        <v>1</v>
      </c>
      <c r="AS16" s="25">
        <f>AS15/0.58*100</f>
        <v>5.5937568855877888</v>
      </c>
      <c r="AT16" s="5"/>
      <c r="AU16" s="5" t="str">
        <f>AY12</f>
        <v>Расширенная максимальная чувствительность (ISO)</v>
      </c>
      <c r="AV16" s="5">
        <f>1/AY13</f>
        <v>3</v>
      </c>
      <c r="AW16" s="5">
        <f>1/AY14</f>
        <v>5</v>
      </c>
      <c r="AX16" s="5">
        <f>1/AY15</f>
        <v>0.33333333333333331</v>
      </c>
      <c r="AY16" s="5">
        <v>1</v>
      </c>
      <c r="AZ16" s="5"/>
      <c r="BA16" s="5">
        <f t="shared" si="43"/>
        <v>5</v>
      </c>
      <c r="BB16" s="5">
        <f t="shared" si="44"/>
        <v>1.4953487812212205</v>
      </c>
      <c r="BC16" s="21">
        <f>BB16/BB17</f>
        <v>0.28839824927020835</v>
      </c>
      <c r="BD16" s="28"/>
      <c r="BE16" s="5">
        <f>AV16*BC13+AW16*BC14+AX16*BC15+AY16*BC16</f>
        <v>1.2222225170902639</v>
      </c>
      <c r="BF16" s="5">
        <f>(BF13+BF14+BF15)/3</f>
        <v>4.183960595087922</v>
      </c>
      <c r="BG16" s="5"/>
      <c r="BH16" s="27" t="s">
        <v>45</v>
      </c>
      <c r="BI16" s="5">
        <f t="shared" si="47"/>
        <v>0.49952042054991475</v>
      </c>
      <c r="BJ16" s="5" t="str">
        <f>Q1</f>
        <v>Акции,скидки,предложения</v>
      </c>
      <c r="BK16" s="5">
        <f t="shared" si="48"/>
        <v>0.27895456548641834</v>
      </c>
      <c r="BL16" s="16">
        <f t="shared" si="16"/>
        <v>0.13934350186609443</v>
      </c>
      <c r="BM16" s="5"/>
      <c r="BN16" s="5"/>
      <c r="BP16" s="11" t="str">
        <f t="shared" si="49"/>
        <v>Nikon D7500 Kit 18-140mm VR</v>
      </c>
      <c r="BQ16" s="9">
        <f t="shared" si="50"/>
        <v>0.34524195264940405</v>
      </c>
    </row>
    <row r="17" spans="3:70" ht="14.5" x14ac:dyDescent="0.35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8"/>
      <c r="V17" s="8"/>
      <c r="W17" s="8"/>
      <c r="X17" s="8"/>
      <c r="Y17" s="8"/>
      <c r="Z17" s="8"/>
      <c r="AA17" s="8"/>
      <c r="AB17" s="8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>
        <f t="shared" ref="BB17:BC17" si="51">SUM(BB13:BB16)</f>
        <v>5.1850133799535882</v>
      </c>
      <c r="BC17" s="22">
        <f t="shared" si="51"/>
        <v>1.0000000000000002</v>
      </c>
      <c r="BD17" s="29"/>
      <c r="BE17" s="5"/>
      <c r="BF17" s="5">
        <f>(BF13+BF14+BF15+BF16)/4</f>
        <v>4.183960595087922</v>
      </c>
      <c r="BG17" s="5"/>
      <c r="BH17" s="5"/>
      <c r="BI17" s="5"/>
      <c r="BJ17" s="5"/>
      <c r="BK17" s="6">
        <f t="shared" ref="BK17:BL17" si="52">SUM(BK3:BK16)</f>
        <v>4</v>
      </c>
      <c r="BL17" s="6">
        <f t="shared" si="52"/>
        <v>1.0000000000000002</v>
      </c>
      <c r="BM17" s="5"/>
      <c r="BN17" s="5"/>
      <c r="BP17" s="11" t="str">
        <f t="shared" si="49"/>
        <v>Canon EOS 250D Kit 18-55mm IS STM</v>
      </c>
      <c r="BQ17" s="9">
        <f t="shared" si="50"/>
        <v>0.16045721696163232</v>
      </c>
    </row>
    <row r="18" spans="3:70" ht="14.5" x14ac:dyDescent="0.35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25" t="s">
        <v>0</v>
      </c>
      <c r="BF18" s="25">
        <f>(BF16-4)/3</f>
        <v>6.1320198362640653E-2</v>
      </c>
      <c r="BG18" s="5"/>
      <c r="BH18" s="5"/>
      <c r="BI18" s="5"/>
      <c r="BJ18" s="5"/>
      <c r="BK18" s="5"/>
      <c r="BL18" s="5"/>
      <c r="BM18" s="5"/>
      <c r="BN18" s="5"/>
      <c r="BP18" s="11" t="str">
        <f t="shared" si="49"/>
        <v>Canon EOS 2000D Kit 18-55mm DC</v>
      </c>
      <c r="BQ18" s="9">
        <f t="shared" si="50"/>
        <v>0.1697470546065647</v>
      </c>
    </row>
    <row r="19" spans="3:70" ht="14.5" x14ac:dyDescent="0.3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25" t="s">
        <v>1</v>
      </c>
      <c r="BF19" s="25">
        <f>BF18/0.9*100</f>
        <v>6.8133553736267398</v>
      </c>
      <c r="BG19" s="5"/>
      <c r="BH19" s="5"/>
      <c r="BI19" s="5"/>
      <c r="BJ19" s="5"/>
      <c r="BK19" s="5"/>
      <c r="BL19" s="5"/>
      <c r="BM19" s="5"/>
      <c r="BN19" s="5"/>
      <c r="BP19" s="11"/>
      <c r="BQ19" s="9">
        <f>SUM(BQ14:BQ18)</f>
        <v>1.0000000000000002</v>
      </c>
      <c r="BR19" s="19"/>
    </row>
    <row r="20" spans="3:70" ht="14.5" x14ac:dyDescent="0.35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 t="s">
        <v>16</v>
      </c>
      <c r="BJ20" s="5" t="s">
        <v>0</v>
      </c>
      <c r="BK20" s="5" t="s">
        <v>17</v>
      </c>
      <c r="BL20" s="5" t="s">
        <v>18</v>
      </c>
      <c r="BM20" s="5" t="s">
        <v>19</v>
      </c>
      <c r="BN20" s="5"/>
      <c r="BP20" s="11"/>
      <c r="BQ20" s="19"/>
      <c r="BR20" s="19"/>
    </row>
    <row r="21" spans="3:70" ht="15.75" customHeight="1" x14ac:dyDescent="0.3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27" t="s">
        <v>67</v>
      </c>
      <c r="BH21" s="27" t="s">
        <v>42</v>
      </c>
      <c r="BI21" s="30">
        <f>$AD$3</f>
        <v>0.14654459496465058</v>
      </c>
      <c r="BJ21" s="20">
        <f>AS7</f>
        <v>1.925554527908524E-2</v>
      </c>
      <c r="BK21" s="20">
        <f t="shared" ref="BK21:BK24" si="53">BI21*BJ21</f>
        <v>2.8217960837470363E-3</v>
      </c>
      <c r="BL21" s="5">
        <v>0.57999999999999996</v>
      </c>
      <c r="BM21" s="5">
        <f t="shared" ref="BM21:BM24" si="54">BL21*BI21</f>
        <v>8.4995865079497329E-2</v>
      </c>
      <c r="BN21" s="5"/>
      <c r="BP21" s="11"/>
      <c r="BQ21" s="19"/>
      <c r="BR21" s="19"/>
    </row>
    <row r="22" spans="3:70" ht="15.75" customHeight="1" x14ac:dyDescent="0.35">
      <c r="C22" s="5"/>
      <c r="D22" s="5"/>
      <c r="E22" s="5"/>
      <c r="F22" s="5"/>
      <c r="G22" s="5"/>
      <c r="H22" s="5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27" t="s">
        <v>43</v>
      </c>
      <c r="BI22" s="30">
        <f>$AD$4</f>
        <v>6.5536735215226433E-2</v>
      </c>
      <c r="BJ22" s="20">
        <f>BF8</f>
        <v>4.5788494487155461E-2</v>
      </c>
      <c r="BK22" s="20">
        <f t="shared" si="53"/>
        <v>3.0008284391085625E-3</v>
      </c>
      <c r="BL22" s="5">
        <v>0.9</v>
      </c>
      <c r="BM22" s="5">
        <f t="shared" si="54"/>
        <v>5.8983061693703792E-2</v>
      </c>
      <c r="BN22" s="5"/>
      <c r="BQ22" s="19"/>
      <c r="BR22" s="19"/>
    </row>
    <row r="23" spans="3:70" ht="15.75" customHeight="1" x14ac:dyDescent="0.3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27" t="s">
        <v>44</v>
      </c>
      <c r="BI23" s="30">
        <f>$AD$5</f>
        <v>0.28839824927020835</v>
      </c>
      <c r="BJ23" s="20">
        <f>BF18</f>
        <v>6.1320198362640653E-2</v>
      </c>
      <c r="BK23" s="20">
        <f t="shared" si="53"/>
        <v>1.7684637852687462E-2</v>
      </c>
      <c r="BL23" s="5">
        <v>0.9</v>
      </c>
      <c r="BM23" s="5">
        <f t="shared" si="54"/>
        <v>0.25955842434318754</v>
      </c>
      <c r="BN23" s="5"/>
      <c r="BP23" s="11"/>
    </row>
    <row r="24" spans="3:70" ht="15.75" customHeight="1" x14ac:dyDescent="0.3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27" t="s">
        <v>45</v>
      </c>
      <c r="BI24" s="30">
        <f>$AD$6</f>
        <v>0.49952042054991475</v>
      </c>
      <c r="BJ24" s="20">
        <f>AS15</f>
        <v>3.2443789936409173E-2</v>
      </c>
      <c r="BK24" s="20">
        <f t="shared" si="53"/>
        <v>1.6206335593268201E-2</v>
      </c>
      <c r="BL24" s="5">
        <v>0.57999999999999996</v>
      </c>
      <c r="BM24" s="5">
        <f t="shared" si="54"/>
        <v>0.28972184391895051</v>
      </c>
      <c r="BN24" s="5"/>
      <c r="BP24" s="11"/>
    </row>
    <row r="25" spans="3:70" ht="15.75" customHeight="1" x14ac:dyDescent="0.3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</row>
    <row r="26" spans="3:70" ht="15.75" customHeight="1" x14ac:dyDescent="0.3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 t="s">
        <v>20</v>
      </c>
      <c r="BK26" s="20">
        <f>SUM(BK21:BK24)</f>
        <v>3.9713597968811264E-2</v>
      </c>
      <c r="BL26" s="5"/>
      <c r="BM26" s="5"/>
      <c r="BN26" s="5"/>
    </row>
    <row r="27" spans="3:70" ht="15.75" customHeight="1" x14ac:dyDescent="0.3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 t="s">
        <v>21</v>
      </c>
      <c r="BK27" s="20">
        <f>SUM(BM21:BM24)</f>
        <v>0.69325919503533917</v>
      </c>
      <c r="BL27" s="5"/>
      <c r="BM27" s="5"/>
      <c r="BN27" s="5"/>
    </row>
    <row r="28" spans="3:70" ht="15.75" customHeight="1" x14ac:dyDescent="0.35"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 t="s">
        <v>22</v>
      </c>
      <c r="BK28" s="20">
        <f>BK26/BK27</f>
        <v>5.728535337607292E-2</v>
      </c>
      <c r="BL28" s="5"/>
      <c r="BM28" s="5"/>
      <c r="BN28" s="5"/>
    </row>
    <row r="29" spans="3:70" ht="15.75" customHeight="1" x14ac:dyDescent="0.3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 t="s">
        <v>23</v>
      </c>
      <c r="BK29" s="5">
        <f>BK28*100</f>
        <v>5.7285353376072923</v>
      </c>
      <c r="BL29" s="5"/>
      <c r="BM29" s="5"/>
      <c r="BN29" s="5"/>
    </row>
    <row r="30" spans="3:70" ht="15.75" customHeight="1" x14ac:dyDescent="0.3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>
        <f>AG8+BK26</f>
        <v>0.10553440341753925</v>
      </c>
      <c r="BL30" s="5"/>
      <c r="BM30" s="5"/>
      <c r="BN30" s="5"/>
    </row>
    <row r="31" spans="3:70" ht="15.75" customHeight="1" x14ac:dyDescent="0.3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>
        <f>BK27+0.9</f>
        <v>1.5932591950353392</v>
      </c>
      <c r="BL31" s="5"/>
      <c r="BM31" s="5"/>
      <c r="BN31" s="5"/>
      <c r="BP31" s="9" t="s">
        <v>24</v>
      </c>
    </row>
    <row r="32" spans="3:70" ht="15.75" customHeight="1" x14ac:dyDescent="0.3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>
        <f>BK30/BK31</f>
        <v>6.6238063302185082E-2</v>
      </c>
      <c r="BL32" s="5"/>
      <c r="BM32" s="5"/>
      <c r="BN32" s="5"/>
      <c r="BP32" s="11" t="str">
        <f>BP16</f>
        <v>Nikon D7500 Kit 18-140mm VR</v>
      </c>
      <c r="BQ32" s="9">
        <f>$BQ$16</f>
        <v>0.34524195264940405</v>
      </c>
    </row>
    <row r="33" spans="3:69" ht="15.75" customHeight="1" x14ac:dyDescent="0.3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P33" s="11" t="str">
        <f>BP14</f>
        <v>Canon EOS 850D Kit 18-135mm IS USM</v>
      </c>
      <c r="BQ33" s="9">
        <f>$BQ$14</f>
        <v>0.18639883752461983</v>
      </c>
    </row>
    <row r="34" spans="3:69" ht="15.75" customHeight="1" x14ac:dyDescent="0.3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P34" s="11" t="str">
        <f>BP18</f>
        <v>Canon EOS 2000D Kit 18-55mm DC</v>
      </c>
      <c r="BQ34" s="9">
        <f>$BQ$18</f>
        <v>0.1697470546065647</v>
      </c>
    </row>
    <row r="35" spans="3:69" ht="15.75" customHeight="1" x14ac:dyDescent="0.3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P35" s="11" t="str">
        <f>BP17</f>
        <v>Canon EOS 250D Kit 18-55mm IS STM</v>
      </c>
      <c r="BQ35" s="9">
        <f>$BQ$17</f>
        <v>0.16045721696163232</v>
      </c>
    </row>
    <row r="36" spans="3:69" ht="15.75" customHeight="1" x14ac:dyDescent="0.3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P36" s="11" t="str">
        <f>BP15</f>
        <v>Nikon D3500 Kit 18-55mm VR AF-P</v>
      </c>
      <c r="BQ36" s="9">
        <f>$BQ$15</f>
        <v>0.1381549382577793</v>
      </c>
    </row>
    <row r="37" spans="3:69" ht="15.75" customHeight="1" x14ac:dyDescent="0.3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</row>
    <row r="38" spans="3:69" ht="15.75" customHeight="1" x14ac:dyDescent="0.3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</row>
    <row r="39" spans="3:69" ht="15.75" customHeight="1" x14ac:dyDescent="0.3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</row>
    <row r="40" spans="3:69" ht="15.75" customHeight="1" x14ac:dyDescent="0.3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</row>
    <row r="41" spans="3:69" ht="15.75" customHeight="1" x14ac:dyDescent="0.3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</row>
    <row r="42" spans="3:69" ht="15.75" customHeight="1" x14ac:dyDescent="0.3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</row>
    <row r="43" spans="3:69" ht="15.75" customHeight="1" x14ac:dyDescent="0.3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</row>
    <row r="44" spans="3:69" ht="15.75" customHeight="1" x14ac:dyDescent="0.3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</row>
    <row r="45" spans="3:69" ht="15.75" customHeight="1" x14ac:dyDescent="0.3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</row>
    <row r="46" spans="3:69" ht="15.75" customHeight="1" x14ac:dyDescent="0.3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</row>
    <row r="47" spans="3:69" ht="15.75" customHeight="1" x14ac:dyDescent="0.3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</row>
    <row r="48" spans="3:69" ht="15.75" customHeight="1" x14ac:dyDescent="0.3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</row>
    <row r="49" spans="3:66" ht="15.75" customHeight="1" x14ac:dyDescent="0.3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</row>
    <row r="50" spans="3:66" ht="15.75" customHeight="1" x14ac:dyDescent="0.3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</row>
    <row r="51" spans="3:66" ht="15.75" customHeight="1" x14ac:dyDescent="0.3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</row>
    <row r="52" spans="3:66" ht="15.75" customHeight="1" x14ac:dyDescent="0.3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</row>
    <row r="53" spans="3:66" ht="15.75" customHeight="1" x14ac:dyDescent="0.3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</row>
    <row r="54" spans="3:66" ht="15.75" customHeight="1" x14ac:dyDescent="0.3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</row>
    <row r="55" spans="3:66" ht="15.75" customHeight="1" x14ac:dyDescent="0.3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</row>
    <row r="56" spans="3:66" ht="15.75" customHeight="1" x14ac:dyDescent="0.3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</row>
    <row r="57" spans="3:66" ht="15.75" customHeight="1" x14ac:dyDescent="0.3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</row>
    <row r="58" spans="3:66" ht="15.75" customHeight="1" x14ac:dyDescent="0.3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</row>
    <row r="59" spans="3:66" ht="15.75" customHeight="1" x14ac:dyDescent="0.3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</row>
    <row r="60" spans="3:66" ht="15.75" customHeight="1" x14ac:dyDescent="0.3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</row>
    <row r="61" spans="3:66" ht="15.75" customHeight="1" x14ac:dyDescent="0.35"/>
    <row r="62" spans="3:66" ht="15.75" customHeight="1" x14ac:dyDescent="0.35"/>
    <row r="63" spans="3:66" ht="15.75" customHeight="1" x14ac:dyDescent="0.35"/>
    <row r="64" spans="3:66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</sheetData>
  <mergeCells count="1">
    <mergeCell ref="B1:B7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97"/>
  <sheetViews>
    <sheetView tabSelected="1" topLeftCell="A43" workbookViewId="0">
      <selection activeCell="C75" sqref="C75"/>
    </sheetView>
  </sheetViews>
  <sheetFormatPr defaultColWidth="14.453125" defaultRowHeight="15" customHeight="1" x14ac:dyDescent="0.35"/>
  <cols>
    <col min="1" max="12" width="11.08984375" style="9" customWidth="1"/>
    <col min="13" max="90" width="11.08984375" style="43" customWidth="1"/>
    <col min="91" max="16384" width="14.453125" style="43"/>
  </cols>
  <sheetData>
    <row r="1" spans="1:86" s="9" customFormat="1" ht="14.5" customHeight="1" x14ac:dyDescent="0.35">
      <c r="A1" s="119" t="s">
        <v>52</v>
      </c>
      <c r="B1" s="119"/>
      <c r="C1" s="119"/>
      <c r="D1" s="119"/>
      <c r="E1" s="119"/>
      <c r="F1" s="118" t="s">
        <v>115</v>
      </c>
      <c r="G1" s="118"/>
      <c r="H1" s="118"/>
      <c r="I1" s="7"/>
      <c r="J1" s="7"/>
      <c r="K1" s="8"/>
      <c r="L1" s="8"/>
      <c r="M1" s="8"/>
      <c r="N1" s="8"/>
      <c r="O1" s="26"/>
      <c r="P1" s="26"/>
      <c r="Q1" s="26"/>
      <c r="R1" s="5"/>
      <c r="S1" s="5"/>
      <c r="T1" s="27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38"/>
      <c r="BP1" s="38"/>
      <c r="BQ1" s="40"/>
      <c r="BR1" s="33"/>
      <c r="BS1" s="5"/>
      <c r="BT1" s="40"/>
      <c r="BU1" s="33"/>
      <c r="BV1" s="40"/>
      <c r="BW1" s="33"/>
      <c r="BX1" s="5"/>
      <c r="BY1" s="5"/>
      <c r="BZ1" s="5"/>
      <c r="CA1" s="35"/>
      <c r="CB1" s="5"/>
      <c r="CC1" s="5"/>
      <c r="CD1" s="5"/>
      <c r="CE1" s="40"/>
      <c r="CF1" s="33"/>
      <c r="CG1" s="5"/>
      <c r="CH1" s="5"/>
    </row>
    <row r="2" spans="1:86" ht="14.5" x14ac:dyDescent="0.35">
      <c r="A2" s="119" t="s">
        <v>53</v>
      </c>
      <c r="B2" s="119"/>
      <c r="C2" s="119"/>
      <c r="D2" s="119"/>
      <c r="E2" s="119"/>
      <c r="F2" s="118"/>
      <c r="G2" s="118"/>
      <c r="H2" s="118"/>
      <c r="I2" s="11"/>
      <c r="J2" s="11"/>
      <c r="K2" s="12"/>
      <c r="L2" s="12"/>
      <c r="M2" s="11"/>
      <c r="N2" s="11"/>
      <c r="O2" s="11"/>
      <c r="P2" s="11"/>
      <c r="Q2" s="11"/>
      <c r="R2" s="5"/>
      <c r="S2" s="5"/>
      <c r="T2" s="5"/>
      <c r="U2" s="5"/>
      <c r="V2" s="5"/>
      <c r="W2" s="27"/>
      <c r="X2" s="27"/>
      <c r="Y2" s="27"/>
      <c r="Z2" s="44"/>
      <c r="AA2" s="61"/>
      <c r="AB2" s="45"/>
      <c r="AC2" s="45"/>
      <c r="AD2" s="57"/>
      <c r="AE2" s="57"/>
      <c r="AF2" s="45"/>
      <c r="AG2" s="45"/>
      <c r="AH2" s="44"/>
      <c r="AI2" s="44"/>
      <c r="AJ2" s="45"/>
      <c r="AK2" s="45"/>
      <c r="AL2" s="45"/>
      <c r="AM2" s="61"/>
      <c r="AN2" s="45"/>
      <c r="AO2" s="45"/>
      <c r="AP2" s="45"/>
      <c r="AQ2" s="45"/>
      <c r="AR2" s="45"/>
      <c r="AS2" s="45"/>
      <c r="AT2" s="45"/>
      <c r="AU2" s="44"/>
      <c r="AV2" s="45"/>
      <c r="AW2" s="45"/>
      <c r="AX2" s="45"/>
      <c r="AY2" s="45"/>
      <c r="AZ2" s="61"/>
      <c r="BA2" s="45"/>
      <c r="BB2" s="45"/>
      <c r="BC2" s="44"/>
      <c r="BD2" s="44"/>
      <c r="BE2" s="45"/>
      <c r="BF2" s="45"/>
      <c r="BG2" s="44"/>
      <c r="BH2" s="45"/>
      <c r="BI2" s="45"/>
      <c r="BJ2" s="45"/>
      <c r="BK2" s="45"/>
      <c r="BL2" s="45"/>
      <c r="BM2" s="45"/>
      <c r="BN2" s="45"/>
      <c r="BP2" s="62"/>
      <c r="BQ2" s="63"/>
      <c r="BR2" s="64"/>
      <c r="BT2" s="65"/>
      <c r="BU2" s="66"/>
      <c r="BV2" s="65"/>
      <c r="BW2" s="66"/>
      <c r="CA2" s="67"/>
      <c r="CE2" s="65"/>
      <c r="CF2" s="66"/>
    </row>
    <row r="3" spans="1:86" ht="14.5" customHeight="1" x14ac:dyDescent="0.35">
      <c r="A3" s="119" t="s">
        <v>54</v>
      </c>
      <c r="B3" s="119"/>
      <c r="C3" s="119"/>
      <c r="D3" s="119"/>
      <c r="E3" s="119"/>
      <c r="F3" s="118"/>
      <c r="G3" s="118"/>
      <c r="H3" s="118"/>
      <c r="I3" s="11"/>
      <c r="J3" s="11"/>
      <c r="K3" s="12"/>
      <c r="L3" s="12"/>
      <c r="M3" s="11"/>
      <c r="N3" s="11"/>
      <c r="O3" s="11"/>
      <c r="P3" s="11"/>
      <c r="Q3" s="11"/>
      <c r="R3" s="5"/>
      <c r="S3" s="5"/>
      <c r="T3" s="5"/>
      <c r="U3" s="5"/>
      <c r="V3" s="5"/>
      <c r="W3" s="5"/>
      <c r="X3" s="5"/>
      <c r="Y3" s="5"/>
      <c r="Z3" s="45"/>
      <c r="AA3" s="68"/>
      <c r="AB3" s="45"/>
      <c r="AC3" s="45"/>
      <c r="AD3" s="45"/>
      <c r="AE3" s="57"/>
      <c r="AF3" s="45"/>
      <c r="AG3" s="45"/>
      <c r="AH3" s="45"/>
      <c r="AI3" s="69"/>
      <c r="AJ3" s="45"/>
      <c r="AK3" s="45"/>
      <c r="AL3" s="45"/>
      <c r="AM3" s="68"/>
      <c r="AN3" s="45"/>
      <c r="AO3" s="45"/>
      <c r="AP3" s="45"/>
      <c r="AQ3" s="57"/>
      <c r="AR3" s="45"/>
      <c r="AS3" s="45"/>
      <c r="AT3" s="45"/>
      <c r="AU3" s="45"/>
      <c r="AV3" s="45"/>
      <c r="AW3" s="45"/>
      <c r="AX3" s="45"/>
      <c r="AY3" s="45"/>
      <c r="AZ3" s="68"/>
      <c r="BA3" s="45"/>
      <c r="BB3" s="45"/>
      <c r="BC3" s="45"/>
      <c r="BD3" s="57"/>
      <c r="BE3" s="45"/>
      <c r="BF3" s="45"/>
      <c r="BG3" s="45"/>
      <c r="BH3" s="44"/>
      <c r="BI3" s="45"/>
      <c r="BJ3" s="45"/>
      <c r="BK3" s="45"/>
      <c r="BL3" s="70"/>
      <c r="BM3" s="45"/>
      <c r="BN3" s="45"/>
      <c r="BP3" s="62"/>
      <c r="BQ3" s="63"/>
      <c r="BR3" s="64"/>
      <c r="BT3" s="65"/>
      <c r="BU3" s="66"/>
      <c r="BV3" s="65"/>
      <c r="BW3" s="66"/>
      <c r="CA3" s="67"/>
      <c r="CE3" s="65"/>
      <c r="CF3" s="66"/>
    </row>
    <row r="4" spans="1:86" ht="14.5" customHeight="1" x14ac:dyDescent="0.35">
      <c r="A4" s="119" t="s">
        <v>55</v>
      </c>
      <c r="B4" s="119"/>
      <c r="C4" s="119"/>
      <c r="D4" s="119"/>
      <c r="E4" s="119"/>
      <c r="F4" s="118"/>
      <c r="G4" s="118"/>
      <c r="H4" s="118"/>
      <c r="I4" s="11"/>
      <c r="J4" s="11"/>
      <c r="K4" s="12"/>
      <c r="L4" s="12"/>
      <c r="M4" s="11"/>
      <c r="N4" s="11"/>
      <c r="O4" s="11"/>
      <c r="P4" s="11"/>
      <c r="Q4" s="11"/>
      <c r="R4" s="5"/>
      <c r="S4" s="5"/>
      <c r="T4" s="5"/>
      <c r="U4" s="5"/>
      <c r="V4" s="5"/>
      <c r="W4" s="5"/>
      <c r="X4" s="5"/>
      <c r="Y4" s="5"/>
      <c r="Z4" s="45"/>
      <c r="AA4" s="68"/>
      <c r="AB4" s="45"/>
      <c r="AC4" s="45"/>
      <c r="AD4" s="45"/>
      <c r="AE4" s="57"/>
      <c r="AF4" s="45"/>
      <c r="AG4" s="45"/>
      <c r="AH4" s="45"/>
      <c r="AI4" s="69"/>
      <c r="AJ4" s="45"/>
      <c r="AK4" s="45"/>
      <c r="AL4" s="45"/>
      <c r="AM4" s="68"/>
      <c r="AN4" s="45"/>
      <c r="AO4" s="45"/>
      <c r="AP4" s="45"/>
      <c r="AQ4" s="57"/>
      <c r="AR4" s="45"/>
      <c r="AS4" s="45"/>
      <c r="AT4" s="45"/>
      <c r="AU4" s="45"/>
      <c r="AV4" s="45"/>
      <c r="AW4" s="45"/>
      <c r="AX4" s="45"/>
      <c r="AY4" s="45"/>
      <c r="AZ4" s="68"/>
      <c r="BA4" s="45"/>
      <c r="BB4" s="45"/>
      <c r="BC4" s="45"/>
      <c r="BD4" s="57"/>
      <c r="BE4" s="45"/>
      <c r="BF4" s="45"/>
      <c r="BG4" s="45"/>
      <c r="BH4" s="44"/>
      <c r="BI4" s="45"/>
      <c r="BJ4" s="45"/>
      <c r="BK4" s="45"/>
      <c r="BL4" s="70"/>
      <c r="BM4" s="45"/>
      <c r="BN4" s="45"/>
      <c r="BP4" s="62"/>
      <c r="BQ4" s="63"/>
      <c r="BR4" s="64"/>
      <c r="BT4" s="65"/>
      <c r="BU4" s="66"/>
      <c r="BV4" s="65"/>
      <c r="BW4" s="66"/>
      <c r="CA4" s="67"/>
      <c r="CE4" s="65"/>
      <c r="CF4" s="66"/>
    </row>
    <row r="5" spans="1:86" ht="14.5" customHeight="1" x14ac:dyDescent="0.35">
      <c r="A5" s="119" t="s">
        <v>56</v>
      </c>
      <c r="B5" s="119"/>
      <c r="C5" s="119"/>
      <c r="D5" s="119"/>
      <c r="E5" s="119"/>
      <c r="F5" s="118"/>
      <c r="G5" s="118"/>
      <c r="H5" s="118"/>
      <c r="I5" s="11"/>
      <c r="J5" s="11"/>
      <c r="K5" s="12"/>
      <c r="L5" s="12"/>
      <c r="M5" s="11"/>
      <c r="N5" s="11"/>
      <c r="O5" s="11"/>
      <c r="P5" s="11"/>
      <c r="Q5" s="11"/>
      <c r="R5" s="5"/>
      <c r="S5" s="5"/>
      <c r="T5" s="5"/>
      <c r="U5" s="5"/>
      <c r="V5" s="5"/>
      <c r="W5" s="5"/>
      <c r="X5" s="5"/>
      <c r="Y5" s="5"/>
      <c r="Z5" s="45"/>
      <c r="AA5" s="45"/>
      <c r="AB5" s="45"/>
      <c r="AC5" s="45"/>
      <c r="AD5" s="45"/>
      <c r="AE5" s="57"/>
      <c r="AF5" s="45"/>
      <c r="AG5" s="45"/>
      <c r="AH5" s="45"/>
      <c r="AI5" s="69"/>
      <c r="AJ5" s="71"/>
      <c r="AK5" s="45"/>
      <c r="AL5" s="45"/>
      <c r="AM5" s="45"/>
      <c r="AN5" s="45"/>
      <c r="AO5" s="45"/>
      <c r="AP5" s="45"/>
      <c r="AQ5" s="57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57"/>
      <c r="BE5" s="45"/>
      <c r="BF5" s="45"/>
      <c r="BG5" s="45"/>
      <c r="BH5" s="44"/>
      <c r="BI5" s="45"/>
      <c r="BJ5" s="45"/>
      <c r="BK5" s="45"/>
      <c r="BL5" s="70"/>
      <c r="BM5" s="45"/>
      <c r="BN5" s="45"/>
      <c r="BP5" s="62"/>
      <c r="BQ5" s="63"/>
      <c r="BR5" s="64"/>
      <c r="BT5" s="65"/>
      <c r="BU5" s="66"/>
      <c r="BV5" s="65"/>
      <c r="BW5" s="66"/>
      <c r="CA5" s="67"/>
      <c r="CE5" s="65"/>
      <c r="CF5" s="66"/>
    </row>
    <row r="6" spans="1:86" ht="14.5" customHeight="1" x14ac:dyDescent="0.35">
      <c r="A6" s="119" t="s">
        <v>58</v>
      </c>
      <c r="B6" s="119"/>
      <c r="C6" s="119"/>
      <c r="D6" s="119"/>
      <c r="E6" s="119"/>
      <c r="F6" s="118"/>
      <c r="G6" s="118"/>
      <c r="H6" s="118"/>
      <c r="I6" s="11"/>
      <c r="J6" s="11"/>
      <c r="K6" s="12"/>
      <c r="L6" s="12"/>
      <c r="M6" s="11"/>
      <c r="N6" s="11"/>
      <c r="O6" s="11"/>
      <c r="P6" s="11"/>
      <c r="Q6" s="11"/>
      <c r="R6" s="5"/>
      <c r="S6" s="5"/>
      <c r="T6" s="5"/>
      <c r="U6" s="5"/>
      <c r="V6" s="5"/>
      <c r="W6" s="5"/>
      <c r="X6" s="5"/>
      <c r="Y6" s="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72"/>
      <c r="AQ6" s="72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4"/>
      <c r="BI6" s="45"/>
      <c r="BJ6" s="45"/>
      <c r="BK6" s="45"/>
      <c r="BL6" s="70"/>
      <c r="BM6" s="45"/>
      <c r="BN6" s="45"/>
      <c r="BP6" s="62"/>
      <c r="BQ6" s="63"/>
      <c r="BR6" s="64"/>
      <c r="BT6" s="65"/>
      <c r="BU6" s="66"/>
      <c r="BV6" s="65"/>
      <c r="BW6" s="66"/>
      <c r="CA6" s="67"/>
      <c r="CE6" s="65"/>
      <c r="CF6" s="66"/>
    </row>
    <row r="7" spans="1:86" ht="14.5" customHeight="1" x14ac:dyDescent="0.35">
      <c r="A7" s="119" t="s">
        <v>57</v>
      </c>
      <c r="B7" s="119"/>
      <c r="C7" s="119"/>
      <c r="D7" s="119"/>
      <c r="E7" s="119"/>
      <c r="F7" s="118"/>
      <c r="G7" s="118"/>
      <c r="H7" s="118"/>
      <c r="I7" s="11"/>
      <c r="J7" s="11"/>
      <c r="K7" s="12"/>
      <c r="L7" s="11"/>
      <c r="M7" s="11"/>
      <c r="N7" s="5"/>
      <c r="O7" s="11"/>
      <c r="P7" s="11"/>
      <c r="Q7" s="11"/>
      <c r="R7" s="5"/>
      <c r="S7" s="5"/>
      <c r="T7" s="5"/>
      <c r="U7" s="5"/>
      <c r="V7" s="5"/>
      <c r="W7" s="7"/>
      <c r="X7" s="7"/>
      <c r="Y7" s="7"/>
      <c r="Z7" s="73"/>
      <c r="AA7" s="45"/>
      <c r="AB7" s="45"/>
      <c r="AC7" s="45"/>
      <c r="AD7" s="72"/>
      <c r="AE7" s="72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72"/>
      <c r="BD7" s="72"/>
      <c r="BE7" s="45"/>
      <c r="BF7" s="45"/>
      <c r="BG7" s="45"/>
      <c r="BH7" s="44"/>
      <c r="BI7" s="45"/>
      <c r="BJ7" s="45"/>
      <c r="BK7" s="45"/>
      <c r="BL7" s="70"/>
      <c r="BM7" s="45"/>
      <c r="BN7" s="45"/>
      <c r="BP7" s="62"/>
      <c r="BQ7" s="74"/>
      <c r="BR7" s="74"/>
      <c r="CA7" s="67"/>
      <c r="CE7" s="66"/>
    </row>
    <row r="8" spans="1:86" ht="14.5" customHeight="1" x14ac:dyDescent="0.35">
      <c r="A8" s="119" t="s">
        <v>49</v>
      </c>
      <c r="B8" s="119"/>
      <c r="C8" s="119"/>
      <c r="D8" s="119"/>
      <c r="E8" s="119"/>
      <c r="F8" s="118"/>
      <c r="G8" s="118"/>
      <c r="H8" s="118"/>
      <c r="I8" s="11"/>
      <c r="J8" s="11"/>
      <c r="K8" s="12"/>
      <c r="L8" s="11"/>
      <c r="M8" s="11"/>
      <c r="N8" s="5"/>
      <c r="O8" s="11"/>
      <c r="P8" s="11"/>
      <c r="Q8" s="11"/>
      <c r="R8" s="5"/>
      <c r="S8" s="5"/>
      <c r="T8" s="5"/>
      <c r="U8" s="5"/>
      <c r="V8" s="5"/>
      <c r="W8" s="5"/>
      <c r="X8" s="5"/>
      <c r="Y8" s="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4"/>
      <c r="BI8" s="45"/>
      <c r="BJ8" s="45"/>
      <c r="BK8" s="45"/>
      <c r="BL8" s="70"/>
      <c r="BM8" s="45"/>
      <c r="BN8" s="45"/>
      <c r="BP8" s="62"/>
      <c r="BQ8" s="74"/>
      <c r="BR8" s="74"/>
      <c r="CA8" s="75"/>
      <c r="CE8" s="66"/>
    </row>
    <row r="9" spans="1:86" ht="14.5" customHeight="1" x14ac:dyDescent="0.35">
      <c r="A9" s="119" t="s">
        <v>50</v>
      </c>
      <c r="B9" s="119"/>
      <c r="C9" s="119"/>
      <c r="D9" s="119"/>
      <c r="E9" s="119"/>
      <c r="F9" s="118"/>
      <c r="G9" s="118"/>
      <c r="H9" s="118"/>
      <c r="I9" s="11"/>
      <c r="J9" s="11"/>
      <c r="K9" s="12"/>
      <c r="L9" s="11"/>
      <c r="M9" s="11"/>
      <c r="N9" s="5"/>
      <c r="O9" s="11"/>
      <c r="P9" s="11"/>
      <c r="Q9" s="11"/>
      <c r="R9" s="5"/>
      <c r="S9" s="5"/>
      <c r="T9" s="5"/>
      <c r="U9" s="8"/>
      <c r="V9" s="8"/>
      <c r="W9" s="8"/>
      <c r="X9" s="8"/>
      <c r="Y9" s="8"/>
      <c r="Z9" s="76"/>
      <c r="AA9" s="76"/>
      <c r="AB9" s="76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4"/>
      <c r="BI9" s="45"/>
      <c r="BJ9" s="45"/>
      <c r="BK9" s="45"/>
      <c r="BL9" s="70"/>
      <c r="BM9" s="45"/>
      <c r="BN9" s="45"/>
      <c r="BP9" s="62"/>
      <c r="BQ9" s="74"/>
      <c r="BR9" s="74"/>
      <c r="CA9" s="75"/>
      <c r="CE9" s="66"/>
    </row>
    <row r="10" spans="1:86" ht="14.5" customHeight="1" x14ac:dyDescent="0.35">
      <c r="A10" s="43"/>
      <c r="B10" s="43"/>
      <c r="C10" s="44"/>
      <c r="D10" s="45"/>
      <c r="E10" s="45"/>
      <c r="F10" s="46"/>
      <c r="G10" s="46"/>
      <c r="H10" s="46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8"/>
      <c r="V10" s="8"/>
      <c r="W10" s="8"/>
      <c r="X10" s="8"/>
      <c r="Y10" s="8"/>
      <c r="Z10" s="76"/>
      <c r="AA10" s="76"/>
      <c r="AB10" s="76"/>
      <c r="AC10" s="45"/>
      <c r="AD10" s="45"/>
      <c r="AE10" s="45"/>
      <c r="AF10" s="45"/>
      <c r="AG10" s="45"/>
      <c r="AH10" s="45"/>
      <c r="AI10" s="44"/>
      <c r="AJ10" s="77"/>
      <c r="AK10" s="77"/>
      <c r="AL10" s="77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4"/>
      <c r="BI10" s="45"/>
      <c r="BJ10" s="45"/>
      <c r="BK10" s="45"/>
      <c r="BL10" s="70"/>
      <c r="BM10" s="45"/>
      <c r="BN10" s="45"/>
      <c r="BP10" s="62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9"/>
      <c r="CB10" s="78"/>
      <c r="CC10" s="78"/>
      <c r="CD10" s="78"/>
      <c r="CE10" s="79"/>
      <c r="CF10" s="79"/>
      <c r="CG10" s="78"/>
      <c r="CH10" s="78"/>
    </row>
    <row r="11" spans="1:86" ht="14.5" x14ac:dyDescent="0.35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8"/>
      <c r="V11" s="8"/>
      <c r="W11" s="8"/>
      <c r="X11" s="8"/>
      <c r="Y11" s="18"/>
      <c r="Z11" s="76"/>
      <c r="AA11" s="76"/>
      <c r="AB11" s="76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4"/>
      <c r="BI11" s="45"/>
      <c r="BJ11" s="45"/>
      <c r="BK11" s="45"/>
      <c r="BL11" s="70"/>
      <c r="BM11" s="45"/>
      <c r="BN11" s="45"/>
      <c r="BP11" s="62"/>
    </row>
    <row r="12" spans="1:86" ht="14.5" x14ac:dyDescent="0.35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8"/>
      <c r="V12" s="8"/>
      <c r="W12" s="8"/>
      <c r="X12" s="8"/>
      <c r="Y12" s="18"/>
      <c r="Z12" s="76"/>
      <c r="AA12" s="76"/>
      <c r="AB12" s="76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4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4"/>
      <c r="BI12" s="45"/>
      <c r="BJ12" s="45"/>
      <c r="BK12" s="45"/>
      <c r="BL12" s="70"/>
      <c r="BM12" s="45"/>
      <c r="BN12" s="45"/>
      <c r="BP12" s="62"/>
    </row>
    <row r="13" spans="1:86" ht="14.5" x14ac:dyDescent="0.35">
      <c r="A13" s="122" t="s">
        <v>84</v>
      </c>
      <c r="B13" s="122"/>
      <c r="C13" s="122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8"/>
      <c r="V13" s="8"/>
      <c r="W13" s="8"/>
      <c r="X13" s="8"/>
      <c r="Y13" s="18"/>
      <c r="Z13" s="8"/>
      <c r="AA13" s="8"/>
      <c r="AB13" s="8"/>
      <c r="AC13" s="5"/>
      <c r="AD13" s="5"/>
      <c r="AE13" s="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4"/>
      <c r="BI13" s="45"/>
      <c r="BJ13" s="45"/>
      <c r="BK13" s="45"/>
      <c r="BL13" s="70"/>
      <c r="BM13" s="45"/>
      <c r="BN13" s="45"/>
      <c r="BO13" s="80"/>
      <c r="BP13" s="62"/>
    </row>
    <row r="14" spans="1:86" ht="14.5" x14ac:dyDescent="0.35">
      <c r="A14" s="94"/>
      <c r="B14" s="95" t="s">
        <v>64</v>
      </c>
      <c r="C14" s="95" t="s">
        <v>82</v>
      </c>
      <c r="D14" s="95" t="s">
        <v>20</v>
      </c>
      <c r="E14" s="95" t="s">
        <v>9</v>
      </c>
      <c r="F14" s="47" t="s">
        <v>5</v>
      </c>
      <c r="G14" s="47" t="s">
        <v>77</v>
      </c>
      <c r="H14" s="47" t="s">
        <v>78</v>
      </c>
      <c r="I14" s="47" t="s">
        <v>79</v>
      </c>
      <c r="J14" s="48" t="s">
        <v>80</v>
      </c>
      <c r="K14" s="47" t="s">
        <v>0</v>
      </c>
      <c r="L14" s="47" t="s">
        <v>1</v>
      </c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45"/>
      <c r="AH14" s="45"/>
      <c r="AI14" s="45"/>
      <c r="AJ14" s="45"/>
      <c r="AK14" s="45"/>
      <c r="AL14" s="45"/>
      <c r="AM14" s="45"/>
      <c r="AN14" s="45"/>
      <c r="AO14" s="45"/>
      <c r="AP14" s="72"/>
      <c r="AQ14" s="72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4"/>
      <c r="BI14" s="45"/>
      <c r="BJ14" s="45"/>
      <c r="BK14" s="45"/>
      <c r="BL14" s="70"/>
      <c r="BM14" s="45"/>
      <c r="BN14" s="45"/>
      <c r="BO14" s="80"/>
      <c r="BP14" s="62"/>
    </row>
    <row r="15" spans="1:86" ht="15.5" x14ac:dyDescent="0.35">
      <c r="A15" s="90" t="s">
        <v>64</v>
      </c>
      <c r="B15" s="91">
        <v>1</v>
      </c>
      <c r="C15" s="92">
        <v>7</v>
      </c>
      <c r="D15" s="92">
        <v>7</v>
      </c>
      <c r="E15" s="93">
        <v>7</v>
      </c>
      <c r="F15" s="50">
        <f>ROUND(POWER(PRODUCT(B15:E15),1/4),3)</f>
        <v>4.3040000000000003</v>
      </c>
      <c r="G15" s="50">
        <f>ROUND(F15/F$19,3)</f>
        <v>0.69</v>
      </c>
      <c r="H15" s="51">
        <f>B15 * G$15 + C15 * G$16 + D15 * G$17 + E15 * G$18</f>
        <v>2.8600000000000003</v>
      </c>
      <c r="I15" s="50">
        <f>ROUND(H15/G15,3)</f>
        <v>4.1449999999999996</v>
      </c>
      <c r="J15" s="52">
        <f>ROUND(AVERAGE(I15:I18),3)</f>
        <v>4.1580000000000004</v>
      </c>
      <c r="K15" s="51">
        <f>ROUND((J15-4)/3,3)</f>
        <v>5.2999999999999999E-2</v>
      </c>
      <c r="L15" s="53">
        <f>ROUND(K15/0.9,3)</f>
        <v>5.8999999999999997E-2</v>
      </c>
      <c r="M15" s="96"/>
      <c r="N15" s="96"/>
      <c r="O15" s="56"/>
      <c r="P15" s="56"/>
      <c r="Q15" s="56"/>
      <c r="R15" s="56"/>
      <c r="S15" s="56"/>
      <c r="T15" s="96"/>
      <c r="U15" s="96"/>
      <c r="V15" s="56"/>
      <c r="W15" s="56"/>
      <c r="X15" s="56"/>
      <c r="Y15" s="56"/>
      <c r="Z15" s="57"/>
      <c r="AA15" s="57"/>
      <c r="AB15" s="56"/>
      <c r="AC15" s="57"/>
      <c r="AD15" s="56"/>
      <c r="AE15" s="56"/>
      <c r="AF15" s="97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4"/>
      <c r="BI15" s="45"/>
      <c r="BJ15" s="45"/>
      <c r="BK15" s="45"/>
      <c r="BL15" s="70"/>
      <c r="BM15" s="45"/>
      <c r="BN15" s="45"/>
      <c r="BP15" s="62"/>
    </row>
    <row r="16" spans="1:86" ht="15.5" x14ac:dyDescent="0.35">
      <c r="A16" s="89" t="s">
        <v>82</v>
      </c>
      <c r="B16" s="87">
        <v>0.14285714285714285</v>
      </c>
      <c r="C16" s="54">
        <v>1</v>
      </c>
      <c r="D16" s="54">
        <v>0.33333333333333331</v>
      </c>
      <c r="E16" s="55">
        <v>3</v>
      </c>
      <c r="F16" s="50">
        <f t="shared" ref="F16:F18" si="0">ROUND(POWER(PRODUCT(B16:E16),1/4),3)</f>
        <v>0.61499999999999999</v>
      </c>
      <c r="G16" s="50">
        <f t="shared" ref="G16:G18" si="1">ROUND(F16/F$19,3)</f>
        <v>9.9000000000000005E-2</v>
      </c>
      <c r="H16" s="51">
        <f t="shared" ref="H16:H18" si="2">B16 * G$15 + C16 * G$16 + D16 * G$17 + E16 * G$18</f>
        <v>0.41990476190476189</v>
      </c>
      <c r="I16" s="50">
        <f t="shared" ref="I16:I18" si="3">ROUND(H16/G16,3)</f>
        <v>4.2409999999999997</v>
      </c>
      <c r="J16" s="1"/>
      <c r="K16" s="56"/>
      <c r="L16" s="57"/>
      <c r="M16" s="96"/>
      <c r="N16" s="96"/>
      <c r="O16" s="56"/>
      <c r="P16" s="56"/>
      <c r="Q16" s="56"/>
      <c r="R16" s="56"/>
      <c r="S16" s="56"/>
      <c r="T16" s="96"/>
      <c r="U16" s="96"/>
      <c r="V16" s="56"/>
      <c r="W16" s="56"/>
      <c r="X16" s="56"/>
      <c r="Y16" s="56"/>
      <c r="Z16" s="57"/>
      <c r="AA16" s="57"/>
      <c r="AB16" s="56"/>
      <c r="AC16" s="57"/>
      <c r="AD16" s="68"/>
      <c r="AE16" s="56"/>
      <c r="AF16" s="57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4"/>
      <c r="BI16" s="45"/>
      <c r="BJ16" s="45"/>
      <c r="BK16" s="45"/>
      <c r="BL16" s="70"/>
      <c r="BM16" s="45"/>
      <c r="BN16" s="45"/>
      <c r="BP16" s="62"/>
    </row>
    <row r="17" spans="1:70" ht="15.5" x14ac:dyDescent="0.35">
      <c r="A17" s="89" t="s">
        <v>20</v>
      </c>
      <c r="B17" s="87">
        <v>0.14285714285714285</v>
      </c>
      <c r="C17" s="54">
        <v>2</v>
      </c>
      <c r="D17" s="54">
        <v>1</v>
      </c>
      <c r="E17" s="55">
        <v>3</v>
      </c>
      <c r="F17" s="50">
        <f t="shared" si="0"/>
        <v>0.96199999999999997</v>
      </c>
      <c r="G17" s="50">
        <f t="shared" si="1"/>
        <v>0.154</v>
      </c>
      <c r="H17" s="51">
        <f t="shared" si="2"/>
        <v>0.62157142857142866</v>
      </c>
      <c r="I17" s="50">
        <f t="shared" si="3"/>
        <v>4.0359999999999996</v>
      </c>
      <c r="J17" s="1"/>
      <c r="K17" s="56"/>
      <c r="L17" s="57"/>
      <c r="M17" s="96"/>
      <c r="N17" s="96"/>
      <c r="O17" s="56"/>
      <c r="P17" s="56"/>
      <c r="Q17" s="56"/>
      <c r="R17" s="56"/>
      <c r="S17" s="56"/>
      <c r="T17" s="96"/>
      <c r="U17" s="96"/>
      <c r="V17" s="56"/>
      <c r="W17" s="56"/>
      <c r="X17" s="56"/>
      <c r="Y17" s="56"/>
      <c r="Z17" s="57"/>
      <c r="AA17" s="57"/>
      <c r="AB17" s="56"/>
      <c r="AC17" s="57"/>
      <c r="AD17" s="68"/>
      <c r="AE17" s="56"/>
      <c r="AF17" s="57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72"/>
      <c r="BD17" s="72"/>
      <c r="BE17" s="45"/>
      <c r="BF17" s="45"/>
      <c r="BG17" s="45"/>
      <c r="BH17" s="45"/>
      <c r="BI17" s="45"/>
      <c r="BJ17" s="45"/>
      <c r="BK17" s="72"/>
      <c r="BL17" s="72"/>
      <c r="BM17" s="45"/>
      <c r="BN17" s="45"/>
      <c r="BP17" s="62"/>
    </row>
    <row r="18" spans="1:70" ht="16" thickBot="1" x14ac:dyDescent="0.4">
      <c r="A18" s="89" t="s">
        <v>9</v>
      </c>
      <c r="B18" s="88">
        <v>0.14285714285714285</v>
      </c>
      <c r="C18" s="58">
        <v>0.33333333333333331</v>
      </c>
      <c r="D18" s="58">
        <v>0.33333333333333331</v>
      </c>
      <c r="E18" s="59">
        <v>1</v>
      </c>
      <c r="F18" s="50">
        <f t="shared" si="0"/>
        <v>0.35499999999999998</v>
      </c>
      <c r="G18" s="50">
        <f t="shared" si="1"/>
        <v>5.7000000000000002E-2</v>
      </c>
      <c r="H18" s="51">
        <f t="shared" si="2"/>
        <v>0.2399047619047619</v>
      </c>
      <c r="I18" s="50">
        <f t="shared" si="3"/>
        <v>4.2089999999999996</v>
      </c>
      <c r="J18" s="1"/>
      <c r="K18" s="56"/>
      <c r="L18" s="57"/>
      <c r="M18" s="96"/>
      <c r="N18" s="96"/>
      <c r="O18" s="56"/>
      <c r="P18" s="56"/>
      <c r="Q18" s="56"/>
      <c r="R18" s="56"/>
      <c r="S18" s="56"/>
      <c r="T18" s="96"/>
      <c r="U18" s="96"/>
      <c r="V18" s="56"/>
      <c r="W18" s="56"/>
      <c r="X18" s="56"/>
      <c r="Y18" s="56"/>
      <c r="Z18" s="57"/>
      <c r="AA18" s="57"/>
      <c r="AB18" s="56"/>
      <c r="AC18" s="57"/>
      <c r="AD18" s="68"/>
      <c r="AE18" s="56"/>
      <c r="AF18" s="57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P18" s="62"/>
    </row>
    <row r="19" spans="1:70" ht="14.5" x14ac:dyDescent="0.35">
      <c r="A19" s="43"/>
      <c r="B19" s="83"/>
      <c r="C19" s="83"/>
      <c r="D19" s="84"/>
      <c r="E19" s="49" t="s">
        <v>81</v>
      </c>
      <c r="F19" s="60">
        <f>SUM(F15:F18)</f>
        <v>6.2360000000000007</v>
      </c>
      <c r="G19" s="60">
        <f>SUM(G15:G18)</f>
        <v>1</v>
      </c>
      <c r="H19" s="85"/>
      <c r="I19" s="86"/>
      <c r="J19" s="1"/>
      <c r="K19" s="56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P19" s="62"/>
      <c r="BR19" s="81"/>
    </row>
    <row r="20" spans="1:70" ht="14.5" x14ac:dyDescent="0.35">
      <c r="A20" s="120" t="s">
        <v>83</v>
      </c>
      <c r="B20" s="121"/>
      <c r="C20" s="121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P20" s="62"/>
      <c r="BQ20" s="81"/>
      <c r="BR20" s="81"/>
    </row>
    <row r="21" spans="1:70" ht="15.75" customHeight="1" x14ac:dyDescent="0.35">
      <c r="A21" s="94"/>
      <c r="B21" s="95" t="s">
        <v>85</v>
      </c>
      <c r="C21" s="95" t="s">
        <v>86</v>
      </c>
      <c r="D21" s="95" t="s">
        <v>87</v>
      </c>
      <c r="E21" s="125"/>
      <c r="F21" s="47" t="s">
        <v>5</v>
      </c>
      <c r="G21" s="47" t="s">
        <v>77</v>
      </c>
      <c r="H21" s="47" t="s">
        <v>78</v>
      </c>
      <c r="I21" s="47" t="s">
        <v>79</v>
      </c>
      <c r="J21" s="48" t="s">
        <v>80</v>
      </c>
      <c r="K21" s="47" t="s">
        <v>0</v>
      </c>
      <c r="L21" s="47" t="s">
        <v>1</v>
      </c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4"/>
      <c r="BH21" s="44"/>
      <c r="BI21" s="82"/>
      <c r="BJ21" s="82"/>
      <c r="BK21" s="82"/>
      <c r="BL21" s="45"/>
      <c r="BM21" s="45"/>
      <c r="BN21" s="45"/>
      <c r="BP21" s="62"/>
      <c r="BQ21" s="81"/>
      <c r="BR21" s="81"/>
    </row>
    <row r="22" spans="1:70" ht="15.75" customHeight="1" x14ac:dyDescent="0.35">
      <c r="A22" s="89" t="s">
        <v>85</v>
      </c>
      <c r="B22" s="54">
        <v>1</v>
      </c>
      <c r="C22" s="54">
        <v>5</v>
      </c>
      <c r="D22" s="54">
        <v>5</v>
      </c>
      <c r="E22" s="125"/>
      <c r="F22" s="50">
        <f>ROUND(POWER(PRODUCT($B22:$D22),1/3),3)</f>
        <v>2.9239999999999999</v>
      </c>
      <c r="G22" s="50">
        <f>ROUND($F22/$F$25,3)</f>
        <v>0.70099999999999996</v>
      </c>
      <c r="H22" s="51">
        <f>$B22 * $G$22 + $C22 * $G$23 + $D22 * $G$24</f>
        <v>2.1959999999999997</v>
      </c>
      <c r="I22" s="50">
        <f t="shared" ref="I22:I24" si="4">ROUND(H22/G22,3)</f>
        <v>3.133</v>
      </c>
      <c r="J22" s="52">
        <f>ROUND(AVERAGE(I22:I24),3)</f>
        <v>3.1360000000000001</v>
      </c>
      <c r="K22" s="51">
        <f>ROUND((J22-3)/2,3)</f>
        <v>6.8000000000000005E-2</v>
      </c>
      <c r="L22" s="53">
        <f>ROUND(K22/0.58,3)</f>
        <v>0.11700000000000001</v>
      </c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4"/>
      <c r="BI22" s="82"/>
      <c r="BJ22" s="82"/>
      <c r="BK22" s="82"/>
      <c r="BL22" s="45"/>
      <c r="BM22" s="45"/>
      <c r="BN22" s="45"/>
      <c r="BQ22" s="81"/>
      <c r="BR22" s="81"/>
    </row>
    <row r="23" spans="1:70" ht="15.75" customHeight="1" x14ac:dyDescent="0.35">
      <c r="A23" s="89" t="s">
        <v>86</v>
      </c>
      <c r="B23" s="54">
        <v>0.2</v>
      </c>
      <c r="C23" s="54">
        <v>1</v>
      </c>
      <c r="D23" s="54">
        <v>0.33333333333333331</v>
      </c>
      <c r="E23" s="125"/>
      <c r="F23" s="50">
        <f t="shared" ref="F23:F24" si="5">ROUND(POWER(PRODUCT($B23:$D23),1/3),3)</f>
        <v>0.40500000000000003</v>
      </c>
      <c r="G23" s="50">
        <f t="shared" ref="G23:G24" si="6">ROUND($F23/$F$25,3)</f>
        <v>9.7000000000000003E-2</v>
      </c>
      <c r="H23" s="51">
        <f t="shared" ref="H23:H24" si="7">$B23 * $G$22 + $C23 * $G$23 + $D23 * $G$24</f>
        <v>0.30453333333333332</v>
      </c>
      <c r="I23" s="50">
        <f t="shared" si="4"/>
        <v>3.14</v>
      </c>
      <c r="J23" s="1"/>
      <c r="K23" s="56"/>
      <c r="L23" s="57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4"/>
      <c r="BI23" s="82"/>
      <c r="BJ23" s="82"/>
      <c r="BK23" s="82"/>
      <c r="BL23" s="45"/>
      <c r="BM23" s="45"/>
      <c r="BN23" s="45"/>
      <c r="BP23" s="62"/>
    </row>
    <row r="24" spans="1:70" ht="15.75" customHeight="1" x14ac:dyDescent="0.35">
      <c r="A24" s="89" t="s">
        <v>87</v>
      </c>
      <c r="B24" s="54">
        <v>0.2</v>
      </c>
      <c r="C24" s="54">
        <v>3</v>
      </c>
      <c r="D24" s="54">
        <v>1</v>
      </c>
      <c r="E24" s="125"/>
      <c r="F24" s="50">
        <f t="shared" si="5"/>
        <v>0.84299999999999997</v>
      </c>
      <c r="G24" s="50">
        <f t="shared" si="6"/>
        <v>0.20200000000000001</v>
      </c>
      <c r="H24" s="51">
        <f t="shared" si="7"/>
        <v>0.63319999999999999</v>
      </c>
      <c r="I24" s="50">
        <f t="shared" si="4"/>
        <v>3.1349999999999998</v>
      </c>
      <c r="J24" s="1"/>
      <c r="K24" s="56"/>
      <c r="L24" s="57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4"/>
      <c r="BI24" s="82"/>
      <c r="BJ24" s="82"/>
      <c r="BK24" s="82"/>
      <c r="BL24" s="45"/>
      <c r="BM24" s="45"/>
      <c r="BN24" s="45"/>
      <c r="BP24" s="62"/>
    </row>
    <row r="25" spans="1:70" ht="15.75" customHeight="1" x14ac:dyDescent="0.35">
      <c r="A25" s="80"/>
      <c r="B25" s="99"/>
      <c r="C25" s="99"/>
      <c r="D25" s="99"/>
      <c r="E25" s="49" t="s">
        <v>81</v>
      </c>
      <c r="F25" s="60">
        <f>SUM(F22:F24)</f>
        <v>4.1719999999999997</v>
      </c>
      <c r="G25" s="60">
        <f>SUM(G22:G24)</f>
        <v>1</v>
      </c>
      <c r="H25" s="123"/>
      <c r="I25" s="124"/>
      <c r="J25" s="1"/>
      <c r="K25" s="56"/>
      <c r="L25" s="57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</row>
    <row r="26" spans="1:70" ht="15.75" customHeight="1" x14ac:dyDescent="0.35">
      <c r="A26" s="120" t="s">
        <v>88</v>
      </c>
      <c r="B26" s="121"/>
      <c r="C26" s="121"/>
      <c r="D26" s="5"/>
      <c r="E26" s="5"/>
      <c r="F26" s="5"/>
      <c r="G26" s="5"/>
      <c r="H26" s="5"/>
      <c r="I26" s="5"/>
      <c r="J26" s="5"/>
      <c r="K26" s="5"/>
      <c r="L26" s="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82"/>
      <c r="BL26" s="45"/>
      <c r="BM26" s="45"/>
      <c r="BN26" s="45"/>
    </row>
    <row r="27" spans="1:70" ht="15.75" customHeight="1" x14ac:dyDescent="0.35">
      <c r="A27" s="94"/>
      <c r="B27" s="95" t="s">
        <v>89</v>
      </c>
      <c r="C27" s="95" t="s">
        <v>90</v>
      </c>
      <c r="D27" s="95" t="s">
        <v>91</v>
      </c>
      <c r="E27" s="125"/>
      <c r="F27" s="47" t="s">
        <v>5</v>
      </c>
      <c r="G27" s="47" t="s">
        <v>77</v>
      </c>
      <c r="H27" s="47" t="s">
        <v>78</v>
      </c>
      <c r="I27" s="47" t="s">
        <v>79</v>
      </c>
      <c r="J27" s="48" t="s">
        <v>80</v>
      </c>
      <c r="K27" s="47" t="s">
        <v>0</v>
      </c>
      <c r="L27" s="47" t="s">
        <v>1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82"/>
      <c r="BL27" s="45"/>
      <c r="BM27" s="45"/>
      <c r="BN27" s="45"/>
    </row>
    <row r="28" spans="1:70" ht="15.75" customHeight="1" x14ac:dyDescent="0.35">
      <c r="A28" s="89" t="s">
        <v>89</v>
      </c>
      <c r="B28" s="54">
        <v>1</v>
      </c>
      <c r="C28" s="54">
        <v>0.5</v>
      </c>
      <c r="D28" s="54">
        <v>2</v>
      </c>
      <c r="E28" s="125"/>
      <c r="F28" s="50">
        <f>ROUND(POWER(PRODUCT($B28:$D28),1/3),3)</f>
        <v>1</v>
      </c>
      <c r="G28" s="50">
        <f>ROUND($F28/$F$31,3)</f>
        <v>0.29699999999999999</v>
      </c>
      <c r="H28" s="51">
        <f>$B28 * $G$28 + $C28 * $G$29 + $D28 * $G$30</f>
        <v>0.89300000000000002</v>
      </c>
      <c r="I28" s="50">
        <f t="shared" ref="I28:I30" si="8">ROUND(H28/G28,3)</f>
        <v>3.0070000000000001</v>
      </c>
      <c r="J28" s="52">
        <f>ROUND(AVERAGE(I28:I30),3)</f>
        <v>3.0089999999999999</v>
      </c>
      <c r="K28" s="51">
        <f>ROUND((J28-3)/2,3)</f>
        <v>4.0000000000000001E-3</v>
      </c>
      <c r="L28" s="53">
        <f>ROUND(K28/0.58,3)</f>
        <v>7.0000000000000001E-3</v>
      </c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82"/>
      <c r="BL28" s="45"/>
      <c r="BM28" s="45"/>
      <c r="BN28" s="45"/>
    </row>
    <row r="29" spans="1:70" ht="15.75" customHeight="1" x14ac:dyDescent="0.35">
      <c r="A29" s="89" t="s">
        <v>90</v>
      </c>
      <c r="B29" s="54">
        <v>2</v>
      </c>
      <c r="C29" s="54">
        <v>1</v>
      </c>
      <c r="D29" s="54">
        <v>3</v>
      </c>
      <c r="E29" s="125"/>
      <c r="F29" s="50">
        <f t="shared" ref="F29:F30" si="9">ROUND(POWER(PRODUCT($B29:$D29),1/3),3)</f>
        <v>1.8169999999999999</v>
      </c>
      <c r="G29" s="50">
        <f t="shared" ref="G29:G30" si="10">ROUND($F29/$F$31,3)</f>
        <v>0.54</v>
      </c>
      <c r="H29" s="51">
        <f t="shared" ref="H29:H30" si="11">$B29 * $G$28 + $C29 * $G$29 + $D29 * $G$30</f>
        <v>1.6229999999999998</v>
      </c>
      <c r="I29" s="50">
        <f t="shared" si="8"/>
        <v>3.0059999999999998</v>
      </c>
      <c r="J29" s="1"/>
      <c r="K29" s="56"/>
      <c r="L29" s="57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</row>
    <row r="30" spans="1:70" ht="15.75" customHeight="1" x14ac:dyDescent="0.35">
      <c r="A30" s="89" t="s">
        <v>91</v>
      </c>
      <c r="B30" s="54">
        <v>0.5</v>
      </c>
      <c r="C30" s="54">
        <v>0.33333333333333331</v>
      </c>
      <c r="D30" s="54">
        <v>1</v>
      </c>
      <c r="E30" s="125"/>
      <c r="F30" s="50">
        <f t="shared" si="9"/>
        <v>0.55000000000000004</v>
      </c>
      <c r="G30" s="50">
        <f t="shared" si="10"/>
        <v>0.16300000000000001</v>
      </c>
      <c r="H30" s="51">
        <f t="shared" si="11"/>
        <v>0.49150000000000005</v>
      </c>
      <c r="I30" s="50">
        <f t="shared" si="8"/>
        <v>3.0150000000000001</v>
      </c>
      <c r="J30" s="1"/>
      <c r="K30" s="56"/>
      <c r="L30" s="57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</row>
    <row r="31" spans="1:70" ht="15.75" customHeight="1" x14ac:dyDescent="0.35">
      <c r="A31" s="80"/>
      <c r="B31" s="99"/>
      <c r="C31" s="99"/>
      <c r="D31" s="99"/>
      <c r="E31" s="49" t="s">
        <v>81</v>
      </c>
      <c r="F31" s="60">
        <f>SUM(F28:F30)</f>
        <v>3.367</v>
      </c>
      <c r="G31" s="60">
        <f>SUM(G28:G30)</f>
        <v>1</v>
      </c>
      <c r="H31" s="123"/>
      <c r="I31" s="124"/>
      <c r="J31" s="1"/>
      <c r="K31" s="56"/>
      <c r="L31" s="57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</row>
    <row r="32" spans="1:70" ht="15.75" customHeight="1" x14ac:dyDescent="0.35">
      <c r="A32" s="122" t="s">
        <v>92</v>
      </c>
      <c r="B32" s="122"/>
      <c r="C32" s="122"/>
      <c r="D32" s="5"/>
      <c r="E32" s="5"/>
      <c r="F32" s="5"/>
      <c r="G32" s="5"/>
      <c r="H32" s="5"/>
      <c r="I32" s="5"/>
      <c r="J32" s="5"/>
      <c r="K32" s="5"/>
      <c r="L32" s="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P32" s="62"/>
    </row>
    <row r="33" spans="1:68" ht="15.75" customHeight="1" x14ac:dyDescent="0.35">
      <c r="A33" s="94"/>
      <c r="B33" s="95" t="s">
        <v>93</v>
      </c>
      <c r="C33" s="95" t="s">
        <v>95</v>
      </c>
      <c r="D33" s="95" t="s">
        <v>94</v>
      </c>
      <c r="E33" s="125"/>
      <c r="F33" s="47" t="s">
        <v>5</v>
      </c>
      <c r="G33" s="47" t="s">
        <v>77</v>
      </c>
      <c r="H33" s="47" t="s">
        <v>78</v>
      </c>
      <c r="I33" s="47" t="s">
        <v>79</v>
      </c>
      <c r="J33" s="48" t="s">
        <v>80</v>
      </c>
      <c r="K33" s="47" t="s">
        <v>0</v>
      </c>
      <c r="L33" s="47" t="s">
        <v>1</v>
      </c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P33" s="62"/>
    </row>
    <row r="34" spans="1:68" ht="15.75" customHeight="1" x14ac:dyDescent="0.35">
      <c r="A34" s="89" t="s">
        <v>93</v>
      </c>
      <c r="B34" s="54">
        <v>1</v>
      </c>
      <c r="C34" s="54">
        <v>2</v>
      </c>
      <c r="D34" s="54">
        <v>4</v>
      </c>
      <c r="E34" s="125"/>
      <c r="F34" s="50">
        <f>ROUND(POWER(PRODUCT($B34:$D34),1/3),3)</f>
        <v>2</v>
      </c>
      <c r="G34" s="50">
        <f>ROUND($F34/$F$37,3)</f>
        <v>0.55800000000000005</v>
      </c>
      <c r="H34" s="51">
        <f>$B34 * $G$34 + $C34 * $G$35 + $D34 * $G$36</f>
        <v>1.6859999999999999</v>
      </c>
      <c r="I34" s="50">
        <f t="shared" ref="I34:I36" si="12">ROUND(H34/G34,3)</f>
        <v>3.0219999999999998</v>
      </c>
      <c r="J34" s="52">
        <f>ROUND(AVERAGE(I34:I36),3)</f>
        <v>3.0190000000000001</v>
      </c>
      <c r="K34" s="51">
        <f>ROUND((J34-3)/2,3)</f>
        <v>0.01</v>
      </c>
      <c r="L34" s="53">
        <f>ROUND(K34/0.58,3)</f>
        <v>1.7000000000000001E-2</v>
      </c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P34" s="62"/>
    </row>
    <row r="35" spans="1:68" ht="15.75" customHeight="1" x14ac:dyDescent="0.35">
      <c r="A35" s="89" t="s">
        <v>95</v>
      </c>
      <c r="B35" s="54">
        <v>0.5</v>
      </c>
      <c r="C35" s="54">
        <v>1</v>
      </c>
      <c r="D35" s="54">
        <v>3</v>
      </c>
      <c r="E35" s="125"/>
      <c r="F35" s="50">
        <f t="shared" ref="F35:F36" si="13">ROUND(POWER(PRODUCT($B35:$D35),1/3),3)</f>
        <v>1.145</v>
      </c>
      <c r="G35" s="50">
        <f t="shared" ref="G35:G36" si="14">ROUND($F35/$F$37,3)</f>
        <v>0.32</v>
      </c>
      <c r="H35" s="51">
        <f t="shared" ref="H35:H36" si="15">$B35 * $G$34 + $C35 * $G$35 + $D35 * $G$36</f>
        <v>0.96499999999999997</v>
      </c>
      <c r="I35" s="50">
        <f t="shared" si="12"/>
        <v>3.016</v>
      </c>
      <c r="J35" s="1"/>
      <c r="K35" s="56"/>
      <c r="L35" s="57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P35" s="62"/>
    </row>
    <row r="36" spans="1:68" ht="15.75" customHeight="1" x14ac:dyDescent="0.35">
      <c r="A36" s="89" t="s">
        <v>94</v>
      </c>
      <c r="B36" s="54">
        <v>0.25</v>
      </c>
      <c r="C36" s="54">
        <v>0.33333333333333331</v>
      </c>
      <c r="D36" s="54">
        <v>1</v>
      </c>
      <c r="E36" s="125"/>
      <c r="F36" s="50">
        <f t="shared" si="13"/>
        <v>0.437</v>
      </c>
      <c r="G36" s="50">
        <f t="shared" si="14"/>
        <v>0.122</v>
      </c>
      <c r="H36" s="51">
        <f t="shared" si="15"/>
        <v>0.36816666666666664</v>
      </c>
      <c r="I36" s="50">
        <f t="shared" si="12"/>
        <v>3.0179999999999998</v>
      </c>
      <c r="J36" s="1"/>
      <c r="K36" s="56"/>
      <c r="L36" s="57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P36" s="62"/>
    </row>
    <row r="37" spans="1:68" ht="15.75" customHeight="1" x14ac:dyDescent="0.35">
      <c r="A37" s="80"/>
      <c r="B37" s="99"/>
      <c r="C37" s="99"/>
      <c r="D37" s="99"/>
      <c r="E37" s="49" t="s">
        <v>81</v>
      </c>
      <c r="F37" s="60">
        <f>SUM(F34:F36)</f>
        <v>3.5819999999999999</v>
      </c>
      <c r="G37" s="60">
        <f>SUM(G34:G36)</f>
        <v>1</v>
      </c>
      <c r="H37" s="123"/>
      <c r="I37" s="124"/>
      <c r="J37" s="1"/>
      <c r="K37" s="56"/>
      <c r="L37" s="57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</row>
    <row r="38" spans="1:68" ht="15.75" customHeight="1" x14ac:dyDescent="0.35">
      <c r="A38" s="122" t="s">
        <v>96</v>
      </c>
      <c r="B38" s="122"/>
      <c r="C38" s="122"/>
      <c r="D38" s="5"/>
      <c r="E38" s="5"/>
      <c r="F38" s="5"/>
      <c r="G38" s="5"/>
      <c r="H38" s="5"/>
      <c r="I38" s="5"/>
      <c r="J38" s="5"/>
      <c r="K38" s="5"/>
      <c r="L38" s="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</row>
    <row r="39" spans="1:68" ht="15.75" customHeight="1" x14ac:dyDescent="0.35">
      <c r="A39" s="94"/>
      <c r="B39" s="95" t="s">
        <v>97</v>
      </c>
      <c r="C39" s="95" t="s">
        <v>98</v>
      </c>
      <c r="D39" s="95" t="s">
        <v>99</v>
      </c>
      <c r="E39" s="125"/>
      <c r="F39" s="47" t="s">
        <v>5</v>
      </c>
      <c r="G39" s="47" t="s">
        <v>77</v>
      </c>
      <c r="H39" s="47" t="s">
        <v>78</v>
      </c>
      <c r="I39" s="47" t="s">
        <v>79</v>
      </c>
      <c r="J39" s="48" t="s">
        <v>80</v>
      </c>
      <c r="K39" s="47" t="s">
        <v>0</v>
      </c>
      <c r="L39" s="47" t="s">
        <v>1</v>
      </c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</row>
    <row r="40" spans="1:68" ht="15.75" customHeight="1" x14ac:dyDescent="0.35">
      <c r="A40" s="89" t="s">
        <v>97</v>
      </c>
      <c r="B40" s="54">
        <v>1</v>
      </c>
      <c r="C40" s="54">
        <v>3</v>
      </c>
      <c r="D40" s="54">
        <v>4</v>
      </c>
      <c r="E40" s="125"/>
      <c r="F40" s="50">
        <f>ROUND(POWER(PRODUCT($B40:$D40),1/3),3)</f>
        <v>2.2890000000000001</v>
      </c>
      <c r="G40" s="50">
        <f>ROUND($F40/$F$43,3)</f>
        <v>0.61399999999999999</v>
      </c>
      <c r="H40" s="51">
        <f>$B40 * $G$40 + $C40 * $G$41 + $D40 * $G$42</f>
        <v>1.8860000000000001</v>
      </c>
      <c r="I40" s="50">
        <f t="shared" ref="I40:I42" si="16">ROUND(H40/G40,3)</f>
        <v>3.0720000000000001</v>
      </c>
      <c r="J40" s="52">
        <f>ROUND(AVERAGE(I40:I42),3)</f>
        <v>3.073</v>
      </c>
      <c r="K40" s="51">
        <f>ROUND((J40-3)/2,3)</f>
        <v>3.6999999999999998E-2</v>
      </c>
      <c r="L40" s="53">
        <f>ROUND(K40/0.58,3)</f>
        <v>6.4000000000000001E-2</v>
      </c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</row>
    <row r="41" spans="1:68" ht="15.75" customHeight="1" x14ac:dyDescent="0.35">
      <c r="A41" s="89" t="s">
        <v>98</v>
      </c>
      <c r="B41" s="54">
        <v>0.33333333333333331</v>
      </c>
      <c r="C41" s="54">
        <v>1</v>
      </c>
      <c r="D41" s="54">
        <v>3</v>
      </c>
      <c r="E41" s="125"/>
      <c r="F41" s="50">
        <f t="shared" ref="F41:F42" si="17">ROUND(POWER(PRODUCT($B41:$D41),1/3),3)</f>
        <v>1</v>
      </c>
      <c r="G41" s="50">
        <f t="shared" ref="G41:G42" si="18">ROUND($F41/$F$43,3)</f>
        <v>0.26800000000000002</v>
      </c>
      <c r="H41" s="51">
        <f t="shared" ref="H41:H42" si="19">$B41 * $G$40 + $C41 * $G$41 + $D41 * $G$42</f>
        <v>0.82366666666666677</v>
      </c>
      <c r="I41" s="50">
        <f t="shared" si="16"/>
        <v>3.073</v>
      </c>
      <c r="J41" s="1"/>
      <c r="K41" s="56"/>
      <c r="L41" s="57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</row>
    <row r="42" spans="1:68" ht="15.75" customHeight="1" x14ac:dyDescent="0.35">
      <c r="A42" s="89" t="s">
        <v>99</v>
      </c>
      <c r="B42" s="54">
        <v>0.25</v>
      </c>
      <c r="C42" s="54">
        <v>0.33333333333333331</v>
      </c>
      <c r="D42" s="54">
        <v>1</v>
      </c>
      <c r="E42" s="125"/>
      <c r="F42" s="50">
        <f t="shared" si="17"/>
        <v>0.437</v>
      </c>
      <c r="G42" s="50">
        <f t="shared" si="18"/>
        <v>0.11700000000000001</v>
      </c>
      <c r="H42" s="51">
        <f t="shared" si="19"/>
        <v>0.35983333333333334</v>
      </c>
      <c r="I42" s="50">
        <f t="shared" si="16"/>
        <v>3.0750000000000002</v>
      </c>
      <c r="J42" s="1"/>
      <c r="K42" s="56"/>
      <c r="L42" s="57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</row>
    <row r="43" spans="1:68" ht="15.75" customHeight="1" x14ac:dyDescent="0.35">
      <c r="A43" s="80"/>
      <c r="B43" s="99"/>
      <c r="C43" s="99"/>
      <c r="D43" s="99"/>
      <c r="E43" s="49" t="s">
        <v>81</v>
      </c>
      <c r="F43" s="60">
        <f>SUM(F40:F42)</f>
        <v>3.726</v>
      </c>
      <c r="G43" s="60">
        <f>SUM(G40:G42)</f>
        <v>0.999</v>
      </c>
      <c r="H43" s="123"/>
      <c r="I43" s="124"/>
      <c r="J43" s="1"/>
      <c r="K43" s="56"/>
      <c r="L43" s="57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</row>
    <row r="44" spans="1:68" ht="15.5" customHeight="1" x14ac:dyDescent="0.35">
      <c r="A44" s="120" t="s">
        <v>106</v>
      </c>
      <c r="B44" s="120"/>
      <c r="C44" s="120"/>
      <c r="D44" s="120"/>
      <c r="F44" s="5"/>
      <c r="G44" s="5"/>
      <c r="H44" s="5"/>
      <c r="I44" s="5"/>
      <c r="J44" s="5"/>
      <c r="K44" s="5"/>
      <c r="L44" s="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</row>
    <row r="45" spans="1:68" ht="29" customHeight="1" x14ac:dyDescent="0.35">
      <c r="A45" s="103" t="s">
        <v>84</v>
      </c>
      <c r="B45" s="103" t="s">
        <v>107</v>
      </c>
      <c r="C45" s="103" t="s">
        <v>0</v>
      </c>
      <c r="D45" s="103" t="s">
        <v>108</v>
      </c>
      <c r="E45" s="103" t="s">
        <v>18</v>
      </c>
      <c r="F45" s="104" t="s">
        <v>109</v>
      </c>
      <c r="G45" s="104" t="s">
        <v>20</v>
      </c>
      <c r="H45" s="104" t="s">
        <v>21</v>
      </c>
      <c r="I45" s="104" t="s">
        <v>110</v>
      </c>
      <c r="J45" s="5"/>
      <c r="K45" s="5"/>
      <c r="L45" s="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</row>
    <row r="46" spans="1:68" ht="15.75" customHeight="1" x14ac:dyDescent="0.35">
      <c r="A46" s="89" t="s">
        <v>64</v>
      </c>
      <c r="B46" s="107">
        <f>G15</f>
        <v>0.69</v>
      </c>
      <c r="C46" s="108">
        <f>$K$22</f>
        <v>6.8000000000000005E-2</v>
      </c>
      <c r="D46" s="107">
        <f>B46 * C46</f>
        <v>4.6919999999999996E-2</v>
      </c>
      <c r="E46" s="107">
        <v>0.57999999999999996</v>
      </c>
      <c r="F46" s="107">
        <f>B46 * E46</f>
        <v>0.40019999999999994</v>
      </c>
      <c r="G46" s="101">
        <f>SUM(D46:D49)</f>
        <v>5.0964999999999996E-2</v>
      </c>
      <c r="H46" s="101">
        <f>SUM(F46:F49)</f>
        <v>0.57999999999999985</v>
      </c>
      <c r="I46" s="109">
        <f>G46/H46</f>
        <v>8.7870689655172432E-2</v>
      </c>
      <c r="J46" s="5"/>
      <c r="K46" s="5"/>
      <c r="L46" s="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</row>
    <row r="47" spans="1:68" ht="15.75" customHeight="1" x14ac:dyDescent="0.35">
      <c r="A47" s="89" t="s">
        <v>82</v>
      </c>
      <c r="B47" s="107">
        <f>G16</f>
        <v>9.9000000000000005E-2</v>
      </c>
      <c r="C47" s="108">
        <f>$K$28</f>
        <v>4.0000000000000001E-3</v>
      </c>
      <c r="D47" s="107">
        <f t="shared" ref="D47:D49" si="20">B47 * C47</f>
        <v>3.9600000000000003E-4</v>
      </c>
      <c r="E47" s="107">
        <v>0.57999999999999996</v>
      </c>
      <c r="F47" s="107">
        <f t="shared" ref="F47:F49" si="21">B47 * E47</f>
        <v>5.7419999999999999E-2</v>
      </c>
      <c r="G47" s="5"/>
      <c r="H47" s="5"/>
      <c r="I47" s="5"/>
      <c r="J47" s="5"/>
      <c r="K47" s="5"/>
      <c r="L47" s="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</row>
    <row r="48" spans="1:68" ht="15.75" customHeight="1" x14ac:dyDescent="0.35">
      <c r="A48" s="89" t="s">
        <v>20</v>
      </c>
      <c r="B48" s="107">
        <f>G17</f>
        <v>0.154</v>
      </c>
      <c r="C48" s="108">
        <f>$K$34</f>
        <v>0.01</v>
      </c>
      <c r="D48" s="107">
        <f t="shared" si="20"/>
        <v>1.5399999999999999E-3</v>
      </c>
      <c r="E48" s="107">
        <v>0.57999999999999996</v>
      </c>
      <c r="F48" s="107">
        <f t="shared" si="21"/>
        <v>8.9319999999999997E-2</v>
      </c>
      <c r="G48" s="5"/>
      <c r="H48" s="5"/>
      <c r="I48" s="5"/>
      <c r="J48" s="5"/>
      <c r="K48" s="5"/>
      <c r="L48" s="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</row>
    <row r="49" spans="1:66" ht="15.75" customHeight="1" x14ac:dyDescent="0.35">
      <c r="A49" s="89" t="s">
        <v>9</v>
      </c>
      <c r="B49" s="107">
        <f>G18</f>
        <v>5.7000000000000002E-2</v>
      </c>
      <c r="C49" s="108">
        <f>$K$40</f>
        <v>3.6999999999999998E-2</v>
      </c>
      <c r="D49" s="107">
        <f t="shared" si="20"/>
        <v>2.1089999999999998E-3</v>
      </c>
      <c r="E49" s="107">
        <v>0.57999999999999996</v>
      </c>
      <c r="F49" s="107">
        <f t="shared" si="21"/>
        <v>3.3059999999999999E-2</v>
      </c>
      <c r="G49" s="5"/>
      <c r="H49" s="5"/>
      <c r="I49" s="5"/>
      <c r="J49" s="5"/>
      <c r="K49" s="5"/>
      <c r="L49" s="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</row>
    <row r="50" spans="1:66" ht="15.75" customHeight="1" x14ac:dyDescent="0.35">
      <c r="A50" s="121" t="s">
        <v>100</v>
      </c>
      <c r="B50" s="121"/>
      <c r="C50" s="121"/>
      <c r="D50" s="5"/>
      <c r="E50" s="5"/>
      <c r="G50" s="5"/>
      <c r="H50" s="5"/>
      <c r="I50" s="5"/>
      <c r="J50" s="5"/>
      <c r="K50" s="5"/>
      <c r="L50" s="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</row>
    <row r="51" spans="1:66" ht="30.5" customHeight="1" x14ac:dyDescent="0.35">
      <c r="A51" s="103" t="s">
        <v>102</v>
      </c>
      <c r="B51" s="103" t="s">
        <v>101</v>
      </c>
      <c r="C51" s="103" t="s">
        <v>103</v>
      </c>
      <c r="D51" s="103" t="s">
        <v>104</v>
      </c>
      <c r="E51" s="104" t="s">
        <v>105</v>
      </c>
      <c r="L51" s="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</row>
    <row r="52" spans="1:66" ht="15.75" customHeight="1" x14ac:dyDescent="0.35">
      <c r="A52" s="131" t="s">
        <v>64</v>
      </c>
      <c r="B52" s="102">
        <f>G$15</f>
        <v>0.69</v>
      </c>
      <c r="C52" s="100" t="s">
        <v>85</v>
      </c>
      <c r="D52" s="101">
        <f>G22</f>
        <v>0.70099999999999996</v>
      </c>
      <c r="E52" s="107">
        <f>ROUND(B52*D52,3)</f>
        <v>0.48399999999999999</v>
      </c>
      <c r="L52" s="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</row>
    <row r="53" spans="1:66" ht="15.75" customHeight="1" x14ac:dyDescent="0.35">
      <c r="A53" s="132"/>
      <c r="B53" s="102">
        <f>G$15</f>
        <v>0.69</v>
      </c>
      <c r="C53" s="100" t="s">
        <v>86</v>
      </c>
      <c r="D53" s="101">
        <f>G23</f>
        <v>9.7000000000000003E-2</v>
      </c>
      <c r="E53" s="107">
        <f t="shared" ref="E53:E63" si="22">ROUND(B53*D53,3)</f>
        <v>6.7000000000000004E-2</v>
      </c>
      <c r="L53" s="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</row>
    <row r="54" spans="1:66" ht="15.75" customHeight="1" x14ac:dyDescent="0.35">
      <c r="A54" s="133"/>
      <c r="B54" s="102">
        <f>G$15</f>
        <v>0.69</v>
      </c>
      <c r="C54" s="100" t="s">
        <v>87</v>
      </c>
      <c r="D54" s="101">
        <f>G24</f>
        <v>0.20200000000000001</v>
      </c>
      <c r="E54" s="107">
        <f t="shared" si="22"/>
        <v>0.13900000000000001</v>
      </c>
      <c r="L54" s="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</row>
    <row r="55" spans="1:66" ht="15.75" customHeight="1" x14ac:dyDescent="0.35">
      <c r="A55" s="131" t="s">
        <v>82</v>
      </c>
      <c r="B55" s="102">
        <f>G$16</f>
        <v>9.9000000000000005E-2</v>
      </c>
      <c r="C55" s="100" t="s">
        <v>89</v>
      </c>
      <c r="D55" s="101">
        <f>G28</f>
        <v>0.29699999999999999</v>
      </c>
      <c r="E55" s="107">
        <f t="shared" si="22"/>
        <v>2.9000000000000001E-2</v>
      </c>
      <c r="L55" s="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</row>
    <row r="56" spans="1:66" ht="15.75" customHeight="1" x14ac:dyDescent="0.35">
      <c r="A56" s="132"/>
      <c r="B56" s="102">
        <f>G$16</f>
        <v>9.9000000000000005E-2</v>
      </c>
      <c r="C56" s="100" t="s">
        <v>90</v>
      </c>
      <c r="D56" s="101">
        <f>G29</f>
        <v>0.54</v>
      </c>
      <c r="E56" s="107">
        <f t="shared" si="22"/>
        <v>5.2999999999999999E-2</v>
      </c>
      <c r="L56" s="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</row>
    <row r="57" spans="1:66" ht="15.75" customHeight="1" x14ac:dyDescent="0.35">
      <c r="A57" s="133"/>
      <c r="B57" s="102">
        <f>G$16</f>
        <v>9.9000000000000005E-2</v>
      </c>
      <c r="C57" s="100" t="s">
        <v>91</v>
      </c>
      <c r="D57" s="101">
        <f>G30</f>
        <v>0.16300000000000001</v>
      </c>
      <c r="E57" s="107">
        <f t="shared" si="22"/>
        <v>1.6E-2</v>
      </c>
      <c r="L57" s="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</row>
    <row r="58" spans="1:66" ht="15.75" customHeight="1" x14ac:dyDescent="0.35">
      <c r="A58" s="131" t="s">
        <v>20</v>
      </c>
      <c r="B58" s="102">
        <f>G$17</f>
        <v>0.154</v>
      </c>
      <c r="C58" s="100" t="s">
        <v>93</v>
      </c>
      <c r="D58" s="101">
        <f>G34</f>
        <v>0.55800000000000005</v>
      </c>
      <c r="E58" s="107">
        <f t="shared" si="22"/>
        <v>8.5999999999999993E-2</v>
      </c>
      <c r="F58" s="5"/>
      <c r="L58" s="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</row>
    <row r="59" spans="1:66" ht="15.75" customHeight="1" x14ac:dyDescent="0.35">
      <c r="A59" s="132"/>
      <c r="B59" s="102">
        <f>G$17</f>
        <v>0.154</v>
      </c>
      <c r="C59" s="100" t="s">
        <v>95</v>
      </c>
      <c r="D59" s="101">
        <f>G35</f>
        <v>0.32</v>
      </c>
      <c r="E59" s="107">
        <f t="shared" si="22"/>
        <v>4.9000000000000002E-2</v>
      </c>
      <c r="F59" s="5"/>
      <c r="L59" s="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</row>
    <row r="60" spans="1:66" ht="15.75" customHeight="1" x14ac:dyDescent="0.35">
      <c r="A60" s="133"/>
      <c r="B60" s="102">
        <f>G$17</f>
        <v>0.154</v>
      </c>
      <c r="C60" s="100" t="s">
        <v>94</v>
      </c>
      <c r="D60" s="101">
        <f>G36</f>
        <v>0.122</v>
      </c>
      <c r="E60" s="107">
        <f t="shared" si="22"/>
        <v>1.9E-2</v>
      </c>
      <c r="F60" s="5"/>
      <c r="L60" s="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</row>
    <row r="61" spans="1:66" ht="15.75" customHeight="1" x14ac:dyDescent="0.35">
      <c r="A61" s="131" t="s">
        <v>9</v>
      </c>
      <c r="B61" s="102">
        <f>G$18</f>
        <v>5.7000000000000002E-2</v>
      </c>
      <c r="C61" s="100" t="s">
        <v>97</v>
      </c>
      <c r="D61" s="101">
        <f>G40</f>
        <v>0.61399999999999999</v>
      </c>
      <c r="E61" s="107">
        <f t="shared" si="22"/>
        <v>3.5000000000000003E-2</v>
      </c>
    </row>
    <row r="62" spans="1:66" ht="15.75" customHeight="1" x14ac:dyDescent="0.35">
      <c r="A62" s="132"/>
      <c r="B62" s="102">
        <f>G$18</f>
        <v>5.7000000000000002E-2</v>
      </c>
      <c r="C62" s="100" t="s">
        <v>98</v>
      </c>
      <c r="D62" s="101">
        <f>G41</f>
        <v>0.26800000000000002</v>
      </c>
      <c r="E62" s="107">
        <f t="shared" si="22"/>
        <v>1.4999999999999999E-2</v>
      </c>
    </row>
    <row r="63" spans="1:66" ht="15.75" customHeight="1" x14ac:dyDescent="0.35">
      <c r="A63" s="133"/>
      <c r="B63" s="102">
        <f>G$18</f>
        <v>5.7000000000000002E-2</v>
      </c>
      <c r="C63" s="100" t="s">
        <v>99</v>
      </c>
      <c r="D63" s="101">
        <f>G42</f>
        <v>0.11700000000000001</v>
      </c>
      <c r="E63" s="107">
        <f t="shared" si="22"/>
        <v>7.0000000000000001E-3</v>
      </c>
    </row>
    <row r="64" spans="1:66" ht="15.75" customHeight="1" x14ac:dyDescent="0.35">
      <c r="C64" s="5"/>
      <c r="D64" s="105" t="s">
        <v>81</v>
      </c>
      <c r="E64" s="106">
        <f>SUM(E52:E63)</f>
        <v>0.99900000000000011</v>
      </c>
    </row>
    <row r="65" spans="1:13" ht="15.75" customHeight="1" x14ac:dyDescent="0.35">
      <c r="A65" s="120" t="s">
        <v>111</v>
      </c>
      <c r="B65" s="121"/>
      <c r="C65" s="121"/>
    </row>
    <row r="66" spans="1:13" ht="15.75" customHeight="1" x14ac:dyDescent="0.35">
      <c r="A66" s="128"/>
      <c r="B66" s="126" t="s">
        <v>114</v>
      </c>
      <c r="C66" s="127"/>
      <c r="D66" s="127"/>
      <c r="E66" s="126" t="s">
        <v>116</v>
      </c>
      <c r="F66" s="127"/>
      <c r="G66" s="127"/>
      <c r="H66" s="126" t="s">
        <v>121</v>
      </c>
      <c r="I66" s="127"/>
      <c r="J66" s="127"/>
      <c r="K66" s="126" t="s">
        <v>125</v>
      </c>
      <c r="L66" s="127"/>
      <c r="M66" s="127"/>
    </row>
    <row r="67" spans="1:13" ht="15.75" customHeight="1" x14ac:dyDescent="0.35">
      <c r="A67" s="129"/>
      <c r="B67" s="89" t="s">
        <v>120</v>
      </c>
      <c r="C67" s="89" t="s">
        <v>113</v>
      </c>
      <c r="D67" s="89" t="s">
        <v>131</v>
      </c>
      <c r="E67" s="89" t="s">
        <v>117</v>
      </c>
      <c r="F67" s="89" t="s">
        <v>119</v>
      </c>
      <c r="G67" s="89" t="s">
        <v>118</v>
      </c>
      <c r="H67" s="89" t="s">
        <v>122</v>
      </c>
      <c r="I67" s="89" t="s">
        <v>123</v>
      </c>
      <c r="J67" s="89" t="s">
        <v>124</v>
      </c>
      <c r="K67" s="89" t="s">
        <v>126</v>
      </c>
      <c r="L67" s="89" t="s">
        <v>127</v>
      </c>
      <c r="M67" s="89" t="s">
        <v>128</v>
      </c>
    </row>
    <row r="68" spans="1:13" ht="25" customHeight="1" x14ac:dyDescent="0.35">
      <c r="A68" s="113" t="s">
        <v>129</v>
      </c>
      <c r="B68" s="107">
        <v>8000</v>
      </c>
      <c r="C68" s="107">
        <v>0</v>
      </c>
      <c r="D68" s="107">
        <v>15</v>
      </c>
      <c r="E68" s="107">
        <v>1</v>
      </c>
      <c r="F68" s="107">
        <f>24 + 24</f>
        <v>48</v>
      </c>
      <c r="G68" s="107">
        <v>1</v>
      </c>
      <c r="H68" s="107">
        <v>8.8000000000000007</v>
      </c>
      <c r="I68" s="107">
        <v>0.44</v>
      </c>
      <c r="J68" s="107">
        <v>6.5</v>
      </c>
      <c r="K68" s="107">
        <v>4.3</v>
      </c>
      <c r="L68" s="107">
        <v>3</v>
      </c>
      <c r="M68" s="107">
        <v>10</v>
      </c>
    </row>
    <row r="69" spans="1:13" ht="25" customHeight="1" x14ac:dyDescent="0.35">
      <c r="A69" s="114" t="s">
        <v>130</v>
      </c>
      <c r="B69" s="107">
        <v>5000</v>
      </c>
      <c r="C69" s="107">
        <f>700 * 4</f>
        <v>2800</v>
      </c>
      <c r="D69" s="107">
        <v>0</v>
      </c>
      <c r="E69" s="107">
        <v>1</v>
      </c>
      <c r="F69" s="107">
        <v>25</v>
      </c>
      <c r="G69" s="107">
        <v>1</v>
      </c>
      <c r="H69" s="107">
        <v>10.1</v>
      </c>
      <c r="I69" s="107">
        <v>0.46</v>
      </c>
      <c r="J69" s="107">
        <v>7.1</v>
      </c>
      <c r="K69" s="107">
        <v>4.9000000000000004</v>
      </c>
      <c r="L69" s="107">
        <v>4</v>
      </c>
      <c r="M69" s="107">
        <v>12</v>
      </c>
    </row>
    <row r="70" spans="1:13" ht="25" customHeight="1" x14ac:dyDescent="0.35">
      <c r="A70" s="115" t="s">
        <v>112</v>
      </c>
      <c r="B70" s="107">
        <v>220000</v>
      </c>
      <c r="C70" s="98">
        <f>3300 * 4</f>
        <v>13200</v>
      </c>
      <c r="D70" s="107">
        <v>20</v>
      </c>
      <c r="E70" s="107">
        <v>1</v>
      </c>
      <c r="F70" s="107">
        <v>97</v>
      </c>
      <c r="G70" s="107">
        <v>1</v>
      </c>
      <c r="H70" s="98">
        <v>0.5</v>
      </c>
      <c r="I70" s="107">
        <v>1E-3</v>
      </c>
      <c r="J70" s="107">
        <v>3.5</v>
      </c>
      <c r="K70" s="107">
        <v>5</v>
      </c>
      <c r="L70" s="107">
        <v>5</v>
      </c>
      <c r="M70" s="107">
        <v>3</v>
      </c>
    </row>
    <row r="71" spans="1:13" ht="25" customHeight="1" x14ac:dyDescent="0.35">
      <c r="A71" s="115" t="s">
        <v>132</v>
      </c>
      <c r="B71" s="107">
        <v>7000</v>
      </c>
      <c r="C71" s="107">
        <f>1400 * 2</f>
        <v>2800</v>
      </c>
      <c r="D71" s="107">
        <v>0</v>
      </c>
      <c r="E71" s="107">
        <v>1</v>
      </c>
      <c r="F71" s="107">
        <v>46</v>
      </c>
      <c r="G71" s="107">
        <v>1</v>
      </c>
      <c r="H71" s="107">
        <v>4.8</v>
      </c>
      <c r="I71" s="107">
        <v>2.12</v>
      </c>
      <c r="J71" s="107">
        <v>6.7</v>
      </c>
      <c r="K71" s="107">
        <v>4.5999999999999996</v>
      </c>
      <c r="L71" s="107">
        <v>4</v>
      </c>
      <c r="M71" s="107">
        <v>15</v>
      </c>
    </row>
    <row r="72" spans="1:13" ht="15.75" customHeight="1" x14ac:dyDescent="0.35">
      <c r="A72" s="105" t="s">
        <v>81</v>
      </c>
      <c r="B72" s="116">
        <f>SUM(B68:B71)</f>
        <v>240000</v>
      </c>
      <c r="C72" s="116">
        <f t="shared" ref="C72:M72" si="23">SUM(C68:C71)</f>
        <v>18800</v>
      </c>
      <c r="D72" s="116">
        <f t="shared" si="23"/>
        <v>35</v>
      </c>
      <c r="E72" s="116">
        <f t="shared" si="23"/>
        <v>4</v>
      </c>
      <c r="F72" s="116">
        <f t="shared" si="23"/>
        <v>216</v>
      </c>
      <c r="G72" s="116">
        <f t="shared" si="23"/>
        <v>4</v>
      </c>
      <c r="H72" s="116">
        <f t="shared" si="23"/>
        <v>24.2</v>
      </c>
      <c r="I72" s="116">
        <f t="shared" si="23"/>
        <v>3.0209999999999999</v>
      </c>
      <c r="J72" s="116">
        <f t="shared" si="23"/>
        <v>23.8</v>
      </c>
      <c r="K72" s="116">
        <f t="shared" si="23"/>
        <v>18.799999999999997</v>
      </c>
      <c r="L72" s="116">
        <f t="shared" si="23"/>
        <v>16</v>
      </c>
      <c r="M72" s="116">
        <f t="shared" si="23"/>
        <v>40</v>
      </c>
    </row>
    <row r="73" spans="1:13" ht="15.75" customHeight="1" x14ac:dyDescent="0.35">
      <c r="A73" s="94"/>
      <c r="B73" s="94" t="s">
        <v>133</v>
      </c>
      <c r="C73" s="94" t="s">
        <v>134</v>
      </c>
      <c r="D73" s="94" t="s">
        <v>135</v>
      </c>
      <c r="E73" s="94" t="s">
        <v>136</v>
      </c>
      <c r="F73" s="94" t="s">
        <v>137</v>
      </c>
      <c r="G73" s="94" t="s">
        <v>138</v>
      </c>
      <c r="H73" s="94" t="s">
        <v>139</v>
      </c>
      <c r="I73" s="94" t="s">
        <v>140</v>
      </c>
      <c r="J73" s="94" t="s">
        <v>141</v>
      </c>
      <c r="K73" s="94" t="s">
        <v>142</v>
      </c>
      <c r="L73" s="94" t="s">
        <v>143</v>
      </c>
      <c r="M73" s="94" t="s">
        <v>144</v>
      </c>
    </row>
    <row r="74" spans="1:13" ht="15.75" customHeight="1" x14ac:dyDescent="0.35">
      <c r="A74" s="113" t="s">
        <v>129</v>
      </c>
      <c r="B74" s="107">
        <f>1/B68/B$72</f>
        <v>5.2083333333333334E-10</v>
      </c>
      <c r="C74" s="107">
        <f>IF(C68=0,10000,1/C68/C$72)</f>
        <v>10000</v>
      </c>
      <c r="D74" s="107">
        <f>D68/D$72</f>
        <v>0.42857142857142855</v>
      </c>
      <c r="E74" s="107">
        <f>E68/E$72</f>
        <v>0.25</v>
      </c>
      <c r="F74" s="107">
        <f>F68/F$72</f>
        <v>0.22222222222222221</v>
      </c>
      <c r="G74" s="107">
        <f>G68/G$72</f>
        <v>0.25</v>
      </c>
      <c r="H74" s="107">
        <f t="shared" ref="H74:J74" si="24">1/H68/H$72</f>
        <v>4.6957175056348607E-3</v>
      </c>
      <c r="I74" s="107">
        <f t="shared" si="24"/>
        <v>0.7523095904426591</v>
      </c>
      <c r="J74" s="107">
        <f t="shared" si="24"/>
        <v>6.4641241111829352E-3</v>
      </c>
      <c r="K74" s="107">
        <f>K68/K$72</f>
        <v>0.22872340425531917</v>
      </c>
      <c r="L74" s="107">
        <f>L68/L$72</f>
        <v>0.1875</v>
      </c>
      <c r="M74" s="107">
        <f>1/M68/M$72</f>
        <v>2.5000000000000001E-3</v>
      </c>
    </row>
    <row r="75" spans="1:13" ht="15.75" customHeight="1" x14ac:dyDescent="0.35">
      <c r="A75" s="114" t="s">
        <v>130</v>
      </c>
      <c r="B75" s="107">
        <f t="shared" ref="B75:B77" si="25">1/B69/B$72</f>
        <v>8.3333333333333335E-10</v>
      </c>
      <c r="C75" s="107">
        <f t="shared" ref="C75:C77" si="26">IF(C69=0,10000,1/C69/C$72)</f>
        <v>1.8996960486322188E-8</v>
      </c>
      <c r="D75" s="107">
        <f t="shared" ref="D75:G77" si="27">D69/D$72</f>
        <v>0</v>
      </c>
      <c r="E75" s="107">
        <f t="shared" si="27"/>
        <v>0.25</v>
      </c>
      <c r="F75" s="107">
        <f t="shared" si="27"/>
        <v>0.11574074074074074</v>
      </c>
      <c r="G75" s="107">
        <f t="shared" si="27"/>
        <v>0.25</v>
      </c>
      <c r="H75" s="107">
        <f t="shared" ref="H75:J75" si="28">1/H69/H$72</f>
        <v>4.0913182227313646E-3</v>
      </c>
      <c r="I75" s="107">
        <f t="shared" si="28"/>
        <v>0.71960047781471725</v>
      </c>
      <c r="J75" s="107">
        <f t="shared" si="28"/>
        <v>5.9178601017871937E-3</v>
      </c>
      <c r="K75" s="107">
        <f t="shared" ref="K75:L77" si="29">K69/K$72</f>
        <v>0.2606382978723405</v>
      </c>
      <c r="L75" s="107">
        <f t="shared" si="29"/>
        <v>0.25</v>
      </c>
      <c r="M75" s="107">
        <f t="shared" ref="M75:M77" si="30">1/M69/M$72</f>
        <v>2.0833333333333333E-3</v>
      </c>
    </row>
    <row r="76" spans="1:13" ht="15.75" customHeight="1" x14ac:dyDescent="0.35">
      <c r="A76" s="115" t="s">
        <v>112</v>
      </c>
      <c r="B76" s="107">
        <f t="shared" si="25"/>
        <v>1.8939393939393941E-11</v>
      </c>
      <c r="C76" s="107">
        <f t="shared" si="26"/>
        <v>4.0296582849774337E-9</v>
      </c>
      <c r="D76" s="107">
        <f t="shared" si="27"/>
        <v>0.5714285714285714</v>
      </c>
      <c r="E76" s="107">
        <f t="shared" si="27"/>
        <v>0.25</v>
      </c>
      <c r="F76" s="107">
        <f t="shared" si="27"/>
        <v>0.44907407407407407</v>
      </c>
      <c r="G76" s="107">
        <f t="shared" si="27"/>
        <v>0.25</v>
      </c>
      <c r="H76" s="107">
        <f t="shared" ref="H76:J76" si="31">1/H70/H$72</f>
        <v>8.2644628099173556E-2</v>
      </c>
      <c r="I76" s="107">
        <f t="shared" si="31"/>
        <v>331.01621979476994</v>
      </c>
      <c r="J76" s="107">
        <f t="shared" si="31"/>
        <v>1.2004801920768306E-2</v>
      </c>
      <c r="K76" s="107">
        <f t="shared" si="29"/>
        <v>0.26595744680851069</v>
      </c>
      <c r="L76" s="107">
        <f t="shared" si="29"/>
        <v>0.3125</v>
      </c>
      <c r="M76" s="107">
        <f t="shared" si="30"/>
        <v>8.3333333333333332E-3</v>
      </c>
    </row>
    <row r="77" spans="1:13" ht="15.75" customHeight="1" x14ac:dyDescent="0.35">
      <c r="A77" s="115" t="s">
        <v>132</v>
      </c>
      <c r="B77" s="107">
        <f t="shared" si="25"/>
        <v>5.9523809523809525E-10</v>
      </c>
      <c r="C77" s="107">
        <f t="shared" si="26"/>
        <v>1.8996960486322188E-8</v>
      </c>
      <c r="D77" s="107">
        <f t="shared" si="27"/>
        <v>0</v>
      </c>
      <c r="E77" s="107">
        <f t="shared" si="27"/>
        <v>0.25</v>
      </c>
      <c r="F77" s="107">
        <f t="shared" si="27"/>
        <v>0.21296296296296297</v>
      </c>
      <c r="G77" s="107">
        <f t="shared" si="27"/>
        <v>0.25</v>
      </c>
      <c r="H77" s="107">
        <f t="shared" ref="H77:J77" si="32">1/H71/H$72</f>
        <v>8.6088154269972454E-3</v>
      </c>
      <c r="I77" s="107">
        <f t="shared" si="32"/>
        <v>0.15613972631828771</v>
      </c>
      <c r="J77" s="107">
        <f t="shared" si="32"/>
        <v>6.2711651824909065E-3</v>
      </c>
      <c r="K77" s="107">
        <f t="shared" si="29"/>
        <v>0.24468085106382981</v>
      </c>
      <c r="L77" s="107">
        <f t="shared" si="29"/>
        <v>0.25</v>
      </c>
      <c r="M77" s="107">
        <f t="shared" si="30"/>
        <v>1.6666666666666666E-3</v>
      </c>
    </row>
    <row r="78" spans="1:13" ht="15.75" customHeight="1" x14ac:dyDescent="0.35">
      <c r="A78" s="105" t="s">
        <v>81</v>
      </c>
      <c r="B78" s="116">
        <f>SUM(B74:B77)</f>
        <v>1.9683441558441563E-9</v>
      </c>
      <c r="C78" s="116">
        <f t="shared" ref="C78:M78" si="33">SUM(C74:C77)</f>
        <v>10000.000000042024</v>
      </c>
      <c r="D78" s="116">
        <f t="shared" si="33"/>
        <v>1</v>
      </c>
      <c r="E78" s="116">
        <f t="shared" si="33"/>
        <v>1</v>
      </c>
      <c r="F78" s="116">
        <f t="shared" si="33"/>
        <v>1</v>
      </c>
      <c r="G78" s="116">
        <f t="shared" si="33"/>
        <v>1</v>
      </c>
      <c r="H78" s="116">
        <f t="shared" si="33"/>
        <v>0.10004047925453703</v>
      </c>
      <c r="I78" s="116">
        <f t="shared" si="33"/>
        <v>332.64426958934564</v>
      </c>
      <c r="J78" s="116">
        <f t="shared" si="33"/>
        <v>3.0657951316229344E-2</v>
      </c>
      <c r="K78" s="116">
        <f t="shared" si="33"/>
        <v>1.0000000000000002</v>
      </c>
      <c r="L78" s="116">
        <f t="shared" si="33"/>
        <v>1</v>
      </c>
      <c r="M78" s="116">
        <f t="shared" si="33"/>
        <v>1.4583333333333334E-2</v>
      </c>
    </row>
    <row r="79" spans="1:13" ht="15.75" customHeight="1" x14ac:dyDescent="0.35">
      <c r="A79" s="94"/>
      <c r="B79" s="94" t="s">
        <v>145</v>
      </c>
      <c r="C79" s="94" t="s">
        <v>146</v>
      </c>
      <c r="D79" s="94" t="s">
        <v>147</v>
      </c>
      <c r="E79" s="94" t="s">
        <v>148</v>
      </c>
      <c r="F79" s="94" t="s">
        <v>149</v>
      </c>
      <c r="G79" s="94" t="s">
        <v>150</v>
      </c>
      <c r="H79" s="94" t="s">
        <v>151</v>
      </c>
      <c r="I79" s="94" t="s">
        <v>152</v>
      </c>
      <c r="J79" s="94" t="s">
        <v>153</v>
      </c>
      <c r="K79" s="94" t="s">
        <v>154</v>
      </c>
      <c r="L79" s="94" t="s">
        <v>155</v>
      </c>
      <c r="M79" s="94" t="s">
        <v>156</v>
      </c>
    </row>
    <row r="80" spans="1:13" ht="15.75" customHeight="1" x14ac:dyDescent="0.35">
      <c r="A80" s="113" t="s">
        <v>129</v>
      </c>
      <c r="B80" s="107">
        <f>B74/B$78</f>
        <v>0.26460481099656352</v>
      </c>
      <c r="C80" s="107">
        <f t="shared" ref="C80:M80" si="34">C74/C$78</f>
        <v>0.99999999999579758</v>
      </c>
      <c r="D80" s="107">
        <f t="shared" si="34"/>
        <v>0.42857142857142855</v>
      </c>
      <c r="E80" s="107">
        <f t="shared" si="34"/>
        <v>0.25</v>
      </c>
      <c r="F80" s="107">
        <f t="shared" si="34"/>
        <v>0.22222222222222221</v>
      </c>
      <c r="G80" s="107">
        <f t="shared" si="34"/>
        <v>0.25</v>
      </c>
      <c r="H80" s="107">
        <f t="shared" si="34"/>
        <v>4.6938174833082887E-2</v>
      </c>
      <c r="I80" s="107">
        <f t="shared" si="34"/>
        <v>2.2616039391611846E-3</v>
      </c>
      <c r="J80" s="107">
        <f t="shared" si="34"/>
        <v>0.21084657759766987</v>
      </c>
      <c r="K80" s="107">
        <f t="shared" si="34"/>
        <v>0.22872340425531912</v>
      </c>
      <c r="L80" s="107">
        <f t="shared" si="34"/>
        <v>0.1875</v>
      </c>
      <c r="M80" s="107">
        <f t="shared" si="34"/>
        <v>0.17142857142857143</v>
      </c>
    </row>
    <row r="81" spans="1:13" ht="15.75" customHeight="1" x14ac:dyDescent="0.35">
      <c r="A81" s="114" t="s">
        <v>130</v>
      </c>
      <c r="B81" s="107">
        <f t="shared" ref="B81:M83" si="35">B75/B$78</f>
        <v>0.42336769759450166</v>
      </c>
      <c r="C81" s="107">
        <f t="shared" si="35"/>
        <v>1.8996960486242357E-12</v>
      </c>
      <c r="D81" s="107">
        <f t="shared" si="35"/>
        <v>0</v>
      </c>
      <c r="E81" s="107">
        <f t="shared" si="35"/>
        <v>0.25</v>
      </c>
      <c r="F81" s="107">
        <f t="shared" si="35"/>
        <v>0.11574074074074074</v>
      </c>
      <c r="G81" s="107">
        <f t="shared" si="35"/>
        <v>0.25</v>
      </c>
      <c r="H81" s="107">
        <f t="shared" si="35"/>
        <v>4.0896627577339556E-2</v>
      </c>
      <c r="I81" s="107">
        <f t="shared" si="35"/>
        <v>2.1632733331106977E-3</v>
      </c>
      <c r="J81" s="107">
        <f t="shared" si="35"/>
        <v>0.19302855695561325</v>
      </c>
      <c r="K81" s="107">
        <f t="shared" si="35"/>
        <v>0.26063829787234044</v>
      </c>
      <c r="L81" s="107">
        <f t="shared" si="35"/>
        <v>0.25</v>
      </c>
      <c r="M81" s="107">
        <f t="shared" si="35"/>
        <v>0.14285714285714285</v>
      </c>
    </row>
    <row r="82" spans="1:13" ht="15.75" customHeight="1" x14ac:dyDescent="0.35">
      <c r="A82" s="115" t="s">
        <v>112</v>
      </c>
      <c r="B82" s="107">
        <f t="shared" si="35"/>
        <v>9.6219931271477651E-3</v>
      </c>
      <c r="C82" s="107">
        <f t="shared" si="35"/>
        <v>4.0296582849604994E-13</v>
      </c>
      <c r="D82" s="107">
        <f t="shared" si="35"/>
        <v>0.5714285714285714</v>
      </c>
      <c r="E82" s="107">
        <f t="shared" si="35"/>
        <v>0.25</v>
      </c>
      <c r="F82" s="107">
        <f t="shared" si="35"/>
        <v>0.44907407407407407</v>
      </c>
      <c r="G82" s="107">
        <f t="shared" si="35"/>
        <v>0.25</v>
      </c>
      <c r="H82" s="107">
        <f t="shared" si="35"/>
        <v>0.82611187706225886</v>
      </c>
      <c r="I82" s="107">
        <f t="shared" si="35"/>
        <v>0.995105733230921</v>
      </c>
      <c r="J82" s="107">
        <f t="shared" si="35"/>
        <v>0.39157221553852967</v>
      </c>
      <c r="K82" s="107">
        <f t="shared" si="35"/>
        <v>0.26595744680851063</v>
      </c>
      <c r="L82" s="107">
        <f t="shared" si="35"/>
        <v>0.3125</v>
      </c>
      <c r="M82" s="107">
        <f t="shared" si="35"/>
        <v>0.5714285714285714</v>
      </c>
    </row>
    <row r="83" spans="1:13" ht="15.75" customHeight="1" x14ac:dyDescent="0.35">
      <c r="A83" s="115" t="s">
        <v>132</v>
      </c>
      <c r="B83" s="107">
        <f t="shared" si="35"/>
        <v>0.30240549828178687</v>
      </c>
      <c r="C83" s="107">
        <f t="shared" si="35"/>
        <v>1.8996960486242357E-12</v>
      </c>
      <c r="D83" s="107">
        <f t="shared" si="35"/>
        <v>0</v>
      </c>
      <c r="E83" s="107">
        <f t="shared" si="35"/>
        <v>0.25</v>
      </c>
      <c r="F83" s="107">
        <f t="shared" si="35"/>
        <v>0.21296296296296297</v>
      </c>
      <c r="G83" s="107">
        <f t="shared" si="35"/>
        <v>0.25</v>
      </c>
      <c r="H83" s="107">
        <f t="shared" si="35"/>
        <v>8.6053320527318636E-2</v>
      </c>
      <c r="I83" s="107">
        <f t="shared" si="35"/>
        <v>4.6938949680703818E-4</v>
      </c>
      <c r="J83" s="107">
        <f t="shared" si="35"/>
        <v>0.20455264990818714</v>
      </c>
      <c r="K83" s="107">
        <f t="shared" si="35"/>
        <v>0.24468085106382975</v>
      </c>
      <c r="L83" s="107">
        <f t="shared" si="35"/>
        <v>0.25</v>
      </c>
      <c r="M83" s="107">
        <f t="shared" si="35"/>
        <v>0.11428571428571428</v>
      </c>
    </row>
    <row r="84" spans="1:13" ht="15.75" customHeight="1" x14ac:dyDescent="0.35">
      <c r="A84" s="105" t="s">
        <v>81</v>
      </c>
      <c r="B84" s="116">
        <f>SUM(B80:B83)</f>
        <v>0.99999999999999978</v>
      </c>
      <c r="C84" s="116">
        <f t="shared" ref="C84" si="36">SUM(C80:C83)</f>
        <v>1</v>
      </c>
      <c r="D84" s="116">
        <f t="shared" ref="D84" si="37">SUM(D80:D83)</f>
        <v>1</v>
      </c>
      <c r="E84" s="116">
        <f t="shared" ref="E84" si="38">SUM(E80:E83)</f>
        <v>1</v>
      </c>
      <c r="F84" s="116">
        <f t="shared" ref="F84" si="39">SUM(F80:F83)</f>
        <v>1</v>
      </c>
      <c r="G84" s="116">
        <f t="shared" ref="G84" si="40">SUM(G80:G83)</f>
        <v>1</v>
      </c>
      <c r="H84" s="116">
        <f t="shared" ref="H84" si="41">SUM(H80:H83)</f>
        <v>0.99999999999999989</v>
      </c>
      <c r="I84" s="116">
        <f t="shared" ref="I84" si="42">SUM(I80:I83)</f>
        <v>1</v>
      </c>
      <c r="J84" s="116">
        <f t="shared" ref="J84" si="43">SUM(J80:J83)</f>
        <v>0.99999999999999989</v>
      </c>
      <c r="K84" s="116">
        <f t="shared" ref="K84" si="44">SUM(K80:K83)</f>
        <v>0.99999999999999989</v>
      </c>
      <c r="L84" s="116">
        <f t="shared" ref="L84" si="45">SUM(L80:L83)</f>
        <v>1</v>
      </c>
      <c r="M84" s="116">
        <f t="shared" ref="M84" si="46">SUM(M80:M83)</f>
        <v>1</v>
      </c>
    </row>
    <row r="85" spans="1:13" ht="15.75" customHeight="1" x14ac:dyDescent="0.35">
      <c r="A85" s="130" t="s">
        <v>157</v>
      </c>
      <c r="B85" s="130"/>
    </row>
    <row r="86" spans="1:13" ht="15.75" customHeight="1" x14ac:dyDescent="0.35">
      <c r="A86" s="110" t="s">
        <v>129</v>
      </c>
      <c r="B86" s="107">
        <f>$E$52 * $B80 + $E$53 * $C80 + $E$54 * $D80 + $E$55 * $E80 + $E$56 * $F80 + $E$57 * $G80 + $E$58 * $H80 + $E$59 * $I80 + $E$60 * $J80 + $E$61 * $K80 + $E$62 * $L80 + $E$63 * $M80</f>
        <v>0.29783934062321743</v>
      </c>
    </row>
    <row r="87" spans="1:13" ht="15.75" customHeight="1" x14ac:dyDescent="0.35">
      <c r="A87" s="111" t="s">
        <v>130</v>
      </c>
      <c r="B87" s="107">
        <f t="shared" ref="B87:B89" si="47">$E$52 * $B81 + $E$53 * $C81 + $E$54 * $D81 + $E$55 * $E81 + $E$56 * $F81 + $E$57 * $G81 + $E$58 * $H81 + $E$59 * $I81 + $E$60 * $J81 + $E$61 * $K81 + $E$62 * $L81 + $E$63 * $M81</f>
        <v>0.24345721826778755</v>
      </c>
    </row>
    <row r="88" spans="1:13" ht="15.75" customHeight="1" x14ac:dyDescent="0.35">
      <c r="A88" s="112" t="s">
        <v>112</v>
      </c>
      <c r="B88" s="107">
        <f t="shared" si="47"/>
        <v>0.26437822711726322</v>
      </c>
    </row>
    <row r="89" spans="1:13" ht="15.75" customHeight="1" x14ac:dyDescent="0.35">
      <c r="A89" s="112" t="s">
        <v>132</v>
      </c>
      <c r="B89" s="107">
        <f t="shared" si="47"/>
        <v>0.19332521399173169</v>
      </c>
    </row>
    <row r="90" spans="1:13" ht="15.75" customHeight="1" x14ac:dyDescent="0.35"/>
    <row r="91" spans="1:13" ht="15.75" customHeight="1" x14ac:dyDescent="0.35"/>
    <row r="92" spans="1:13" ht="15.75" customHeight="1" x14ac:dyDescent="0.35"/>
    <row r="93" spans="1:13" ht="15.75" customHeight="1" x14ac:dyDescent="0.35"/>
    <row r="94" spans="1:13" ht="15.75" customHeight="1" x14ac:dyDescent="0.35"/>
    <row r="95" spans="1:13" ht="15.75" customHeight="1" x14ac:dyDescent="0.35"/>
    <row r="96" spans="1:13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</sheetData>
  <mergeCells count="36">
    <mergeCell ref="K66:M66"/>
    <mergeCell ref="A66:A67"/>
    <mergeCell ref="A85:B85"/>
    <mergeCell ref="A44:D44"/>
    <mergeCell ref="A65:C65"/>
    <mergeCell ref="B66:D66"/>
    <mergeCell ref="E66:G66"/>
    <mergeCell ref="H66:J66"/>
    <mergeCell ref="A52:A54"/>
    <mergeCell ref="A55:A57"/>
    <mergeCell ref="A58:A60"/>
    <mergeCell ref="A61:A63"/>
    <mergeCell ref="A50:C50"/>
    <mergeCell ref="H43:I43"/>
    <mergeCell ref="H25:I25"/>
    <mergeCell ref="E21:E24"/>
    <mergeCell ref="A26:C26"/>
    <mergeCell ref="E27:E30"/>
    <mergeCell ref="H31:I31"/>
    <mergeCell ref="A32:C32"/>
    <mergeCell ref="E33:E36"/>
    <mergeCell ref="H37:I37"/>
    <mergeCell ref="A38:C38"/>
    <mergeCell ref="E39:E42"/>
    <mergeCell ref="A20:C20"/>
    <mergeCell ref="A13:C13"/>
    <mergeCell ref="A7:E7"/>
    <mergeCell ref="A8:E8"/>
    <mergeCell ref="A9:E9"/>
    <mergeCell ref="F1:H9"/>
    <mergeCell ref="A1:E1"/>
    <mergeCell ref="A2:E2"/>
    <mergeCell ref="A3:E3"/>
    <mergeCell ref="A4:E4"/>
    <mergeCell ref="A5:E5"/>
    <mergeCell ref="A6:E6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1б</vt:lpstr>
      <vt:lpstr>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</dc:creator>
  <cp:lastModifiedBy>Verendeev Ilia Maksimovich</cp:lastModifiedBy>
  <dcterms:created xsi:type="dcterms:W3CDTF">2023-04-16T10:46:07Z</dcterms:created>
  <dcterms:modified xsi:type="dcterms:W3CDTF">2023-05-17T12:59:03Z</dcterms:modified>
</cp:coreProperties>
</file>