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50 Comercial\40 Ofertas España\2024\CANNAPHARM\11764 Green Hill Canarias\50 Calculos Oferta\"/>
    </mc:Choice>
  </mc:AlternateContent>
  <xr:revisionPtr revIDLastSave="0" documentId="13_ncr:1_{BE657290-11C9-4C0E-8DCB-3E30CFF384BD}" xr6:coauthVersionLast="47" xr6:coauthVersionMax="47" xr10:uidLastSave="{00000000-0000-0000-0000-000000000000}"/>
  <bookViews>
    <workbookView xWindow="3735" yWindow="-15300" windowWidth="23505" windowHeight="11235" tabRatio="535" xr2:uid="{1CB70B97-482A-4EC7-B69B-485CB574A9DB}"/>
  </bookViews>
  <sheets>
    <sheet name="9 campos" sheetId="2" r:id="rId1"/>
    <sheet name="datos BP" sheetId="9" r:id="rId2"/>
    <sheet name="Equip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2" l="1"/>
  <c r="X15" i="2"/>
  <c r="W16" i="2"/>
  <c r="W15" i="2"/>
  <c r="X8" i="2"/>
  <c r="X7" i="2"/>
  <c r="X6" i="2"/>
  <c r="X9" i="2"/>
  <c r="W8" i="2"/>
  <c r="W7" i="2"/>
  <c r="W6" i="2"/>
  <c r="W9" i="2"/>
  <c r="T8" i="2"/>
  <c r="S8" i="2"/>
  <c r="R8" i="2"/>
  <c r="M27" i="2"/>
  <c r="L27" i="2"/>
  <c r="K27" i="2"/>
  <c r="P26" i="2"/>
  <c r="P25" i="2"/>
  <c r="S41" i="2"/>
  <c r="X63" i="2"/>
  <c r="M10" i="2"/>
  <c r="L3" i="2"/>
  <c r="V59" i="2"/>
  <c r="V8" i="2"/>
  <c r="V7" i="2"/>
  <c r="V6" i="2"/>
  <c r="V9" i="2"/>
  <c r="Y47" i="2"/>
  <c r="K4" i="2"/>
  <c r="T9" i="2"/>
  <c r="R9" i="2" l="1"/>
  <c r="S9" i="2" s="1"/>
  <c r="R7" i="2"/>
  <c r="S7" i="2" s="1"/>
  <c r="T7" i="2" s="1"/>
  <c r="T66" i="2" l="1"/>
  <c r="X66" i="2"/>
  <c r="V66" i="2"/>
  <c r="V63" i="2"/>
  <c r="T63" i="2"/>
  <c r="W67" i="2"/>
  <c r="U67" i="2"/>
  <c r="J72" i="2"/>
  <c r="I72" i="2"/>
  <c r="L72" i="2"/>
  <c r="J10" i="2"/>
  <c r="Q34" i="2"/>
  <c r="Q35" i="2" s="1"/>
  <c r="X67" i="2" l="1"/>
  <c r="M72" i="2"/>
  <c r="P38" i="2"/>
  <c r="G76" i="2"/>
  <c r="P74" i="2" l="1"/>
  <c r="P75" i="2" s="1"/>
  <c r="O64" i="2"/>
  <c r="O65" i="2" s="1"/>
  <c r="P65" i="2" s="1"/>
  <c r="P73" i="2" s="1"/>
  <c r="F70" i="5" l="1"/>
  <c r="F71" i="5"/>
  <c r="I64" i="2"/>
  <c r="I39" i="9"/>
  <c r="G35" i="9"/>
  <c r="G29" i="9"/>
  <c r="G30" i="9"/>
  <c r="G31" i="9"/>
  <c r="G28" i="9"/>
  <c r="C37" i="9"/>
  <c r="G39" i="9" l="1"/>
  <c r="G40" i="9" s="1"/>
  <c r="D21" i="9" l="1"/>
  <c r="D11" i="9"/>
  <c r="I88" i="2"/>
  <c r="J120" i="2"/>
  <c r="J64" i="2"/>
  <c r="E23" i="2" l="1"/>
  <c r="I27" i="2" s="1"/>
  <c r="F15" i="5"/>
  <c r="D16" i="5"/>
  <c r="D17" i="5"/>
  <c r="F108" i="5"/>
  <c r="D108" i="5"/>
  <c r="F107" i="5"/>
  <c r="D107" i="5"/>
  <c r="F105" i="5"/>
  <c r="F106" i="5" s="1"/>
  <c r="D105" i="5"/>
  <c r="D106" i="5" s="1"/>
  <c r="F104" i="5"/>
  <c r="D104" i="5"/>
  <c r="F103" i="5"/>
  <c r="D103" i="5"/>
  <c r="E110" i="5"/>
  <c r="C110" i="5"/>
  <c r="E109" i="5"/>
  <c r="C109" i="5"/>
  <c r="F94" i="5"/>
  <c r="D94" i="5"/>
  <c r="C95" i="5"/>
  <c r="E95" i="5" s="1"/>
  <c r="C89" i="5"/>
  <c r="E89" i="5" s="1"/>
  <c r="F88" i="5"/>
  <c r="E88" i="5"/>
  <c r="D88" i="5"/>
  <c r="C88" i="5"/>
  <c r="F87" i="5"/>
  <c r="E87" i="5"/>
  <c r="D87" i="5"/>
  <c r="C87" i="5"/>
  <c r="I10" i="2"/>
  <c r="I109" i="2"/>
  <c r="E73" i="5" l="1"/>
  <c r="E79" i="5" s="1"/>
  <c r="J11" i="2" l="1"/>
  <c r="D74" i="5"/>
  <c r="E63" i="5"/>
  <c r="G60" i="5"/>
  <c r="E72" i="5"/>
  <c r="D75" i="5" l="1"/>
  <c r="D97" i="2"/>
  <c r="O10" i="2" l="1"/>
  <c r="L10" i="2"/>
  <c r="F39" i="5"/>
  <c r="T61" i="2" l="1"/>
  <c r="R12" i="2"/>
  <c r="R16" i="2" s="1"/>
  <c r="R17" i="2" s="1"/>
  <c r="V68" i="2"/>
  <c r="W68" i="2"/>
  <c r="U68" i="2"/>
  <c r="T68" i="2"/>
  <c r="J92" i="2"/>
  <c r="L92" i="2" s="1"/>
  <c r="M92" i="2" s="1"/>
  <c r="J88" i="2"/>
  <c r="L88" i="2" s="1"/>
  <c r="M88" i="2" s="1"/>
  <c r="L64" i="2"/>
  <c r="M64" i="2" s="1"/>
  <c r="L53" i="2"/>
  <c r="J43" i="2"/>
  <c r="J47" i="2"/>
  <c r="L47" i="2" s="1"/>
  <c r="M47" i="2" s="1"/>
  <c r="E38" i="5"/>
  <c r="F59" i="5" s="1"/>
  <c r="E37" i="5"/>
  <c r="F58" i="5" s="1"/>
  <c r="E36" i="5"/>
  <c r="F57" i="5" s="1"/>
  <c r="E27" i="5"/>
  <c r="F30" i="5" s="1"/>
  <c r="E28" i="5"/>
  <c r="E29" i="5"/>
  <c r="E26" i="5"/>
  <c r="F26" i="5" s="1"/>
  <c r="E49" i="5"/>
  <c r="D48" i="5"/>
  <c r="D47" i="5"/>
  <c r="L43" i="2" l="1"/>
  <c r="M43" i="2" s="1"/>
  <c r="J38" i="2"/>
  <c r="L38" i="2" s="1"/>
  <c r="M38" i="2" s="1"/>
  <c r="F49" i="5"/>
  <c r="D46" i="5"/>
  <c r="I98" i="2"/>
  <c r="J98" i="2" s="1"/>
  <c r="J109" i="2" s="1"/>
  <c r="M109" i="2" s="1"/>
  <c r="I53" i="2"/>
  <c r="L120" i="2"/>
  <c r="M127" i="2"/>
  <c r="L127" i="2"/>
  <c r="M77" i="2" l="1"/>
  <c r="M53" i="2"/>
  <c r="J53" i="2"/>
  <c r="K114" i="2"/>
  <c r="J83" i="2"/>
  <c r="K83" i="2" s="1"/>
  <c r="K15" i="2"/>
  <c r="L15" i="2" s="1"/>
  <c r="J77" i="2" s="1"/>
  <c r="L32" i="2" l="1"/>
  <c r="M32" i="2" s="1"/>
  <c r="O32" i="2" s="1"/>
  <c r="L22" i="2"/>
  <c r="M22" i="2" s="1"/>
  <c r="O22" i="2" s="1"/>
  <c r="M102" i="2"/>
  <c r="M15" i="2"/>
  <c r="O15" i="2" s="1"/>
  <c r="K120" i="2"/>
  <c r="I127" i="2" s="1"/>
  <c r="J127" i="2" s="1"/>
  <c r="M114" i="2"/>
  <c r="N117" i="2" s="1"/>
  <c r="M83" i="2"/>
  <c r="J102" i="2" l="1"/>
  <c r="K102" i="2" s="1"/>
  <c r="L102" i="2" s="1"/>
  <c r="L7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Eudald Bogatell</author>
  </authors>
  <commentList>
    <comment ref="A6" authorId="0" shapeId="0" xr:uid="{2B98B812-8890-4D75-A4E3-493915A87F55}">
      <text>
        <r>
          <rPr>
            <sz val="9"/>
            <color indexed="81"/>
            <rFont val="Tahoma"/>
            <charset val="1"/>
          </rPr>
          <t xml:space="preserve">Superficie util
</t>
        </r>
      </text>
    </comment>
    <comment ref="A7" authorId="0" shapeId="0" xr:uid="{C3541729-D1C1-4E41-B726-DA61AFCEBBDE}">
      <text>
        <r>
          <rPr>
            <b/>
            <sz val="9"/>
            <color indexed="81"/>
            <rFont val="Tahoma"/>
            <charset val="1"/>
          </rPr>
          <t>largo mesas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7" authorId="0" shapeId="0" xr:uid="{FAF27296-D1AC-45D8-93F0-B3F960EB2088}">
      <text>
        <r>
          <rPr>
            <b/>
            <sz val="9"/>
            <color indexed="81"/>
            <rFont val="Tahoma"/>
            <charset val="1"/>
          </rPr>
          <t>numero mesas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8" authorId="0" shapeId="0" xr:uid="{93A5CF01-C882-42DC-BB3C-99ADC8691694}">
      <text>
        <r>
          <rPr>
            <b/>
            <sz val="9"/>
            <color indexed="81"/>
            <rFont val="Tahoma"/>
            <charset val="1"/>
          </rPr>
          <t>ancho mesas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8" authorId="0" shapeId="0" xr:uid="{EDB7867B-B625-4E00-9054-184FE91AACEC}">
      <text>
        <r>
          <rPr>
            <sz val="9"/>
            <color indexed="81"/>
            <rFont val="Tahoma"/>
            <charset val="1"/>
          </rPr>
          <t xml:space="preserve">campo (con pasillos)
</t>
        </r>
      </text>
    </comment>
    <comment ref="J8" authorId="0" shapeId="0" xr:uid="{DE8EF65D-B590-443B-9321-99AE3A871452}">
      <text>
        <r>
          <rPr>
            <sz val="9"/>
            <color indexed="81"/>
            <rFont val="Tahoma"/>
            <charset val="1"/>
          </rPr>
          <t xml:space="preserve">Solo mesas
</t>
        </r>
      </text>
    </comment>
    <comment ref="G12" authorId="0" shapeId="0" xr:uid="{90D208CF-7CE5-40FC-B7BF-D320E9C46AF1}">
      <text>
        <r>
          <rPr>
            <b/>
            <sz val="9"/>
            <color indexed="81"/>
            <rFont val="Tahoma"/>
            <charset val="1"/>
          </rPr>
          <t>largo modulo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3" authorId="0" shapeId="0" xr:uid="{9E876ADA-51B3-4B37-B313-B8911273D50E}">
      <text>
        <r>
          <rPr>
            <b/>
            <sz val="9"/>
            <color indexed="81"/>
            <rFont val="Tahoma"/>
            <charset val="1"/>
          </rPr>
          <t>ancho modulo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3" authorId="0" shapeId="0" xr:uid="{75A74C86-E8BA-4E0A-9859-B761F8589122}">
      <text>
        <r>
          <rPr>
            <b/>
            <sz val="9"/>
            <color indexed="81"/>
            <rFont val="Tahoma"/>
            <charset val="1"/>
          </rPr>
          <t>numero modulos por campo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20" authorId="0" shapeId="0" xr:uid="{6EB298C8-C8B2-4CBE-97FD-5B410042D913}">
      <text>
        <r>
          <rPr>
            <sz val="9"/>
            <color indexed="81"/>
            <rFont val="Tahoma"/>
            <charset val="1"/>
          </rPr>
          <t xml:space="preserve">Solo mesas
</t>
        </r>
      </text>
    </comment>
    <comment ref="O20" authorId="0" shapeId="0" xr:uid="{C49B30A3-5FF7-4DDA-A9D0-368E2833AAC1}">
      <text>
        <r>
          <rPr>
            <sz val="9"/>
            <color indexed="81"/>
            <rFont val="Tahoma"/>
            <charset val="1"/>
          </rPr>
          <t xml:space="preserve">Solo mesas
</t>
        </r>
      </text>
    </comment>
    <comment ref="M25" authorId="0" shapeId="0" xr:uid="{B936FB46-96EF-4DBF-89BA-F3C6B8C93E55}">
      <text>
        <r>
          <rPr>
            <sz val="9"/>
            <color indexed="81"/>
            <rFont val="Tahoma"/>
            <charset val="1"/>
          </rPr>
          <t xml:space="preserve">Solo mesas
</t>
        </r>
      </text>
    </comment>
    <comment ref="M30" authorId="0" shapeId="0" xr:uid="{8BE5ED79-CF63-45EA-AE94-493A1ABF2773}">
      <text>
        <r>
          <rPr>
            <sz val="9"/>
            <color indexed="81"/>
            <rFont val="Tahoma"/>
            <charset val="1"/>
          </rPr>
          <t xml:space="preserve">Solo mesas
</t>
        </r>
      </text>
    </comment>
    <comment ref="O30" authorId="0" shapeId="0" xr:uid="{1438249B-E146-460D-90DD-26A7E3AEC3F3}">
      <text>
        <r>
          <rPr>
            <sz val="9"/>
            <color indexed="81"/>
            <rFont val="Tahoma"/>
            <charset val="1"/>
          </rPr>
          <t xml:space="preserve">Solo mesas
</t>
        </r>
      </text>
    </comment>
    <comment ref="K37" authorId="0" shapeId="0" xr:uid="{F6D0CF7A-DA1A-47DD-8F26-AE4D8F7BA8B2}">
      <text>
        <r>
          <rPr>
            <b/>
            <sz val="9"/>
            <color indexed="81"/>
            <rFont val="Tahoma"/>
            <charset val="1"/>
          </rPr>
          <t>Objetivo para procesar 1 lote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38" authorId="0" shapeId="0" xr:uid="{9745AE81-966A-490A-B116-7B3FC71BE16B}">
      <text>
        <r>
          <rPr>
            <b/>
            <sz val="9"/>
            <color indexed="81"/>
            <rFont val="Tahoma"/>
            <charset val="1"/>
          </rPr>
          <t>Objetivo para procesar 1 lote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43" authorId="0" shapeId="0" xr:uid="{B76C2D79-6DC0-48D5-B2DB-215411605CDF}">
      <text>
        <r>
          <rPr>
            <b/>
            <sz val="9"/>
            <color indexed="81"/>
            <rFont val="Tahoma"/>
            <charset val="1"/>
          </rPr>
          <t>tiempo en minutos para wet triming por persona y planta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3" authorId="0" shapeId="0" xr:uid="{B5DC095D-B6E8-45FF-9ECF-EB28C5E5A31E}">
      <text>
        <r>
          <rPr>
            <b/>
            <sz val="9"/>
            <color indexed="81"/>
            <rFont val="Tahoma"/>
            <charset val="1"/>
          </rPr>
          <t>Objetivo para procesar 1 lote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47" authorId="0" shapeId="0" xr:uid="{86877E7D-EB84-4874-B869-EFF50BD42309}">
      <text>
        <r>
          <rPr>
            <b/>
            <sz val="9"/>
            <color indexed="81"/>
            <rFont val="Tahoma"/>
            <charset val="1"/>
          </rPr>
          <t>tiempo en minutos para wet triming por persona y planta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7" authorId="0" shapeId="0" xr:uid="{CEBF209D-68C8-4009-AA48-4E6E834F6219}">
      <text>
        <r>
          <rPr>
            <b/>
            <sz val="9"/>
            <color indexed="81"/>
            <rFont val="Tahoma"/>
            <charset val="1"/>
          </rPr>
          <t>Objetivo para procesar 1 lote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50" authorId="0" shapeId="0" xr:uid="{B1CC3215-0DC0-43C2-8E25-5481FDB8CEB2}">
      <text>
        <r>
          <rPr>
            <b/>
            <sz val="9"/>
            <color indexed="81"/>
            <rFont val="Tahoma"/>
            <charset val="1"/>
          </rPr>
          <t>ancho carro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50" authorId="0" shapeId="0" xr:uid="{B8BF893F-1185-4C60-A00B-43EAC9B8E14B}">
      <text>
        <r>
          <rPr>
            <b/>
            <sz val="9"/>
            <color indexed="81"/>
            <rFont val="Tahoma"/>
            <charset val="1"/>
          </rPr>
          <t>largo carro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53" authorId="0" shapeId="0" xr:uid="{2BD91634-1C49-410A-B774-C6AC9F399E1B}">
      <text>
        <r>
          <rPr>
            <b/>
            <sz val="9"/>
            <color indexed="81"/>
            <rFont val="Tahoma"/>
            <charset val="1"/>
          </rPr>
          <t>alto carro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53" authorId="0" shapeId="0" xr:uid="{1C185685-A303-4F4E-97EE-1153B0041EB5}">
      <text>
        <r>
          <rPr>
            <b/>
            <sz val="9"/>
            <color indexed="81"/>
            <rFont val="Tahoma"/>
            <charset val="1"/>
          </rPr>
          <t>En cuantas salas dividimos / secamos 1 Cosecha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54" authorId="0" shapeId="0" xr:uid="{0F138733-411A-4AA3-80FC-891AA23CEE1F}">
      <text>
        <r>
          <rPr>
            <sz val="9"/>
            <color indexed="81"/>
            <rFont val="Tahoma"/>
            <charset val="1"/>
          </rPr>
          <t xml:space="preserve">cantidad a lo ancho
</t>
        </r>
      </text>
    </comment>
    <comment ref="A55" authorId="0" shapeId="0" xr:uid="{17924CD5-75DE-4CF6-A1C4-F1BFB41AFF6F}">
      <text>
        <r>
          <rPr>
            <sz val="9"/>
            <color indexed="81"/>
            <rFont val="Tahoma"/>
            <charset val="1"/>
          </rPr>
          <t xml:space="preserve">niveles Carro
</t>
        </r>
      </text>
    </comment>
    <comment ref="G57" authorId="0" shapeId="0" xr:uid="{D6BFFFA3-C73C-4579-89B9-C285A5AB04CF}">
      <text>
        <r>
          <rPr>
            <b/>
            <sz val="9"/>
            <color indexed="81"/>
            <rFont val="Tahoma"/>
            <charset val="1"/>
          </rPr>
          <t>cantidad a lo largo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60" authorId="0" shapeId="0" xr:uid="{BB2F365E-5A71-4FEF-9DAC-F80587E3BC52}">
      <text>
        <r>
          <rPr>
            <b/>
            <sz val="9"/>
            <color indexed="81"/>
            <rFont val="Tahoma"/>
            <charset val="1"/>
          </rPr>
          <t>ancho carro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60" authorId="0" shapeId="0" xr:uid="{E253FA97-BF06-49C1-A8F4-EAF3C2CCA534}">
      <text>
        <r>
          <rPr>
            <b/>
            <sz val="9"/>
            <color indexed="81"/>
            <rFont val="Tahoma"/>
            <charset val="1"/>
          </rPr>
          <t>largo carro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61" authorId="0" shapeId="0" xr:uid="{A0B11507-0439-4BAB-A961-F71CDFBA2F93}">
      <text>
        <r>
          <rPr>
            <b/>
            <sz val="9"/>
            <color indexed="81"/>
            <rFont val="Tahoma"/>
            <charset val="1"/>
          </rPr>
          <t>altura producto en bandeja</t>
        </r>
      </text>
    </comment>
    <comment ref="A63" authorId="0" shapeId="0" xr:uid="{8DCBC027-E01F-4FBA-8460-A71AEDBE4F1C}">
      <text>
        <r>
          <rPr>
            <b/>
            <sz val="9"/>
            <color indexed="81"/>
            <rFont val="Tahoma"/>
            <charset val="1"/>
          </rPr>
          <t>alto carro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64" authorId="0" shapeId="0" xr:uid="{41067C83-F378-4CDE-ABD5-2A56A0FD7B4C}">
      <text>
        <r>
          <rPr>
            <b/>
            <sz val="9"/>
            <color indexed="81"/>
            <rFont val="Tahoma"/>
            <charset val="1"/>
          </rPr>
          <t>En cuantas salas dividimos / secamos 1 Cosecha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65" authorId="0" shapeId="0" xr:uid="{18CDC68D-4EB3-4BFB-A4DD-713876D84097}">
      <text>
        <r>
          <rPr>
            <sz val="9"/>
            <color indexed="81"/>
            <rFont val="Tahoma"/>
            <charset val="1"/>
          </rPr>
          <t xml:space="preserve">niveles Carro
</t>
        </r>
      </text>
    </comment>
    <comment ref="A68" authorId="0" shapeId="0" xr:uid="{4F97F462-A610-4A17-8F5C-C4D64318BA59}">
      <text>
        <r>
          <rPr>
            <b/>
            <sz val="9"/>
            <color indexed="81"/>
            <rFont val="Tahoma"/>
            <charset val="1"/>
          </rPr>
          <t>ancho carro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68" authorId="0" shapeId="0" xr:uid="{B4267F2D-ACAD-4225-ACEB-B53B64B091F5}">
      <text>
        <r>
          <rPr>
            <b/>
            <sz val="9"/>
            <color indexed="81"/>
            <rFont val="Tahoma"/>
            <charset val="1"/>
          </rPr>
          <t>largo carro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69" authorId="0" shapeId="0" xr:uid="{2C771C9A-66C5-4BA5-870A-0971686850AE}">
      <text>
        <r>
          <rPr>
            <b/>
            <sz val="9"/>
            <color indexed="81"/>
            <rFont val="Tahoma"/>
            <charset val="1"/>
          </rPr>
          <t>altura producto en bandeja</t>
        </r>
      </text>
    </comment>
    <comment ref="A71" authorId="0" shapeId="0" xr:uid="{9920FB90-44AC-46C2-96A1-5BB4D8AE0BCD}">
      <text>
        <r>
          <rPr>
            <b/>
            <sz val="9"/>
            <color indexed="81"/>
            <rFont val="Tahoma"/>
            <charset val="1"/>
          </rPr>
          <t>alto carro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72" authorId="0" shapeId="0" xr:uid="{EE49C367-43E2-4FC0-ABA2-ED44CF817B40}">
      <text>
        <r>
          <rPr>
            <b/>
            <sz val="9"/>
            <color indexed="81"/>
            <rFont val="Tahoma"/>
            <charset val="1"/>
          </rPr>
          <t>En cuantas salas dividimos / secamos 1 Cosecha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73" authorId="0" shapeId="0" xr:uid="{7679D737-4877-447A-B89F-3CF2BE5254AA}">
      <text>
        <r>
          <rPr>
            <sz val="9"/>
            <color indexed="81"/>
            <rFont val="Tahoma"/>
            <charset val="1"/>
          </rPr>
          <t xml:space="preserve">niveles Carro
</t>
        </r>
      </text>
    </comment>
    <comment ref="K77" authorId="0" shapeId="0" xr:uid="{C5FED082-EC4B-422F-9D74-CDC81401F9F1}">
      <text>
        <r>
          <rPr>
            <b/>
            <sz val="9"/>
            <color indexed="81"/>
            <rFont val="Tahoma"/>
            <charset val="1"/>
          </rPr>
          <t>cuantos añadimos al calculo justo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83" authorId="0" shapeId="0" xr:uid="{6A864DDF-3562-4B3F-9F08-E4DC10324340}">
      <text>
        <r>
          <rPr>
            <b/>
            <sz val="9"/>
            <color indexed="81"/>
            <rFont val="Tahoma"/>
            <charset val="1"/>
          </rPr>
          <t>tiempo en minutos para Manicuring 
por persona y planta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83" authorId="0" shapeId="0" xr:uid="{22BA0F96-30DC-409D-9946-85AD223B7EF7}">
      <text>
        <r>
          <rPr>
            <b/>
            <sz val="9"/>
            <color indexed="81"/>
            <rFont val="Tahoma"/>
            <charset val="1"/>
          </rPr>
          <t>Eudald Bogatell:</t>
        </r>
        <r>
          <rPr>
            <sz val="9"/>
            <color indexed="81"/>
            <rFont val="Tahoma"/>
            <charset val="1"/>
          </rPr>
          <t xml:space="preserve">
Alrededor 1..1,5 kg
</t>
        </r>
      </text>
    </comment>
    <comment ref="L83" authorId="0" shapeId="0" xr:uid="{2EAF9D52-CFC9-4DBA-8A09-08B9B2189D20}">
      <text>
        <r>
          <rPr>
            <b/>
            <sz val="9"/>
            <color indexed="81"/>
            <rFont val="Tahoma"/>
            <charset val="1"/>
          </rPr>
          <t>Objetivo para procesar 1 lote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88" authorId="0" shapeId="0" xr:uid="{D3A27200-D53D-4EA8-8E75-FB3398CD2582}">
      <text>
        <r>
          <rPr>
            <b/>
            <sz val="9"/>
            <color indexed="81"/>
            <rFont val="Tahoma"/>
            <charset val="1"/>
          </rPr>
          <t>tiempo en minutos para wet triming por persona y planta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88" authorId="0" shapeId="0" xr:uid="{C33BE1A7-D720-4E2F-AB77-971AFDA6F192}">
      <text>
        <r>
          <rPr>
            <b/>
            <sz val="9"/>
            <color indexed="81"/>
            <rFont val="Tahoma"/>
            <charset val="1"/>
          </rPr>
          <t>Objetivo para procesar 1 lote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92" authorId="0" shapeId="0" xr:uid="{CC8184C4-4FCE-4D31-9058-841AACD64469}">
      <text>
        <r>
          <rPr>
            <b/>
            <sz val="9"/>
            <color indexed="81"/>
            <rFont val="Tahoma"/>
            <charset val="1"/>
          </rPr>
          <t xml:space="preserve">capacidad maquina triming en seco
</t>
        </r>
      </text>
    </comment>
    <comment ref="K92" authorId="0" shapeId="0" xr:uid="{A1390F2A-1F81-4B4A-93BE-F82E35DC06B4}">
      <text>
        <r>
          <rPr>
            <b/>
            <sz val="9"/>
            <color indexed="81"/>
            <rFont val="Tahoma"/>
            <charset val="1"/>
          </rPr>
          <t>Objetivo para procesar 1 lote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95" authorId="0" shapeId="0" xr:uid="{3567E05A-9202-478D-BC5F-FDE7A1D4E86A}">
      <text>
        <r>
          <rPr>
            <sz val="9"/>
            <color indexed="81"/>
            <rFont val="Tahoma"/>
            <charset val="1"/>
          </rPr>
          <t xml:space="preserve">Capacidad contenedor curado
</t>
        </r>
      </text>
    </comment>
    <comment ref="A98" authorId="0" shapeId="0" xr:uid="{89067225-8C41-4595-AB85-4E6EA80DA292}">
      <text>
        <r>
          <rPr>
            <b/>
            <sz val="9"/>
            <color indexed="81"/>
            <rFont val="Tahoma"/>
            <charset val="1"/>
          </rPr>
          <t>ancho carro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99" authorId="0" shapeId="0" xr:uid="{C54E8811-16BF-42C9-A5BD-583E28112ADF}">
      <text>
        <r>
          <rPr>
            <b/>
            <sz val="9"/>
            <color indexed="81"/>
            <rFont val="Tahoma"/>
            <charset val="1"/>
          </rPr>
          <t>largo carro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01" authorId="0" shapeId="0" xr:uid="{FA9038DB-4A00-4518-AF77-68EE13340A85}">
      <text>
        <r>
          <rPr>
            <b/>
            <sz val="9"/>
            <color indexed="81"/>
            <rFont val="Tahoma"/>
            <charset val="1"/>
          </rPr>
          <t>alto carro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02" authorId="0" shapeId="0" xr:uid="{C25F4981-881D-4311-A940-33DCF75626D8}">
      <text>
        <r>
          <rPr>
            <sz val="9"/>
            <color indexed="81"/>
            <rFont val="Tahoma"/>
            <charset val="1"/>
          </rPr>
          <t xml:space="preserve">Capacidad necesaria
</t>
        </r>
      </text>
    </comment>
    <comment ref="A103" authorId="0" shapeId="0" xr:uid="{4A0FD71A-A1A0-46EF-9842-687E252F06D2}">
      <text>
        <r>
          <rPr>
            <sz val="9"/>
            <color indexed="81"/>
            <rFont val="Tahoma"/>
            <charset val="1"/>
          </rPr>
          <t xml:space="preserve">niveles Carro
</t>
        </r>
      </text>
    </comment>
    <comment ref="I106" authorId="0" shapeId="0" xr:uid="{54F23908-5A7D-41F2-96EF-BB86CE2267A4}">
      <text>
        <r>
          <rPr>
            <sz val="9"/>
            <color indexed="81"/>
            <rFont val="Tahoma"/>
            <family val="2"/>
          </rPr>
          <t xml:space="preserve">Queremos capacidad de limpiado igual a la capacidad necesaria en el Dry -triming
</t>
        </r>
      </text>
    </comment>
    <comment ref="F107" authorId="0" shapeId="0" xr:uid="{D3FBE00B-73CD-400A-8A9C-83939A788C01}">
      <text>
        <r>
          <rPr>
            <b/>
            <sz val="9"/>
            <color indexed="81"/>
            <rFont val="Tahoma"/>
            <charset val="1"/>
          </rPr>
          <t>cantidad a lo largo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07" authorId="0" shapeId="0" xr:uid="{5988562F-9A52-41BE-81B5-2084E58A7C0A}">
      <text>
        <r>
          <rPr>
            <sz val="9"/>
            <color indexed="81"/>
            <rFont val="Tahoma"/>
            <charset val="1"/>
          </rPr>
          <t xml:space="preserve">cantidad a lo ancho
</t>
        </r>
      </text>
    </comment>
    <comment ref="I109" authorId="0" shapeId="0" xr:uid="{CCCD3F7F-0A93-4A83-A60F-E1469A1E14C5}">
      <text>
        <r>
          <rPr>
            <sz val="9"/>
            <color indexed="81"/>
            <rFont val="Tahoma"/>
            <family val="2"/>
          </rPr>
          <t>Frascos/batch de lavado</t>
        </r>
      </text>
    </comment>
    <comment ref="F120" authorId="0" shapeId="0" xr:uid="{C27B6E83-5199-4417-96C1-627999A6D774}">
      <text>
        <r>
          <rPr>
            <b/>
            <sz val="9"/>
            <color indexed="81"/>
            <rFont val="Tahoma"/>
            <charset val="1"/>
          </rPr>
          <t>Alto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20" authorId="0" shapeId="0" xr:uid="{9AB7130E-EAF2-4710-A6D0-4C0B6DBDADA3}">
      <text>
        <r>
          <rPr>
            <sz val="9"/>
            <color indexed="81"/>
            <rFont val="Tahoma"/>
            <charset val="1"/>
          </rPr>
          <t xml:space="preserve">entre 50 % y 75 % efectividad
</t>
        </r>
      </text>
    </comment>
    <comment ref="L120" authorId="0" shapeId="0" xr:uid="{9DB7FA62-631A-4CAC-B0C6-68D07240641A}">
      <text>
        <r>
          <rPr>
            <b/>
            <sz val="9"/>
            <color indexed="81"/>
            <rFont val="Tahoma"/>
            <charset val="1"/>
          </rPr>
          <t>capacidad diseñada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26" authorId="0" shapeId="0" xr:uid="{E4E5DAF7-58D0-418D-98D1-563A883AF15C}">
      <text>
        <r>
          <rPr>
            <sz val="9"/>
            <color indexed="81"/>
            <rFont val="Tahoma"/>
            <charset val="1"/>
          </rPr>
          <t xml:space="preserve">cantidad a lo alto
</t>
        </r>
      </text>
    </comment>
    <comment ref="C129" authorId="0" shapeId="0" xr:uid="{90C1A35B-FFEC-49CE-8AA2-28A277711A5E}">
      <text>
        <r>
          <rPr>
            <sz val="9"/>
            <color indexed="81"/>
            <rFont val="Tahoma"/>
            <charset val="1"/>
          </rPr>
          <t xml:space="preserve">cantidad a lo largo
</t>
        </r>
      </text>
    </comment>
    <comment ref="G129" authorId="0" shapeId="0" xr:uid="{327AACF1-1D9A-404E-B46E-00AA154E64C0}">
      <text>
        <r>
          <rPr>
            <b/>
            <sz val="9"/>
            <color indexed="81"/>
            <rFont val="Tahoma"/>
            <charset val="1"/>
          </rPr>
          <t>Numero de bloques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Eudald Bogatell</author>
  </authors>
  <commentList>
    <comment ref="C101" authorId="0" shapeId="0" xr:uid="{A411F9A9-2786-41E4-A301-9645FE8C0B42}">
      <text>
        <r>
          <rPr>
            <b/>
            <sz val="9"/>
            <color indexed="81"/>
            <rFont val="Tahoma"/>
            <charset val="1"/>
          </rPr>
          <t>Eudald Bogatell:</t>
        </r>
        <r>
          <rPr>
            <sz val="9"/>
            <color indexed="81"/>
            <rFont val="Tahoma"/>
            <charset val="1"/>
          </rPr>
          <t xml:space="preserve">
per maquina, con 2 pers
</t>
        </r>
      </text>
    </comment>
    <comment ref="C102" authorId="0" shapeId="0" xr:uid="{857C117A-0483-49E8-8C17-18A2FF454C24}">
      <text>
        <r>
          <rPr>
            <b/>
            <sz val="9"/>
            <color indexed="81"/>
            <rFont val="Tahoma"/>
            <charset val="1"/>
          </rPr>
          <t>Eudald Bogatell:</t>
        </r>
        <r>
          <rPr>
            <sz val="9"/>
            <color indexed="81"/>
            <rFont val="Tahoma"/>
            <charset val="1"/>
          </rPr>
          <t xml:space="preserve">
Per maquina , con 2.. 4 personas
</t>
        </r>
      </text>
    </comment>
    <comment ref="B130" authorId="0" shapeId="0" xr:uid="{2BB77FDE-B6DC-4EC0-90B2-7D51B8FB4301}">
      <text>
        <r>
          <rPr>
            <sz val="9"/>
            <color indexed="81"/>
            <rFont val="Tahoma"/>
            <charset val="1"/>
          </rPr>
          <t xml:space="preserve">Superficie util
</t>
        </r>
      </text>
    </comment>
    <comment ref="C130" authorId="0" shapeId="0" xr:uid="{06EEA27D-91A1-42FF-9672-22FEC925E8E9}">
      <text>
        <r>
          <rPr>
            <sz val="9"/>
            <color indexed="81"/>
            <rFont val="Tahoma"/>
            <family val="2"/>
          </rPr>
          <t xml:space="preserve">Superficie util
</t>
        </r>
      </text>
    </comment>
    <comment ref="B133" authorId="0" shapeId="0" xr:uid="{181F4A7F-31E2-4E2A-9ECC-7A32A62567BD}">
      <text>
        <r>
          <rPr>
            <sz val="9"/>
            <color indexed="81"/>
            <rFont val="Tahoma"/>
            <charset val="1"/>
          </rPr>
          <t xml:space="preserve">campo (con pasillos)
</t>
        </r>
      </text>
    </comment>
    <comment ref="C133" authorId="0" shapeId="0" xr:uid="{47A4908C-2B58-45A3-AF59-6E90F05EB3CF}">
      <text>
        <r>
          <rPr>
            <sz val="9"/>
            <color indexed="81"/>
            <rFont val="Tahoma"/>
            <family val="2"/>
          </rPr>
          <t xml:space="preserve">campo (con pasillos)
</t>
        </r>
      </text>
    </comment>
    <comment ref="B134" authorId="0" shapeId="0" xr:uid="{1E70F7A3-5AAA-48DA-A04F-5EABC8C5B81B}">
      <text>
        <r>
          <rPr>
            <sz val="9"/>
            <color indexed="81"/>
            <rFont val="Tahoma"/>
            <charset val="1"/>
          </rPr>
          <t xml:space="preserve">Solo mesas
</t>
        </r>
      </text>
    </comment>
    <comment ref="C134" authorId="0" shapeId="0" xr:uid="{CCFF80C2-8D5B-4558-A976-6020A0D4C41E}">
      <text>
        <r>
          <rPr>
            <sz val="9"/>
            <color indexed="81"/>
            <rFont val="Tahoma"/>
            <family val="2"/>
          </rPr>
          <t xml:space="preserve">Solo mesas
</t>
        </r>
      </text>
    </comment>
  </commentList>
</comments>
</file>

<file path=xl/sharedStrings.xml><?xml version="1.0" encoding="utf-8"?>
<sst xmlns="http://schemas.openxmlformats.org/spreadsheetml/2006/main" count="465" uniqueCount="324">
  <si>
    <t>m2</t>
  </si>
  <si>
    <t>kg</t>
  </si>
  <si>
    <t>carros</t>
  </si>
  <si>
    <t>m</t>
  </si>
  <si>
    <t>DIMENSIONAMIENTO LOTE</t>
  </si>
  <si>
    <t>CAMPO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</si>
  <si>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</si>
  <si>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DENSIDAD</t>
  </si>
  <si>
    <t>Nº Campos</t>
  </si>
  <si>
    <t>Nº cosechas /</t>
  </si>
  <si>
    <t>año</t>
  </si>
  <si>
    <t>ESTRATEGIA</t>
  </si>
  <si>
    <t>semanas</t>
  </si>
  <si>
    <t>Capacidad</t>
  </si>
  <si>
    <t>Nº Turnos</t>
  </si>
  <si>
    <t>Necesidad</t>
  </si>
  <si>
    <t>nº Sublotes</t>
  </si>
  <si>
    <t>capacidad</t>
  </si>
  <si>
    <r>
      <t>kg</t>
    </r>
    <r>
      <rPr>
        <vertAlign val="subscript"/>
        <sz val="11"/>
        <color theme="1"/>
        <rFont val="Calibri"/>
        <family val="2"/>
        <scheme val="minor"/>
      </rPr>
      <t>f.seca</t>
    </r>
    <r>
      <rPr>
        <sz val="11"/>
        <color theme="1"/>
        <rFont val="Calibri"/>
        <family val="2"/>
        <scheme val="minor"/>
      </rPr>
      <t>/tunel</t>
    </r>
  </si>
  <si>
    <r>
      <t>Sup Util (m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ut</t>
    </r>
    <r>
      <rPr>
        <sz val="11"/>
        <color theme="1"/>
        <rFont val="Calibri"/>
        <family val="2"/>
        <scheme val="minor"/>
      </rPr>
      <t>)</t>
    </r>
  </si>
  <si>
    <t>periodo secado</t>
  </si>
  <si>
    <t>necesidad</t>
  </si>
  <si>
    <t>tuneles</t>
  </si>
  <si>
    <t>seguridad</t>
  </si>
  <si>
    <t>Plantas</t>
  </si>
  <si>
    <t>CURADO</t>
  </si>
  <si>
    <t>DRY TRIM MANUAL</t>
  </si>
  <si>
    <t>periodo curado</t>
  </si>
  <si>
    <t>Nº Carros</t>
  </si>
  <si>
    <t>Necesidad Util</t>
  </si>
  <si>
    <t>ENVASADO PRIMARIO</t>
  </si>
  <si>
    <t>g/bolsa</t>
  </si>
  <si>
    <t>Minutos/bolsa</t>
  </si>
  <si>
    <t>SAFE</t>
  </si>
  <si>
    <t>PALET</t>
  </si>
  <si>
    <t>Datos</t>
  </si>
  <si>
    <t>Superficie</t>
  </si>
  <si>
    <t>niveles</t>
  </si>
  <si>
    <t>Calculos</t>
  </si>
  <si>
    <t>por túnel</t>
  </si>
  <si>
    <t>efectividad</t>
  </si>
  <si>
    <t>Kg/palet</t>
  </si>
  <si>
    <t>Palets</t>
  </si>
  <si>
    <t>nº palets</t>
  </si>
  <si>
    <t>40'</t>
  </si>
  <si>
    <t>20'</t>
  </si>
  <si>
    <t>container</t>
  </si>
  <si>
    <t xml:space="preserve">nº Palets / </t>
  </si>
  <si>
    <t>relacion g.humedo/g.seco</t>
  </si>
  <si>
    <t>densidad flor seca g/litro</t>
  </si>
  <si>
    <r>
      <t>Nº Plnt/m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ut</t>
    </r>
  </si>
  <si>
    <t>unit</t>
  </si>
  <si>
    <t>Minutos/plnt</t>
  </si>
  <si>
    <t>DISEÑO</t>
  </si>
  <si>
    <t>Calculo capacidad necesaria</t>
  </si>
  <si>
    <t>nº carros</t>
  </si>
  <si>
    <t>persona.turno</t>
  </si>
  <si>
    <t>Plantas /</t>
  </si>
  <si>
    <t>Capacidad carro</t>
  </si>
  <si>
    <r>
      <t>kg</t>
    </r>
    <r>
      <rPr>
        <vertAlign val="subscript"/>
        <sz val="11"/>
        <color theme="1"/>
        <rFont val="Calibri"/>
        <family val="2"/>
        <scheme val="minor"/>
      </rPr>
      <t>f.seca</t>
    </r>
    <r>
      <rPr>
        <sz val="11"/>
        <color theme="1"/>
        <rFont val="Calibri"/>
        <family val="2"/>
        <scheme val="minor"/>
      </rPr>
      <t>/</t>
    </r>
  </si>
  <si>
    <t>Periodo</t>
  </si>
  <si>
    <t>galon</t>
  </si>
  <si>
    <t>6-1/2" sq. x 8" h</t>
  </si>
  <si>
    <t>mm</t>
  </si>
  <si>
    <t>litre</t>
  </si>
  <si>
    <t>gr</t>
  </si>
  <si>
    <t>kg/carro</t>
  </si>
  <si>
    <t>capacidad Carro</t>
  </si>
  <si>
    <t>nº Frascos</t>
  </si>
  <si>
    <t>Bolsas/</t>
  </si>
  <si>
    <t>pers.turno</t>
  </si>
  <si>
    <t>l</t>
  </si>
  <si>
    <t>l util</t>
  </si>
  <si>
    <t>1 pulgada</t>
  </si>
  <si>
    <t>Width: "</t>
  </si>
  <si>
    <t>Length: "</t>
  </si>
  <si>
    <t>Height: "</t>
  </si>
  <si>
    <t>with optional level:"</t>
  </si>
  <si>
    <t>nº ganchos</t>
  </si>
  <si>
    <t>separacion</t>
  </si>
  <si>
    <t>H ruedas</t>
  </si>
  <si>
    <t>15cm</t>
  </si>
  <si>
    <t>3 niveles de 0,5 m</t>
  </si>
  <si>
    <t>inches</t>
  </si>
  <si>
    <t>Plantas / carro</t>
  </si>
  <si>
    <t>Mesas</t>
  </si>
  <si>
    <t>total m2</t>
  </si>
  <si>
    <r>
      <t>kg</t>
    </r>
    <r>
      <rPr>
        <vertAlign val="subscript"/>
        <sz val="11"/>
        <color theme="1"/>
        <rFont val="Calibri"/>
        <family val="2"/>
        <scheme val="minor"/>
      </rPr>
      <t>f.seca</t>
    </r>
    <r>
      <rPr>
        <sz val="11"/>
        <color theme="1"/>
        <rFont val="Calibri"/>
        <family val="2"/>
        <scheme val="minor"/>
      </rPr>
      <t>/carro</t>
    </r>
  </si>
  <si>
    <t>gr/contenedor</t>
  </si>
  <si>
    <t>Pers/turno</t>
  </si>
  <si>
    <r>
      <t>g</t>
    </r>
    <r>
      <rPr>
        <vertAlign val="subscript"/>
        <sz val="11"/>
        <color theme="1"/>
        <rFont val="Calibri"/>
        <family val="2"/>
        <scheme val="minor"/>
      </rPr>
      <t>f.seca</t>
    </r>
    <r>
      <rPr>
        <sz val="11"/>
        <color theme="1"/>
        <rFont val="Calibri"/>
        <family val="2"/>
        <scheme val="minor"/>
      </rPr>
      <t>/Planta</t>
    </r>
  </si>
  <si>
    <t>Plantas/</t>
  </si>
  <si>
    <t>cosecha</t>
  </si>
  <si>
    <t>Nº Cosechas/</t>
  </si>
  <si>
    <t>semana/Cosecha</t>
  </si>
  <si>
    <t>16.00 × 16.00 × 27.90 cm</t>
  </si>
  <si>
    <t>500 cl - 169 oz</t>
  </si>
  <si>
    <t>h 279 mm - 11"</t>
  </si>
  <si>
    <t>Ø 175 mm - 7"</t>
  </si>
  <si>
    <t>https://www.bormiolirocco.com/</t>
  </si>
  <si>
    <r>
      <t>6,44€ </t>
    </r>
    <r>
      <rPr>
        <sz val="9"/>
        <color rgb="FF1B3D3D"/>
        <rFont val="Lato"/>
        <family val="2"/>
      </rPr>
      <t>IVA no incluido</t>
    </r>
  </si>
  <si>
    <t>21.75 x 27</t>
  </si>
  <si>
    <t>in</t>
  </si>
  <si>
    <t>3x20 in</t>
  </si>
  <si>
    <t>Frascos</t>
  </si>
  <si>
    <t>altura</t>
  </si>
  <si>
    <t>superficie</t>
  </si>
  <si>
    <t>kg/m3</t>
  </si>
  <si>
    <t>in separacio</t>
  </si>
  <si>
    <t>kg/bandeja</t>
  </si>
  <si>
    <t>m altura</t>
  </si>
  <si>
    <r>
      <t>kg</t>
    </r>
    <r>
      <rPr>
        <vertAlign val="subscript"/>
        <sz val="11"/>
        <color theme="1"/>
        <rFont val="Calibri"/>
        <family val="2"/>
        <scheme val="minor"/>
      </rPr>
      <t>f.seca</t>
    </r>
    <r>
      <rPr>
        <sz val="11"/>
        <color theme="1"/>
        <rFont val="Calibri"/>
        <family val="2"/>
        <scheme val="minor"/>
      </rPr>
      <t>/bandeja</t>
    </r>
  </si>
  <si>
    <t>LIMPIEZA</t>
  </si>
  <si>
    <t>+ carros</t>
  </si>
  <si>
    <t>en curso</t>
  </si>
  <si>
    <t>frasc/sem</t>
  </si>
  <si>
    <t>ciclo lav min</t>
  </si>
  <si>
    <t>nº de maq</t>
  </si>
  <si>
    <t>AÑO</t>
  </si>
  <si>
    <t>TRIMING BUCKING DESTALLADO</t>
  </si>
  <si>
    <t>MOBIUS</t>
  </si>
  <si>
    <t>max</t>
  </si>
  <si>
    <t>min</t>
  </si>
  <si>
    <t>WET</t>
  </si>
  <si>
    <t>DRY</t>
  </si>
  <si>
    <t>M108</t>
  </si>
  <si>
    <t>2XM108</t>
  </si>
  <si>
    <t>1 LIBRA</t>
  </si>
  <si>
    <t>KG</t>
  </si>
  <si>
    <t>kg/h</t>
  </si>
  <si>
    <t>CANNBUCKER</t>
  </si>
  <si>
    <t>ESTIMAT</t>
  </si>
  <si>
    <t>TWISTER</t>
  </si>
  <si>
    <t>B4</t>
  </si>
  <si>
    <t>T-ZERO</t>
  </si>
  <si>
    <t>T2</t>
  </si>
  <si>
    <t>T4</t>
  </si>
  <si>
    <t>2xT2</t>
  </si>
  <si>
    <t>3xT2</t>
  </si>
  <si>
    <t>MASTERPRODUCT</t>
  </si>
  <si>
    <t>MB Bucker 500</t>
  </si>
  <si>
    <t>MT  500</t>
  </si>
  <si>
    <t>2XMT500</t>
  </si>
  <si>
    <t>CENTURION</t>
  </si>
  <si>
    <t>GC1 BUCKER</t>
  </si>
  <si>
    <t>HP1 BUCKER</t>
  </si>
  <si>
    <t>SILVER</t>
  </si>
  <si>
    <t>GLADIATOR</t>
  </si>
  <si>
    <t>3.0</t>
  </si>
  <si>
    <t>5.0</t>
  </si>
  <si>
    <t>XL 10.0</t>
  </si>
  <si>
    <t>2X3.0</t>
  </si>
  <si>
    <t>Nº</t>
  </si>
  <si>
    <t>Modulos x campo</t>
  </si>
  <si>
    <t>Modulo</t>
  </si>
  <si>
    <t>campo y año</t>
  </si>
  <si>
    <t>Semana</t>
  </si>
  <si>
    <t>Plantas madre</t>
  </si>
  <si>
    <t>Nº esquejes</t>
  </si>
  <si>
    <t>Nº esquejes/</t>
  </si>
  <si>
    <t>Planta</t>
  </si>
  <si>
    <t>sem/esquejado</t>
  </si>
  <si>
    <t>Proyectamos cosechar y procesar cada</t>
  </si>
  <si>
    <t>Nº Plantas</t>
  </si>
  <si>
    <t>madre</t>
  </si>
  <si>
    <r>
      <t>Sup Util (m</t>
    </r>
    <r>
      <rPr>
        <vertAlign val="superscript"/>
        <sz val="10"/>
        <color theme="1"/>
        <rFont val="Calibri"/>
        <family val="2"/>
        <scheme val="minor"/>
      </rPr>
      <t>2</t>
    </r>
    <r>
      <rPr>
        <vertAlign val="subscript"/>
        <sz val="10"/>
        <color theme="1"/>
        <rFont val="Calibri"/>
        <family val="2"/>
        <scheme val="minor"/>
      </rPr>
      <t>ut</t>
    </r>
    <r>
      <rPr>
        <sz val="10"/>
        <color theme="1"/>
        <rFont val="Calibri"/>
        <family val="2"/>
        <scheme val="minor"/>
      </rPr>
      <t>)</t>
    </r>
  </si>
  <si>
    <t>x</t>
  </si>
  <si>
    <t>=</t>
  </si>
  <si>
    <t>esqu/bandeja</t>
  </si>
  <si>
    <t xml:space="preserve">Measures  10 7/8”x 21 ¼” </t>
  </si>
  <si>
    <t>Bandeja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</si>
  <si>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1 nivel</t>
    </r>
  </si>
  <si>
    <t>Esquejes</t>
  </si>
  <si>
    <t>Vegetativo</t>
  </si>
  <si>
    <t>sem/rooting</t>
  </si>
  <si>
    <t>Intervalo</t>
  </si>
  <si>
    <t>sem/veg</t>
  </si>
  <si>
    <t>Niveles</t>
  </si>
  <si>
    <t>vegetativo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</si>
  <si>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</si>
  <si>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 xml:space="preserve">Nº </t>
  </si>
  <si>
    <t>WET TRIM AUTOMATIC</t>
  </si>
  <si>
    <t>Bucker</t>
  </si>
  <si>
    <t>Wet Kg/hr</t>
  </si>
  <si>
    <t>Maquinas</t>
  </si>
  <si>
    <r>
      <t>kg</t>
    </r>
    <r>
      <rPr>
        <vertAlign val="subscript"/>
        <sz val="11"/>
        <color theme="1"/>
        <rFont val="Calibri"/>
        <family val="2"/>
        <scheme val="minor"/>
      </rPr>
      <t>f.wet</t>
    </r>
    <r>
      <rPr>
        <sz val="11"/>
        <color theme="1"/>
        <rFont val="Calibri"/>
        <family val="2"/>
        <scheme val="minor"/>
      </rPr>
      <t>/</t>
    </r>
  </si>
  <si>
    <t>TRIMER</t>
  </si>
  <si>
    <t>SECADO CARROS COLGADO</t>
  </si>
  <si>
    <t>cm</t>
  </si>
  <si>
    <t>SECADO BANDEJAS</t>
  </si>
  <si>
    <t>DRY TRIM AUTOMATIC</t>
  </si>
  <si>
    <t>DRY Kg/hr</t>
  </si>
  <si>
    <r>
      <t>kg</t>
    </r>
    <r>
      <rPr>
        <vertAlign val="subscript"/>
        <sz val="11"/>
        <color theme="1"/>
        <rFont val="Calibri"/>
        <family val="2"/>
        <scheme val="minor"/>
      </rPr>
      <t>f.dry</t>
    </r>
    <r>
      <rPr>
        <sz val="11"/>
        <color theme="1"/>
        <rFont val="Calibri"/>
        <family val="2"/>
        <scheme val="minor"/>
      </rPr>
      <t>/</t>
    </r>
  </si>
  <si>
    <t>frasc/batch</t>
  </si>
  <si>
    <t>DIMENSIONAMIENTO AREAS CULTIVO</t>
  </si>
  <si>
    <t>TUNEL SECADO</t>
  </si>
  <si>
    <t>PROYECTO:</t>
  </si>
  <si>
    <t>alto palet</t>
  </si>
  <si>
    <t>/ Cosecha</t>
  </si>
  <si>
    <t>Nº cosechas</t>
  </si>
  <si>
    <t>nº Semanas</t>
  </si>
  <si>
    <r>
      <t>kg</t>
    </r>
    <r>
      <rPr>
        <vertAlign val="subscript"/>
        <sz val="8"/>
        <color theme="1"/>
        <rFont val="Calibri"/>
        <family val="2"/>
        <scheme val="minor"/>
      </rPr>
      <t>f.Humeda</t>
    </r>
    <r>
      <rPr>
        <sz val="8"/>
        <color theme="1"/>
        <rFont val="Calibri"/>
        <family val="2"/>
        <scheme val="minor"/>
      </rPr>
      <t>/bandeja</t>
    </r>
  </si>
  <si>
    <t>PROJECT</t>
  </si>
  <si>
    <t>wet / dry ratio</t>
  </si>
  <si>
    <t>Calculations</t>
  </si>
  <si>
    <t>dry flower density g / liter</t>
  </si>
  <si>
    <t>Data</t>
  </si>
  <si>
    <r>
      <t>g</t>
    </r>
    <r>
      <rPr>
        <vertAlign val="subscript"/>
        <sz val="11"/>
        <color theme="1"/>
        <rFont val="Calibri"/>
        <family val="2"/>
        <scheme val="minor"/>
      </rPr>
      <t>f. dry</t>
    </r>
    <r>
      <rPr>
        <sz val="11"/>
        <color theme="1"/>
        <rFont val="Calibri"/>
        <family val="2"/>
        <scheme val="minor"/>
      </rPr>
      <t>/Plant</t>
    </r>
  </si>
  <si>
    <t>Tables</t>
  </si>
  <si>
    <t>Module</t>
  </si>
  <si>
    <t>Surface</t>
  </si>
  <si>
    <r>
      <t>Canopy (m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</si>
  <si>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DENSITY</t>
  </si>
  <si>
    <t>Plants/</t>
  </si>
  <si>
    <r>
      <t>kg</t>
    </r>
    <r>
      <rPr>
        <vertAlign val="subscript"/>
        <sz val="11"/>
        <color theme="1"/>
        <rFont val="Calibri"/>
        <family val="2"/>
        <scheme val="minor"/>
      </rPr>
      <t>f. dry</t>
    </r>
    <r>
      <rPr>
        <sz val="11"/>
        <color theme="1"/>
        <rFont val="Calibri"/>
        <family val="2"/>
        <scheme val="minor"/>
      </rPr>
      <t>/</t>
    </r>
  </si>
  <si>
    <t>harvest</t>
  </si>
  <si>
    <t>STRATEGY</t>
  </si>
  <si>
    <t>Nº. of fields</t>
  </si>
  <si>
    <t>Nº. harvests /</t>
  </si>
  <si>
    <t>Period</t>
  </si>
  <si>
    <t>field and year</t>
  </si>
  <si>
    <t>year</t>
  </si>
  <si>
    <t>week/Harvest</t>
  </si>
  <si>
    <t>YEAR</t>
  </si>
  <si>
    <t>We plan to harvest and process each</t>
  </si>
  <si>
    <t>Week</t>
  </si>
  <si>
    <t>GROWING AREAS DIMENSIONING</t>
  </si>
  <si>
    <t>gr /</t>
  </si>
  <si>
    <r>
      <t>kg</t>
    </r>
    <r>
      <rPr>
        <vertAlign val="subscript"/>
        <sz val="11"/>
        <color theme="1"/>
        <rFont val="Calibri"/>
        <family val="2"/>
        <scheme val="minor"/>
      </rPr>
      <t>f. wet</t>
    </r>
    <r>
      <rPr>
        <sz val="11"/>
        <color theme="1"/>
        <rFont val="Calibri"/>
        <family val="2"/>
        <scheme val="minor"/>
      </rPr>
      <t>/</t>
    </r>
  </si>
  <si>
    <t>CASTELLANO</t>
  </si>
  <si>
    <t>INGLES</t>
  </si>
  <si>
    <t>FRANCES</t>
  </si>
  <si>
    <t>Resultado</t>
  </si>
  <si>
    <t>Modules / field</t>
  </si>
  <si>
    <t>Modulos / campo</t>
  </si>
  <si>
    <t>Largo (m):</t>
  </si>
  <si>
    <t>Ancho (m):</t>
  </si>
  <si>
    <t>ENGLISH</t>
  </si>
  <si>
    <r>
      <t>g</t>
    </r>
    <r>
      <rPr>
        <vertAlign val="subscript"/>
        <sz val="11"/>
        <color theme="1"/>
        <rFont val="Calibri"/>
        <family val="2"/>
        <scheme val="minor"/>
      </rPr>
      <t>f.seca</t>
    </r>
    <r>
      <rPr>
        <sz val="11"/>
        <color theme="1"/>
        <rFont val="Calibri"/>
        <family val="2"/>
        <scheme val="minor"/>
      </rPr>
      <t>/m2</t>
    </r>
  </si>
  <si>
    <t>cultivo</t>
  </si>
  <si>
    <t>campos de floracion</t>
  </si>
  <si>
    <t>campos vegetativo</t>
  </si>
  <si>
    <t>Madres</t>
  </si>
  <si>
    <t>Comunes</t>
  </si>
  <si>
    <t>PARCELA</t>
  </si>
  <si>
    <t xml:space="preserve">PERIMETRO VALLADO </t>
  </si>
  <si>
    <t>ml</t>
  </si>
  <si>
    <t>Edificio</t>
  </si>
  <si>
    <t>gmp iso8</t>
  </si>
  <si>
    <t>Produccion varios</t>
  </si>
  <si>
    <t>bunker</t>
  </si>
  <si>
    <t>oficinas</t>
  </si>
  <si>
    <t>produccion</t>
  </si>
  <si>
    <t xml:space="preserve">lote </t>
  </si>
  <si>
    <t>200 kg</t>
  </si>
  <si>
    <t xml:space="preserve">numero cosechas </t>
  </si>
  <si>
    <t>ampliacion</t>
  </si>
  <si>
    <t>fase 1</t>
  </si>
  <si>
    <t>consumo electrico</t>
  </si>
  <si>
    <t>punta</t>
  </si>
  <si>
    <t>kW</t>
  </si>
  <si>
    <t>Ventiladores</t>
  </si>
  <si>
    <t>resto</t>
  </si>
  <si>
    <t>Horas</t>
  </si>
  <si>
    <t>%</t>
  </si>
  <si>
    <t>Potencia Instalada GMP</t>
  </si>
  <si>
    <t>Total kWh</t>
  </si>
  <si>
    <t>Potencia maxima</t>
  </si>
  <si>
    <t>Consumo diario</t>
  </si>
  <si>
    <t>kWh</t>
  </si>
  <si>
    <t>€</t>
  </si>
  <si>
    <t>MT 800</t>
  </si>
  <si>
    <t>MT 200</t>
  </si>
  <si>
    <t>Sup Total</t>
  </si>
  <si>
    <t>deshojadoras</t>
  </si>
  <si>
    <t>kg/maqui.hora</t>
  </si>
  <si>
    <t>maq/turno</t>
  </si>
  <si>
    <t>deshojadora MT50</t>
  </si>
  <si>
    <t>deshojadora MT75</t>
  </si>
  <si>
    <t>minuts</t>
  </si>
  <si>
    <t>hores</t>
  </si>
  <si>
    <t>torns</t>
  </si>
  <si>
    <t>dias</t>
  </si>
  <si>
    <t>SECADO LYOPHILIZADO</t>
  </si>
  <si>
    <t>modelo</t>
  </si>
  <si>
    <t>kg /wet</t>
  </si>
  <si>
    <t>Nº Run's</t>
  </si>
  <si>
    <t>capacidad kg/run</t>
  </si>
  <si>
    <t>LOTE:</t>
  </si>
  <si>
    <t>sup bandejas</t>
  </si>
  <si>
    <t>numero</t>
  </si>
  <si>
    <t>separacion (mm)</t>
  </si>
  <si>
    <t>densidad</t>
  </si>
  <si>
    <t>gr/l</t>
  </si>
  <si>
    <t>volumen (litros)</t>
  </si>
  <si>
    <t>l/m2</t>
  </si>
  <si>
    <t xml:space="preserve">Congelar </t>
  </si>
  <si>
    <t>calor espe agua</t>
  </si>
  <si>
    <t>calor cambio estado</t>
  </si>
  <si>
    <t>kj/kg/ºK</t>
  </si>
  <si>
    <t>kj/kg</t>
  </si>
  <si>
    <t>suma</t>
  </si>
  <si>
    <t>Hores</t>
  </si>
  <si>
    <t>kG</t>
  </si>
  <si>
    <t>potencia</t>
  </si>
  <si>
    <t>en realidad 50 mm</t>
  </si>
  <si>
    <t>litros/hora</t>
  </si>
  <si>
    <t>niveles / carro</t>
  </si>
  <si>
    <t>largo luces</t>
  </si>
  <si>
    <t>bandejas / nivel</t>
  </si>
  <si>
    <t>por carro</t>
  </si>
  <si>
    <t>nº esquejes</t>
  </si>
  <si>
    <t>extra</t>
  </si>
  <si>
    <t>Noche 15%</t>
  </si>
  <si>
    <t xml:space="preserve">litros dia </t>
  </si>
  <si>
    <t>A 22 50%</t>
  </si>
  <si>
    <t>A 25º 50%</t>
  </si>
  <si>
    <t>A 25º 60%</t>
  </si>
  <si>
    <t>CONDICIONES</t>
  </si>
  <si>
    <t>Litros /h capacidad</t>
  </si>
  <si>
    <t>IT1100 (ACTUAL)</t>
  </si>
  <si>
    <t>NOM 30º 80%</t>
  </si>
  <si>
    <t>IT1400 (DIM IGUALES)</t>
  </si>
  <si>
    <t>IT1700 (DIM + 60 + 140 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</si>
</sst>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0\ _€_-;\-* #,##0.00\ _€_-;_-* &quot;-&quot;??\ _€_-;_-@_-"/>
    <numFmt numFmtId="166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37"/>
      <name val="Arial"/>
      <family val="2"/>
    </font>
    <font>
      <sz val="11"/>
      <color theme="1"/>
      <name val="Calibri"/>
      <family val="2"/>
      <scheme val="minor"/>
    </font>
    <font>
      <sz val="8"/>
      <color rgb="FF666666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7"/>
      <color rgb="FF352B07"/>
      <name val="Lato"/>
      <family val="2"/>
    </font>
    <font>
      <sz val="6"/>
      <color rgb="FF252B33"/>
      <name val="Open sans"/>
    </font>
    <font>
      <sz val="12"/>
      <color rgb="FF1B3D3D"/>
      <name val="Lato"/>
      <family val="2"/>
    </font>
    <font>
      <sz val="9"/>
      <color rgb="FF1B3D3D"/>
      <name val="Lato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sz val="10"/>
      <color rgb="FF333333"/>
      <name val="Helvetica"/>
      <family val="2"/>
    </font>
    <font>
      <sz val="8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10"/>
      <name val="Lato"/>
      <family val="2"/>
    </font>
    <font>
      <sz val="13.5"/>
      <name val="Arial"/>
      <family val="2"/>
    </font>
    <font>
      <b/>
      <sz val="10"/>
      <name val="Lato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B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1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4" xfId="0" quotePrefix="1" applyFill="1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5" fillId="0" borderId="0" xfId="0" applyFont="1"/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1" fontId="0" fillId="2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0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0" fillId="0" borderId="2" xfId="0" applyBorder="1"/>
    <xf numFmtId="164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0" xfId="0" applyFont="1" applyAlignment="1">
      <alignment horizontal="left" vertical="center" indent="1"/>
    </xf>
    <xf numFmtId="9" fontId="0" fillId="3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3" borderId="0" xfId="0" applyFill="1" applyAlignment="1">
      <alignment horizontal="right"/>
    </xf>
    <xf numFmtId="43" fontId="0" fillId="0" borderId="0" xfId="1" applyFont="1"/>
    <xf numFmtId="0" fontId="8" fillId="0" borderId="0" xfId="0" applyFont="1" applyAlignment="1">
      <alignment horizontal="left" vertical="center"/>
    </xf>
    <xf numFmtId="165" fontId="0" fillId="0" borderId="0" xfId="0" applyNumberFormat="1"/>
    <xf numFmtId="1" fontId="0" fillId="0" borderId="0" xfId="0" applyNumberForma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1" fontId="0" fillId="2" borderId="0" xfId="0" applyNumberFormat="1" applyFill="1"/>
    <xf numFmtId="0" fontId="0" fillId="0" borderId="0" xfId="0" quotePrefix="1"/>
    <xf numFmtId="1" fontId="5" fillId="0" borderId="0" xfId="0" applyNumberFormat="1" applyFont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2" xfId="0" applyBorder="1"/>
    <xf numFmtId="0" fontId="0" fillId="0" borderId="11" xfId="0" applyBorder="1"/>
    <xf numFmtId="1" fontId="0" fillId="0" borderId="12" xfId="0" applyNumberFormat="1" applyBorder="1"/>
    <xf numFmtId="1" fontId="0" fillId="0" borderId="13" xfId="0" applyNumberFormat="1" applyBorder="1" applyAlignment="1">
      <alignment horizontal="center"/>
    </xf>
    <xf numFmtId="0" fontId="0" fillId="0" borderId="14" xfId="0" applyBorder="1"/>
    <xf numFmtId="1" fontId="0" fillId="6" borderId="11" xfId="0" applyNumberFormat="1" applyFill="1" applyBorder="1"/>
    <xf numFmtId="1" fontId="0" fillId="0" borderId="11" xfId="0" applyNumberFormat="1" applyBorder="1"/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5" borderId="0" xfId="0" applyFont="1" applyFill="1"/>
    <xf numFmtId="0" fontId="16" fillId="0" borderId="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9" fillId="0" borderId="0" xfId="0" applyFont="1"/>
    <xf numFmtId="2" fontId="0" fillId="3" borderId="1" xfId="0" applyNumberFormat="1" applyFill="1" applyBorder="1" applyAlignment="1">
      <alignment horizontal="center"/>
    </xf>
    <xf numFmtId="164" fontId="0" fillId="3" borderId="0" xfId="0" applyNumberFormat="1" applyFill="1"/>
    <xf numFmtId="164" fontId="16" fillId="3" borderId="0" xfId="0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0" borderId="0" xfId="0" applyFont="1"/>
    <xf numFmtId="2" fontId="0" fillId="2" borderId="0" xfId="0" applyNumberFormat="1" applyFill="1" applyAlignment="1">
      <alignment horizontal="center"/>
    </xf>
    <xf numFmtId="164" fontId="16" fillId="2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0" fontId="16" fillId="0" borderId="0" xfId="0" applyFont="1"/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5" fillId="3" borderId="0" xfId="0" applyNumberFormat="1" applyFont="1" applyFill="1"/>
    <xf numFmtId="0" fontId="0" fillId="7" borderId="5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5" fillId="0" borderId="5" xfId="0" applyFont="1" applyBorder="1"/>
    <xf numFmtId="0" fontId="2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6" fillId="0" borderId="2" xfId="0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vertical="center"/>
    </xf>
    <xf numFmtId="9" fontId="0" fillId="0" borderId="0" xfId="2" applyFont="1"/>
    <xf numFmtId="9" fontId="0" fillId="0" borderId="0" xfId="0" applyNumberFormat="1"/>
    <xf numFmtId="166" fontId="0" fillId="0" borderId="0" xfId="1" applyNumberFormat="1" applyFont="1"/>
    <xf numFmtId="2" fontId="0" fillId="2" borderId="1" xfId="0" applyNumberFormat="1" applyFill="1" applyBorder="1" applyAlignment="1">
      <alignment horizontal="center"/>
    </xf>
    <xf numFmtId="166" fontId="0" fillId="3" borderId="0" xfId="1" applyNumberFormat="1" applyFont="1" applyFill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21" xfId="0" applyBorder="1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22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D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6.png"/><Relationship Id="rId5" Type="http://schemas.openxmlformats.org/officeDocument/2006/relationships/image" Target="../media/image15.jpe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183516</xdr:colOff>
      <xdr:row>6</xdr:row>
      <xdr:rowOff>109182</xdr:rowOff>
    </xdr:from>
    <xdr:to>
      <xdr:col>5</xdr:col>
      <xdr:colOff>250091</xdr:colOff>
      <xdr:row>12</xdr:row>
      <xdr:rowOff>45050</xdr:rowOff>
    </xdr:to>
    <xdr:sp macro="" textlink="">
      <xdr:nvSpPr>
        <xdr:cNvPr id="2" name="Paralelogram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1841271">
          <a:off x="831216" y="1080732"/>
          <a:ext cx="1038125" cy="1116968"/>
        </a:xfrm>
        <a:prstGeom prst="parallelogram">
          <a:avLst>
            <a:gd name="adj" fmla="val 46894"/>
          </a:avLst>
        </a:prstGeom>
        <a:solidFill>
          <a:schemeClr val="accent4">
            <a:lumMod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43870</xdr:colOff>
      <xdr:row>6</xdr:row>
      <xdr:rowOff>59445</xdr:rowOff>
    </xdr:from>
    <xdr:to>
      <xdr:col>4</xdr:col>
      <xdr:colOff>178622</xdr:colOff>
      <xdr:row>11</xdr:row>
      <xdr:rowOff>89632</xdr:rowOff>
    </xdr:to>
    <xdr:sp macro="" textlink="">
      <xdr:nvSpPr>
        <xdr:cNvPr id="8" name="Paralelogram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 rot="2045254">
          <a:off x="805870" y="1036368"/>
          <a:ext cx="388752" cy="1036418"/>
        </a:xfrm>
        <a:prstGeom prst="parallelogram">
          <a:avLst>
            <a:gd name="adj" fmla="val 72361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105063</xdr:colOff>
      <xdr:row>6</xdr:row>
      <xdr:rowOff>121457</xdr:rowOff>
    </xdr:from>
    <xdr:to>
      <xdr:col>6</xdr:col>
      <xdr:colOff>178898</xdr:colOff>
      <xdr:row>7</xdr:row>
      <xdr:rowOff>57172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18051854">
          <a:off x="1445711" y="1171584"/>
          <a:ext cx="116690" cy="321485"/>
        </a:xfrm>
        <a:prstGeom prst="rightBrace">
          <a:avLst>
            <a:gd name="adj1" fmla="val 50980"/>
            <a:gd name="adj2" fmla="val 48260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202078</xdr:colOff>
      <xdr:row>49</xdr:row>
      <xdr:rowOff>175171</xdr:rowOff>
    </xdr:from>
    <xdr:to>
      <xdr:col>1</xdr:col>
      <xdr:colOff>157653</xdr:colOff>
      <xdr:row>55</xdr:row>
      <xdr:rowOff>136768</xdr:rowOff>
    </xdr:to>
    <xdr:sp macro="" textlink="">
      <xdr:nvSpPr>
        <xdr:cNvPr id="32" name="Cerrar llav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flipH="1">
          <a:off x="202078" y="9812517"/>
          <a:ext cx="209575" cy="1099713"/>
        </a:xfrm>
        <a:prstGeom prst="rightBrace">
          <a:avLst>
            <a:gd name="adj1" fmla="val 8333"/>
            <a:gd name="adj2" fmla="val 81980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146092</xdr:colOff>
      <xdr:row>53</xdr:row>
      <xdr:rowOff>93551</xdr:rowOff>
    </xdr:from>
    <xdr:to>
      <xdr:col>4</xdr:col>
      <xdr:colOff>176696</xdr:colOff>
      <xdr:row>53</xdr:row>
      <xdr:rowOff>176699</xdr:rowOff>
    </xdr:to>
    <xdr:sp macro="" textlink="">
      <xdr:nvSpPr>
        <xdr:cNvPr id="33" name="Cerrar llav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 rot="5400000">
          <a:off x="754820" y="9622736"/>
          <a:ext cx="83148" cy="792604"/>
        </a:xfrm>
        <a:prstGeom prst="rightBrac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172402</xdr:colOff>
      <xdr:row>52</xdr:row>
      <xdr:rowOff>70826</xdr:rowOff>
    </xdr:from>
    <xdr:to>
      <xdr:col>5</xdr:col>
      <xdr:colOff>145019</xdr:colOff>
      <xdr:row>53</xdr:row>
      <xdr:rowOff>17905</xdr:rowOff>
    </xdr:to>
    <xdr:sp macro="" textlink="">
      <xdr:nvSpPr>
        <xdr:cNvPr id="34" name="Cerrar llav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 rot="3480331">
          <a:off x="1236206" y="9784505"/>
          <a:ext cx="131010" cy="226617"/>
        </a:xfrm>
        <a:prstGeom prst="rightBrace">
          <a:avLst>
            <a:gd name="adj1" fmla="val 8333"/>
            <a:gd name="adj2" fmla="val 47367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56652</xdr:colOff>
      <xdr:row>49</xdr:row>
      <xdr:rowOff>125074</xdr:rowOff>
    </xdr:from>
    <xdr:to>
      <xdr:col>5</xdr:col>
      <xdr:colOff>225871</xdr:colOff>
      <xdr:row>56</xdr:row>
      <xdr:rowOff>51878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355737" y="9324975"/>
          <a:ext cx="1156009" cy="0"/>
          <a:chOff x="366738" y="2115208"/>
          <a:chExt cx="1630880" cy="1792524"/>
        </a:xfrm>
      </xdr:grpSpPr>
      <xdr:sp macro="" textlink="">
        <xdr:nvSpPr>
          <xdr:cNvPr id="18" name="Cubo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/>
        </xdr:nvSpPr>
        <xdr:spPr>
          <a:xfrm>
            <a:off x="446690" y="2115208"/>
            <a:ext cx="1398204" cy="1654175"/>
          </a:xfrm>
          <a:prstGeom prst="cube">
            <a:avLst>
              <a:gd name="adj" fmla="val 16887"/>
            </a:avLst>
          </a:prstGeom>
          <a:noFill/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pic>
        <xdr:nvPicPr>
          <xdr:cNvPr id="21" name="Gráfico 20" descr="Hoja de nuez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10800000">
            <a:off x="366738" y="2374704"/>
            <a:ext cx="398819" cy="419525"/>
          </a:xfrm>
          <a:prstGeom prst="rect">
            <a:avLst/>
          </a:prstGeom>
        </xdr:spPr>
      </xdr:pic>
      <xdr:pic>
        <xdr:nvPicPr>
          <xdr:cNvPr id="22" name="Gráfico 21" descr="Hoja de nuez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10800000">
            <a:off x="1477419" y="2675565"/>
            <a:ext cx="414283" cy="397751"/>
          </a:xfrm>
          <a:prstGeom prst="rect">
            <a:avLst/>
          </a:prstGeom>
        </xdr:spPr>
      </xdr:pic>
      <xdr:pic>
        <xdr:nvPicPr>
          <xdr:cNvPr id="23" name="Gráfico 22" descr="Hoja de nuez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10800000">
            <a:off x="831507" y="2390393"/>
            <a:ext cx="415214" cy="400925"/>
          </a:xfrm>
          <a:prstGeom prst="rect">
            <a:avLst/>
          </a:prstGeom>
        </xdr:spPr>
      </xdr:pic>
      <xdr:pic>
        <xdr:nvPicPr>
          <xdr:cNvPr id="24" name="Gráfico 23" descr="Hoja de nuez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10800000">
            <a:off x="503698" y="2390226"/>
            <a:ext cx="404101" cy="404101"/>
          </a:xfrm>
          <a:prstGeom prst="rect">
            <a:avLst/>
          </a:prstGeom>
        </xdr:spPr>
      </xdr:pic>
      <xdr:pic>
        <xdr:nvPicPr>
          <xdr:cNvPr id="25" name="Gráfico 24" descr="Hoja de nuez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10800000">
            <a:off x="672664" y="2393730"/>
            <a:ext cx="404101" cy="407276"/>
          </a:xfrm>
          <a:prstGeom prst="rect">
            <a:avLst/>
          </a:prstGeom>
        </xdr:spPr>
      </xdr:pic>
      <xdr:pic>
        <xdr:nvPicPr>
          <xdr:cNvPr id="27" name="Gráfico 26" descr="Hoja de nuez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10800000">
            <a:off x="977464" y="2391977"/>
            <a:ext cx="404101" cy="407276"/>
          </a:xfrm>
          <a:prstGeom prst="rect">
            <a:avLst/>
          </a:prstGeom>
        </xdr:spPr>
      </xdr:pic>
      <xdr:pic>
        <xdr:nvPicPr>
          <xdr:cNvPr id="28" name="Gráfico 27" descr="Hoja de nuez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10800000">
            <a:off x="1129864" y="2391101"/>
            <a:ext cx="404100" cy="404101"/>
          </a:xfrm>
          <a:prstGeom prst="rect">
            <a:avLst/>
          </a:prstGeom>
        </xdr:spPr>
      </xdr:pic>
      <xdr:pic>
        <xdr:nvPicPr>
          <xdr:cNvPr id="29" name="Gráfico 28" descr="Hoja de nuez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10800000">
            <a:off x="1282264" y="2385846"/>
            <a:ext cx="404100" cy="404101"/>
          </a:xfrm>
          <a:prstGeom prst="rect">
            <a:avLst/>
          </a:prstGeom>
        </xdr:spPr>
      </xdr:pic>
      <xdr:pic>
        <xdr:nvPicPr>
          <xdr:cNvPr id="31" name="Gráfico 30" descr="Hoja de nuez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10800000">
            <a:off x="1593516" y="2583123"/>
            <a:ext cx="404102" cy="410451"/>
          </a:xfrm>
          <a:prstGeom prst="rect">
            <a:avLst/>
          </a:prstGeom>
        </xdr:spPr>
      </xdr:pic>
      <xdr:pic>
        <xdr:nvPicPr>
          <xdr:cNvPr id="35" name="Gráfico 34" descr="Hoja de nuez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10800000">
            <a:off x="1346270" y="2762859"/>
            <a:ext cx="407275" cy="407161"/>
          </a:xfrm>
          <a:prstGeom prst="rect">
            <a:avLst/>
          </a:prstGeom>
        </xdr:spPr>
      </xdr:pic>
      <xdr:sp macro="" textlink="">
        <xdr:nvSpPr>
          <xdr:cNvPr id="36" name="Cilindro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 rot="16200000">
            <a:off x="463565" y="3791521"/>
            <a:ext cx="127319" cy="105103"/>
          </a:xfrm>
          <a:prstGeom prst="can">
            <a:avLst>
              <a:gd name="adj" fmla="val 50000"/>
            </a:avLst>
          </a:prstGeom>
          <a:solidFill>
            <a:schemeClr val="tx1">
              <a:lumMod val="50000"/>
              <a:lumOff val="5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7" name="Cilindro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 rot="16200000">
            <a:off x="1741822" y="3619051"/>
            <a:ext cx="167588" cy="105103"/>
          </a:xfrm>
          <a:prstGeom prst="can">
            <a:avLst>
              <a:gd name="adj" fmla="val 50000"/>
            </a:avLst>
          </a:prstGeom>
          <a:solidFill>
            <a:schemeClr val="tx1">
              <a:lumMod val="50000"/>
              <a:lumOff val="5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8" name="Cilindro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 rot="16200000">
            <a:off x="1517868" y="3786564"/>
            <a:ext cx="127319" cy="105103"/>
          </a:xfrm>
          <a:prstGeom prst="can">
            <a:avLst>
              <a:gd name="adj" fmla="val 50000"/>
            </a:avLst>
          </a:prstGeom>
          <a:solidFill>
            <a:schemeClr val="tx1">
              <a:lumMod val="50000"/>
              <a:lumOff val="5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0</xdr:col>
      <xdr:colOff>133730</xdr:colOff>
      <xdr:row>94</xdr:row>
      <xdr:rowOff>70829</xdr:rowOff>
    </xdr:from>
    <xdr:to>
      <xdr:col>2</xdr:col>
      <xdr:colOff>105611</xdr:colOff>
      <xdr:row>96</xdr:row>
      <xdr:rowOff>126898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29920" y="14249400"/>
          <a:ext cx="516711" cy="0"/>
          <a:chOff x="329635" y="6237741"/>
          <a:chExt cx="514609" cy="422246"/>
        </a:xfrm>
      </xdr:grpSpPr>
      <xdr:sp macro="" textlink="">
        <xdr:nvSpPr>
          <xdr:cNvPr id="52" name="Cilindro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/>
        </xdr:nvSpPr>
        <xdr:spPr>
          <a:xfrm>
            <a:off x="330199" y="6237741"/>
            <a:ext cx="514045" cy="422246"/>
          </a:xfrm>
          <a:prstGeom prst="can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3" name="Cilindro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329635" y="6239421"/>
            <a:ext cx="514045" cy="217682"/>
          </a:xfrm>
          <a:prstGeom prst="can">
            <a:avLst>
              <a:gd name="adj" fmla="val 50000"/>
            </a:avLst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0</xdr:col>
      <xdr:colOff>43694</xdr:colOff>
      <xdr:row>117</xdr:row>
      <xdr:rowOff>63500</xdr:rowOff>
    </xdr:from>
    <xdr:to>
      <xdr:col>4</xdr:col>
      <xdr:colOff>83039</xdr:colOff>
      <xdr:row>121</xdr:row>
      <xdr:rowOff>184830</xdr:rowOff>
    </xdr:to>
    <xdr:grpSp>
      <xdr:nvGrpSpPr>
        <xdr:cNvPr id="84" name="Grupo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GrpSpPr/>
      </xdr:nvGrpSpPr>
      <xdr:grpSpPr>
        <a:xfrm>
          <a:off x="45599" y="16661765"/>
          <a:ext cx="1077570" cy="847135"/>
          <a:chOff x="3692180" y="10997158"/>
          <a:chExt cx="1419820" cy="1152269"/>
        </a:xfrm>
      </xdr:grpSpPr>
      <xdr:grpSp>
        <xdr:nvGrpSpPr>
          <xdr:cNvPr id="83" name="Grupo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GrpSpPr/>
        </xdr:nvGrpSpPr>
        <xdr:grpSpPr>
          <a:xfrm>
            <a:off x="3692180" y="11740932"/>
            <a:ext cx="1419820" cy="408495"/>
            <a:chOff x="3718456" y="12354035"/>
            <a:chExt cx="1419820" cy="408495"/>
          </a:xfrm>
        </xdr:grpSpPr>
        <xdr:sp macro="" textlink="">
          <xdr:nvSpPr>
            <xdr:cNvPr id="82" name="Cubo 81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SpPr/>
          </xdr:nvSpPr>
          <xdr:spPr>
            <a:xfrm>
              <a:off x="4220325" y="12628179"/>
              <a:ext cx="179132" cy="133475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5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79" name="Cubo 78">
              <a:extLst>
                <a:ext uri="{FF2B5EF4-FFF2-40B4-BE49-F238E27FC236}">
                  <a16:creationId xmlns:a16="http://schemas.microsoft.com/office/drawing/2014/main" id="{00000000-0008-0000-0100-00004F000000}"/>
                </a:ext>
              </a:extLst>
            </xdr:cNvPr>
            <xdr:cNvSpPr/>
          </xdr:nvSpPr>
          <xdr:spPr>
            <a:xfrm>
              <a:off x="3718456" y="12625551"/>
              <a:ext cx="179132" cy="133475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5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0" name="Cubo 79">
              <a:extLst>
                <a:ext uri="{FF2B5EF4-FFF2-40B4-BE49-F238E27FC236}">
                  <a16:creationId xmlns:a16="http://schemas.microsoft.com/office/drawing/2014/main" id="{00000000-0008-0000-0100-000050000000}"/>
                </a:ext>
              </a:extLst>
            </xdr:cNvPr>
            <xdr:cNvSpPr/>
          </xdr:nvSpPr>
          <xdr:spPr>
            <a:xfrm>
              <a:off x="4723762" y="12629056"/>
              <a:ext cx="179132" cy="133474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5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1" name="Cubo 80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/>
          </xdr:nvSpPr>
          <xdr:spPr>
            <a:xfrm>
              <a:off x="4958012" y="12404833"/>
              <a:ext cx="179132" cy="133474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5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78" name="Cubo 77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/>
          </xdr:nvSpPr>
          <xdr:spPr>
            <a:xfrm>
              <a:off x="3720508" y="12354035"/>
              <a:ext cx="1417768" cy="306552"/>
            </a:xfrm>
            <a:prstGeom prst="cube">
              <a:avLst>
                <a:gd name="adj" fmla="val 87308"/>
              </a:avLst>
            </a:prstGeom>
            <a:solidFill>
              <a:schemeClr val="accent4">
                <a:lumMod val="50000"/>
              </a:schemeClr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grpSp>
        <xdr:nvGrpSpPr>
          <xdr:cNvPr id="63" name="Grupo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GrpSpPr/>
        </xdr:nvGrpSpPr>
        <xdr:grpSpPr>
          <a:xfrm>
            <a:off x="3734028" y="11520237"/>
            <a:ext cx="1329902" cy="459613"/>
            <a:chOff x="3584751" y="11002527"/>
            <a:chExt cx="1326284" cy="456185"/>
          </a:xfrm>
        </xdr:grpSpPr>
        <xdr:sp macro="" textlink="">
          <xdr:nvSpPr>
            <xdr:cNvPr id="57" name="Cubo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/>
          </xdr:nvSpPr>
          <xdr:spPr>
            <a:xfrm>
              <a:off x="3686351" y="11006945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58" name="Cubo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/>
          </xdr:nvSpPr>
          <xdr:spPr>
            <a:xfrm>
              <a:off x="3584751" y="11109649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59" name="Cubo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/>
          </xdr:nvSpPr>
          <xdr:spPr>
            <a:xfrm>
              <a:off x="4051890" y="11002527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60" name="Cubo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/>
          </xdr:nvSpPr>
          <xdr:spPr>
            <a:xfrm>
              <a:off x="3972377" y="11105232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61" name="Cubo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/>
          </xdr:nvSpPr>
          <xdr:spPr>
            <a:xfrm>
              <a:off x="4439516" y="11003632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62" name="Cubo 61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/>
          </xdr:nvSpPr>
          <xdr:spPr>
            <a:xfrm>
              <a:off x="4348959" y="11106336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grpSp>
        <xdr:nvGrpSpPr>
          <xdr:cNvPr id="64" name="Grupo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GrpSpPr/>
        </xdr:nvGrpSpPr>
        <xdr:grpSpPr>
          <a:xfrm>
            <a:off x="3731819" y="11255080"/>
            <a:ext cx="1329902" cy="461326"/>
            <a:chOff x="3584751" y="11002527"/>
            <a:chExt cx="1326284" cy="456185"/>
          </a:xfrm>
        </xdr:grpSpPr>
        <xdr:sp macro="" textlink="">
          <xdr:nvSpPr>
            <xdr:cNvPr id="65" name="Cubo 64">
              <a:extLst>
                <a:ext uri="{FF2B5EF4-FFF2-40B4-BE49-F238E27FC236}">
                  <a16:creationId xmlns:a16="http://schemas.microsoft.com/office/drawing/2014/main" id="{00000000-0008-0000-0100-000041000000}"/>
                </a:ext>
              </a:extLst>
            </xdr:cNvPr>
            <xdr:cNvSpPr/>
          </xdr:nvSpPr>
          <xdr:spPr>
            <a:xfrm>
              <a:off x="3686351" y="11006945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66" name="Cubo 65">
              <a:extLst>
                <a:ext uri="{FF2B5EF4-FFF2-40B4-BE49-F238E27FC236}">
                  <a16:creationId xmlns:a16="http://schemas.microsoft.com/office/drawing/2014/main" id="{00000000-0008-0000-0100-000042000000}"/>
                </a:ext>
              </a:extLst>
            </xdr:cNvPr>
            <xdr:cNvSpPr/>
          </xdr:nvSpPr>
          <xdr:spPr>
            <a:xfrm>
              <a:off x="3584751" y="11109649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67" name="Cubo 66">
              <a:extLst>
                <a:ext uri="{FF2B5EF4-FFF2-40B4-BE49-F238E27FC236}">
                  <a16:creationId xmlns:a16="http://schemas.microsoft.com/office/drawing/2014/main" id="{00000000-0008-0000-0100-000043000000}"/>
                </a:ext>
              </a:extLst>
            </xdr:cNvPr>
            <xdr:cNvSpPr/>
          </xdr:nvSpPr>
          <xdr:spPr>
            <a:xfrm>
              <a:off x="4051890" y="11002527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68" name="Cubo 67">
              <a:extLst>
                <a:ext uri="{FF2B5EF4-FFF2-40B4-BE49-F238E27FC236}">
                  <a16:creationId xmlns:a16="http://schemas.microsoft.com/office/drawing/2014/main" id="{00000000-0008-0000-0100-000044000000}"/>
                </a:ext>
              </a:extLst>
            </xdr:cNvPr>
            <xdr:cNvSpPr/>
          </xdr:nvSpPr>
          <xdr:spPr>
            <a:xfrm>
              <a:off x="3972377" y="11105232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69" name="Cubo 68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/>
          </xdr:nvSpPr>
          <xdr:spPr>
            <a:xfrm>
              <a:off x="4439516" y="11003632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70" name="Cubo 69">
              <a:extLst>
                <a:ext uri="{FF2B5EF4-FFF2-40B4-BE49-F238E27FC236}">
                  <a16:creationId xmlns:a16="http://schemas.microsoft.com/office/drawing/2014/main" id="{00000000-0008-0000-0100-000046000000}"/>
                </a:ext>
              </a:extLst>
            </xdr:cNvPr>
            <xdr:cNvSpPr/>
          </xdr:nvSpPr>
          <xdr:spPr>
            <a:xfrm>
              <a:off x="4348959" y="11106336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grpSp>
        <xdr:nvGrpSpPr>
          <xdr:cNvPr id="71" name="Grupo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GrpSpPr/>
        </xdr:nvGrpSpPr>
        <xdr:grpSpPr>
          <a:xfrm>
            <a:off x="3735132" y="10997158"/>
            <a:ext cx="1329902" cy="461325"/>
            <a:chOff x="3584751" y="11002527"/>
            <a:chExt cx="1326284" cy="456185"/>
          </a:xfrm>
        </xdr:grpSpPr>
        <xdr:sp macro="" textlink="">
          <xdr:nvSpPr>
            <xdr:cNvPr id="72" name="Cubo 71">
              <a:extLst>
                <a:ext uri="{FF2B5EF4-FFF2-40B4-BE49-F238E27FC236}">
                  <a16:creationId xmlns:a16="http://schemas.microsoft.com/office/drawing/2014/main" id="{00000000-0008-0000-0100-000048000000}"/>
                </a:ext>
              </a:extLst>
            </xdr:cNvPr>
            <xdr:cNvSpPr/>
          </xdr:nvSpPr>
          <xdr:spPr>
            <a:xfrm>
              <a:off x="3686351" y="11006945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73" name="Cubo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/>
          </xdr:nvSpPr>
          <xdr:spPr>
            <a:xfrm>
              <a:off x="3584751" y="11109649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74" name="Cubo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/>
          </xdr:nvSpPr>
          <xdr:spPr>
            <a:xfrm>
              <a:off x="4051890" y="11002527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75" name="Cubo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/>
          </xdr:nvSpPr>
          <xdr:spPr>
            <a:xfrm>
              <a:off x="3972377" y="11105232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76" name="Cubo 75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/>
          </xdr:nvSpPr>
          <xdr:spPr>
            <a:xfrm>
              <a:off x="4439516" y="11003632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77" name="Cubo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/>
          </xdr:nvSpPr>
          <xdr:spPr>
            <a:xfrm>
              <a:off x="4348959" y="11106336"/>
              <a:ext cx="471519" cy="349063"/>
            </a:xfrm>
            <a:prstGeom prst="cube">
              <a:avLst>
                <a:gd name="adj" fmla="val 28043"/>
              </a:avLst>
            </a:prstGeom>
            <a:solidFill>
              <a:schemeClr val="accent4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</xdr:grpSp>
    <xdr:clientData/>
  </xdr:twoCellAnchor>
  <xdr:twoCellAnchor>
    <xdr:from>
      <xdr:col>5</xdr:col>
      <xdr:colOff>22212</xdr:colOff>
      <xdr:row>127</xdr:row>
      <xdr:rowOff>47212</xdr:rowOff>
    </xdr:from>
    <xdr:to>
      <xdr:col>6</xdr:col>
      <xdr:colOff>23927</xdr:colOff>
      <xdr:row>127</xdr:row>
      <xdr:rowOff>131262</xdr:rowOff>
    </xdr:to>
    <xdr:sp macro="" textlink="">
      <xdr:nvSpPr>
        <xdr:cNvPr id="85" name="Cerrar llave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 rot="2713913">
          <a:off x="1378045" y="22479456"/>
          <a:ext cx="84050" cy="255715"/>
        </a:xfrm>
        <a:prstGeom prst="rightBrace">
          <a:avLst>
            <a:gd name="adj1" fmla="val 100473"/>
            <a:gd name="adj2" fmla="val 50000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1</a:t>
          </a:r>
        </a:p>
      </xdr:txBody>
    </xdr:sp>
    <xdr:clientData/>
  </xdr:twoCellAnchor>
  <xdr:twoCellAnchor>
    <xdr:from>
      <xdr:col>0</xdr:col>
      <xdr:colOff>67692</xdr:colOff>
      <xdr:row>74</xdr:row>
      <xdr:rowOff>114306</xdr:rowOff>
    </xdr:from>
    <xdr:to>
      <xdr:col>4</xdr:col>
      <xdr:colOff>177800</xdr:colOff>
      <xdr:row>77</xdr:row>
      <xdr:rowOff>97696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 rot="5400000">
          <a:off x="377748" y="12241995"/>
          <a:ext cx="522505" cy="1146428"/>
          <a:chOff x="446311" y="4113311"/>
          <a:chExt cx="612641" cy="1861820"/>
        </a:xfrm>
      </xdr:grpSpPr>
      <xdr:sp macro="" textlink="">
        <xdr:nvSpPr>
          <xdr:cNvPr id="41" name="Rectángulo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>
            <a:off x="446311" y="4113311"/>
            <a:ext cx="612641" cy="1861820"/>
          </a:xfrm>
          <a:prstGeom prst="rect">
            <a:avLst/>
          </a:prstGeom>
          <a:noFill/>
          <a:ln w="25400">
            <a:solidFill>
              <a:schemeClr val="tx1">
                <a:lumMod val="75000"/>
                <a:lumOff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91" name="Grupo 90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GrpSpPr/>
        </xdr:nvGrpSpPr>
        <xdr:grpSpPr>
          <a:xfrm>
            <a:off x="479440" y="4443185"/>
            <a:ext cx="548250" cy="217176"/>
            <a:chOff x="479177" y="4420938"/>
            <a:chExt cx="547374" cy="244065"/>
          </a:xfrm>
        </xdr:grpSpPr>
        <xdr:sp macro="" textlink="">
          <xdr:nvSpPr>
            <xdr:cNvPr id="42" name="Rectángulo: esquinas redondeadas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SpPr/>
          </xdr:nvSpPr>
          <xdr:spPr>
            <a:xfrm>
              <a:off x="479177" y="4422306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7" name="Rectángulo: esquinas redondeadas 86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SpPr/>
          </xdr:nvSpPr>
          <xdr:spPr>
            <a:xfrm>
              <a:off x="597384" y="4420938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8" name="Rectángulo: esquinas redondeadas 87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SpPr/>
          </xdr:nvSpPr>
          <xdr:spPr>
            <a:xfrm>
              <a:off x="818170" y="4424260"/>
              <a:ext cx="95058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9" name="Rectángulo: esquinas redondeadas 88">
              <a:extLst>
                <a:ext uri="{FF2B5EF4-FFF2-40B4-BE49-F238E27FC236}">
                  <a16:creationId xmlns:a16="http://schemas.microsoft.com/office/drawing/2014/main" id="{00000000-0008-0000-0100-000059000000}"/>
                </a:ext>
              </a:extLst>
            </xdr:cNvPr>
            <xdr:cNvSpPr/>
          </xdr:nvSpPr>
          <xdr:spPr>
            <a:xfrm>
              <a:off x="932470" y="4422893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grpSp>
        <xdr:nvGrpSpPr>
          <xdr:cNvPr id="92" name="Grupo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GrpSpPr/>
        </xdr:nvGrpSpPr>
        <xdr:grpSpPr>
          <a:xfrm>
            <a:off x="479440" y="4675376"/>
            <a:ext cx="548250" cy="242576"/>
            <a:chOff x="479177" y="4420938"/>
            <a:chExt cx="547374" cy="244065"/>
          </a:xfrm>
        </xdr:grpSpPr>
        <xdr:sp macro="" textlink="">
          <xdr:nvSpPr>
            <xdr:cNvPr id="93" name="Rectángulo: esquinas redondeadas 92">
              <a:extLst>
                <a:ext uri="{FF2B5EF4-FFF2-40B4-BE49-F238E27FC236}">
                  <a16:creationId xmlns:a16="http://schemas.microsoft.com/office/drawing/2014/main" id="{00000000-0008-0000-0100-00005D000000}"/>
                </a:ext>
              </a:extLst>
            </xdr:cNvPr>
            <xdr:cNvSpPr/>
          </xdr:nvSpPr>
          <xdr:spPr>
            <a:xfrm>
              <a:off x="479177" y="4422306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94" name="Rectángulo: esquinas redondeadas 93">
              <a:extLst>
                <a:ext uri="{FF2B5EF4-FFF2-40B4-BE49-F238E27FC236}">
                  <a16:creationId xmlns:a16="http://schemas.microsoft.com/office/drawing/2014/main" id="{00000000-0008-0000-0100-00005E000000}"/>
                </a:ext>
              </a:extLst>
            </xdr:cNvPr>
            <xdr:cNvSpPr/>
          </xdr:nvSpPr>
          <xdr:spPr>
            <a:xfrm>
              <a:off x="597384" y="4420938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95" name="Rectángulo: esquinas redondeadas 94">
              <a:extLst>
                <a:ext uri="{FF2B5EF4-FFF2-40B4-BE49-F238E27FC236}">
                  <a16:creationId xmlns:a16="http://schemas.microsoft.com/office/drawing/2014/main" id="{00000000-0008-0000-0100-00005F000000}"/>
                </a:ext>
              </a:extLst>
            </xdr:cNvPr>
            <xdr:cNvSpPr/>
          </xdr:nvSpPr>
          <xdr:spPr>
            <a:xfrm>
              <a:off x="818170" y="4424260"/>
              <a:ext cx="95058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96" name="Rectángulo: esquinas redondeadas 95">
              <a:extLst>
                <a:ext uri="{FF2B5EF4-FFF2-40B4-BE49-F238E27FC236}">
                  <a16:creationId xmlns:a16="http://schemas.microsoft.com/office/drawing/2014/main" id="{00000000-0008-0000-0100-000060000000}"/>
                </a:ext>
              </a:extLst>
            </xdr:cNvPr>
            <xdr:cNvSpPr/>
          </xdr:nvSpPr>
          <xdr:spPr>
            <a:xfrm>
              <a:off x="932470" y="4422893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grpSp>
        <xdr:nvGrpSpPr>
          <xdr:cNvPr id="97" name="Grupo 96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GrpSpPr/>
        </xdr:nvGrpSpPr>
        <xdr:grpSpPr>
          <a:xfrm>
            <a:off x="479440" y="4930427"/>
            <a:ext cx="548250" cy="267363"/>
            <a:chOff x="479177" y="4420938"/>
            <a:chExt cx="547374" cy="244065"/>
          </a:xfrm>
        </xdr:grpSpPr>
        <xdr:sp macro="" textlink="">
          <xdr:nvSpPr>
            <xdr:cNvPr id="98" name="Rectángulo: esquinas redondeadas 97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:cNvPr>
            <xdr:cNvSpPr/>
          </xdr:nvSpPr>
          <xdr:spPr>
            <a:xfrm>
              <a:off x="479177" y="4422306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99" name="Rectángulo: esquinas redondeadas 98">
              <a:extLst>
                <a:ext uri="{FF2B5EF4-FFF2-40B4-BE49-F238E27FC236}">
                  <a16:creationId xmlns:a16="http://schemas.microsoft.com/office/drawing/2014/main" id="{00000000-0008-0000-0100-000063000000}"/>
                </a:ext>
              </a:extLst>
            </xdr:cNvPr>
            <xdr:cNvSpPr/>
          </xdr:nvSpPr>
          <xdr:spPr>
            <a:xfrm>
              <a:off x="597384" y="4420938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00" name="Rectángulo: esquinas redondeadas 99">
              <a:extLst>
                <a:ext uri="{FF2B5EF4-FFF2-40B4-BE49-F238E27FC236}">
                  <a16:creationId xmlns:a16="http://schemas.microsoft.com/office/drawing/2014/main" id="{00000000-0008-0000-0100-000064000000}"/>
                </a:ext>
              </a:extLst>
            </xdr:cNvPr>
            <xdr:cNvSpPr/>
          </xdr:nvSpPr>
          <xdr:spPr>
            <a:xfrm>
              <a:off x="818170" y="4424260"/>
              <a:ext cx="95058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01" name="Rectángulo: esquinas redondeadas 100">
              <a:extLst>
                <a:ext uri="{FF2B5EF4-FFF2-40B4-BE49-F238E27FC236}">
                  <a16:creationId xmlns:a16="http://schemas.microsoft.com/office/drawing/2014/main" id="{00000000-0008-0000-0100-000065000000}"/>
                </a:ext>
              </a:extLst>
            </xdr:cNvPr>
            <xdr:cNvSpPr/>
          </xdr:nvSpPr>
          <xdr:spPr>
            <a:xfrm>
              <a:off x="932470" y="4422893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grpSp>
        <xdr:nvGrpSpPr>
          <xdr:cNvPr id="102" name="Grupo 101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GrpSpPr/>
        </xdr:nvGrpSpPr>
        <xdr:grpSpPr>
          <a:xfrm>
            <a:off x="479440" y="5212805"/>
            <a:ext cx="548250" cy="242576"/>
            <a:chOff x="479177" y="4420938"/>
            <a:chExt cx="547374" cy="244065"/>
          </a:xfrm>
        </xdr:grpSpPr>
        <xdr:sp macro="" textlink="">
          <xdr:nvSpPr>
            <xdr:cNvPr id="103" name="Rectángulo: esquinas redondeadas 102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SpPr/>
          </xdr:nvSpPr>
          <xdr:spPr>
            <a:xfrm>
              <a:off x="479177" y="4422306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04" name="Rectángulo: esquinas redondeadas 103">
              <a:extLst>
                <a:ext uri="{FF2B5EF4-FFF2-40B4-BE49-F238E27FC236}">
                  <a16:creationId xmlns:a16="http://schemas.microsoft.com/office/drawing/2014/main" id="{00000000-0008-0000-0100-000068000000}"/>
                </a:ext>
              </a:extLst>
            </xdr:cNvPr>
            <xdr:cNvSpPr/>
          </xdr:nvSpPr>
          <xdr:spPr>
            <a:xfrm>
              <a:off x="597384" y="4420938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05" name="Rectángulo: esquinas redondeadas 104">
              <a:extLst>
                <a:ext uri="{FF2B5EF4-FFF2-40B4-BE49-F238E27FC236}">
                  <a16:creationId xmlns:a16="http://schemas.microsoft.com/office/drawing/2014/main" id="{00000000-0008-0000-0100-000069000000}"/>
                </a:ext>
              </a:extLst>
            </xdr:cNvPr>
            <xdr:cNvSpPr/>
          </xdr:nvSpPr>
          <xdr:spPr>
            <a:xfrm>
              <a:off x="818170" y="4424260"/>
              <a:ext cx="95058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06" name="Rectángulo: esquinas redondeadas 105">
              <a:extLst>
                <a:ext uri="{FF2B5EF4-FFF2-40B4-BE49-F238E27FC236}">
                  <a16:creationId xmlns:a16="http://schemas.microsoft.com/office/drawing/2014/main" id="{00000000-0008-0000-0100-00006A000000}"/>
                </a:ext>
              </a:extLst>
            </xdr:cNvPr>
            <xdr:cNvSpPr/>
          </xdr:nvSpPr>
          <xdr:spPr>
            <a:xfrm>
              <a:off x="932470" y="4422893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grpSp>
        <xdr:nvGrpSpPr>
          <xdr:cNvPr id="107" name="Grupo 106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GrpSpPr/>
        </xdr:nvGrpSpPr>
        <xdr:grpSpPr>
          <a:xfrm>
            <a:off x="479440" y="5472936"/>
            <a:ext cx="548250" cy="217176"/>
            <a:chOff x="479177" y="4420938"/>
            <a:chExt cx="547374" cy="244065"/>
          </a:xfrm>
        </xdr:grpSpPr>
        <xdr:sp macro="" textlink="">
          <xdr:nvSpPr>
            <xdr:cNvPr id="108" name="Rectángulo: esquinas redondeadas 107">
              <a:extLst>
                <a:ext uri="{FF2B5EF4-FFF2-40B4-BE49-F238E27FC236}">
                  <a16:creationId xmlns:a16="http://schemas.microsoft.com/office/drawing/2014/main" id="{00000000-0008-0000-0100-00006C000000}"/>
                </a:ext>
              </a:extLst>
            </xdr:cNvPr>
            <xdr:cNvSpPr/>
          </xdr:nvSpPr>
          <xdr:spPr>
            <a:xfrm>
              <a:off x="479177" y="4422306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09" name="Rectángulo: esquinas redondeadas 108">
              <a:extLst>
                <a:ext uri="{FF2B5EF4-FFF2-40B4-BE49-F238E27FC236}">
                  <a16:creationId xmlns:a16="http://schemas.microsoft.com/office/drawing/2014/main" id="{00000000-0008-0000-0100-00006D000000}"/>
                </a:ext>
              </a:extLst>
            </xdr:cNvPr>
            <xdr:cNvSpPr/>
          </xdr:nvSpPr>
          <xdr:spPr>
            <a:xfrm>
              <a:off x="597384" y="4420938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10" name="Rectángulo: esquinas redondeadas 109">
              <a:extLst>
                <a:ext uri="{FF2B5EF4-FFF2-40B4-BE49-F238E27FC236}">
                  <a16:creationId xmlns:a16="http://schemas.microsoft.com/office/drawing/2014/main" id="{00000000-0008-0000-0100-00006E000000}"/>
                </a:ext>
              </a:extLst>
            </xdr:cNvPr>
            <xdr:cNvSpPr/>
          </xdr:nvSpPr>
          <xdr:spPr>
            <a:xfrm>
              <a:off x="818170" y="4424260"/>
              <a:ext cx="95058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11" name="Rectángulo: esquinas redondeadas 110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SpPr/>
          </xdr:nvSpPr>
          <xdr:spPr>
            <a:xfrm>
              <a:off x="932470" y="4422893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grpSp>
        <xdr:nvGrpSpPr>
          <xdr:cNvPr id="112" name="Grupo 111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GrpSpPr/>
        </xdr:nvGrpSpPr>
        <xdr:grpSpPr>
          <a:xfrm>
            <a:off x="476900" y="4145129"/>
            <a:ext cx="548250" cy="280501"/>
            <a:chOff x="479177" y="4420938"/>
            <a:chExt cx="547374" cy="244065"/>
          </a:xfrm>
        </xdr:grpSpPr>
        <xdr:sp macro="" textlink="">
          <xdr:nvSpPr>
            <xdr:cNvPr id="113" name="Rectángulo: esquinas redondeadas 112">
              <a:extLst>
                <a:ext uri="{FF2B5EF4-FFF2-40B4-BE49-F238E27FC236}">
                  <a16:creationId xmlns:a16="http://schemas.microsoft.com/office/drawing/2014/main" id="{00000000-0008-0000-0100-000071000000}"/>
                </a:ext>
              </a:extLst>
            </xdr:cNvPr>
            <xdr:cNvSpPr/>
          </xdr:nvSpPr>
          <xdr:spPr>
            <a:xfrm>
              <a:off x="479177" y="4422306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14" name="Rectángulo: esquinas redondeadas 113">
              <a:extLst>
                <a:ext uri="{FF2B5EF4-FFF2-40B4-BE49-F238E27FC236}">
                  <a16:creationId xmlns:a16="http://schemas.microsoft.com/office/drawing/2014/main" id="{00000000-0008-0000-0100-000072000000}"/>
                </a:ext>
              </a:extLst>
            </xdr:cNvPr>
            <xdr:cNvSpPr/>
          </xdr:nvSpPr>
          <xdr:spPr>
            <a:xfrm>
              <a:off x="597384" y="4420938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15" name="Rectángulo: esquinas redondeadas 114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SpPr/>
          </xdr:nvSpPr>
          <xdr:spPr>
            <a:xfrm>
              <a:off x="818170" y="4424260"/>
              <a:ext cx="95058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16" name="Rectángulo: esquinas redondeadas 115">
              <a:extLst>
                <a:ext uri="{FF2B5EF4-FFF2-40B4-BE49-F238E27FC236}">
                  <a16:creationId xmlns:a16="http://schemas.microsoft.com/office/drawing/2014/main" id="{00000000-0008-0000-0100-000074000000}"/>
                </a:ext>
              </a:extLst>
            </xdr:cNvPr>
            <xdr:cNvSpPr/>
          </xdr:nvSpPr>
          <xdr:spPr>
            <a:xfrm>
              <a:off x="932470" y="4422893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grpSp>
        <xdr:nvGrpSpPr>
          <xdr:cNvPr id="117" name="Grupo 116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GrpSpPr/>
        </xdr:nvGrpSpPr>
        <xdr:grpSpPr>
          <a:xfrm>
            <a:off x="476900" y="5705127"/>
            <a:ext cx="548250" cy="241087"/>
            <a:chOff x="479177" y="4420938"/>
            <a:chExt cx="547374" cy="244065"/>
          </a:xfrm>
        </xdr:grpSpPr>
        <xdr:sp macro="" textlink="">
          <xdr:nvSpPr>
            <xdr:cNvPr id="118" name="Rectángulo: esquinas redondeadas 117">
              <a:extLst>
                <a:ext uri="{FF2B5EF4-FFF2-40B4-BE49-F238E27FC236}">
                  <a16:creationId xmlns:a16="http://schemas.microsoft.com/office/drawing/2014/main" id="{00000000-0008-0000-0100-000076000000}"/>
                </a:ext>
              </a:extLst>
            </xdr:cNvPr>
            <xdr:cNvSpPr/>
          </xdr:nvSpPr>
          <xdr:spPr>
            <a:xfrm>
              <a:off x="479177" y="4422306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19" name="Rectángulo: esquinas redondeadas 118">
              <a:extLst>
                <a:ext uri="{FF2B5EF4-FFF2-40B4-BE49-F238E27FC236}">
                  <a16:creationId xmlns:a16="http://schemas.microsoft.com/office/drawing/2014/main" id="{00000000-0008-0000-0100-000077000000}"/>
                </a:ext>
              </a:extLst>
            </xdr:cNvPr>
            <xdr:cNvSpPr/>
          </xdr:nvSpPr>
          <xdr:spPr>
            <a:xfrm>
              <a:off x="597384" y="4420938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20" name="Rectángulo: esquinas redondeadas 119">
              <a:extLst>
                <a:ext uri="{FF2B5EF4-FFF2-40B4-BE49-F238E27FC236}">
                  <a16:creationId xmlns:a16="http://schemas.microsoft.com/office/drawing/2014/main" id="{00000000-0008-0000-0100-000078000000}"/>
                </a:ext>
              </a:extLst>
            </xdr:cNvPr>
            <xdr:cNvSpPr/>
          </xdr:nvSpPr>
          <xdr:spPr>
            <a:xfrm>
              <a:off x="818170" y="4424260"/>
              <a:ext cx="95058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21" name="Rectángulo: esquinas redondeadas 120">
              <a:extLst>
                <a:ext uri="{FF2B5EF4-FFF2-40B4-BE49-F238E27FC236}">
                  <a16:creationId xmlns:a16="http://schemas.microsoft.com/office/drawing/2014/main" id="{00000000-0008-0000-0100-000079000000}"/>
                </a:ext>
              </a:extLst>
            </xdr:cNvPr>
            <xdr:cNvSpPr/>
          </xdr:nvSpPr>
          <xdr:spPr>
            <a:xfrm>
              <a:off x="932470" y="4422893"/>
              <a:ext cx="94081" cy="240743"/>
            </a:xfrm>
            <a:prstGeom prst="round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</xdr:grpSp>
    <xdr:clientData/>
  </xdr:twoCellAnchor>
  <xdr:twoCellAnchor>
    <xdr:from>
      <xdr:col>0</xdr:col>
      <xdr:colOff>0</xdr:colOff>
      <xdr:row>123</xdr:row>
      <xdr:rowOff>184386</xdr:rowOff>
    </xdr:from>
    <xdr:to>
      <xdr:col>5</xdr:col>
      <xdr:colOff>220751</xdr:colOff>
      <xdr:row>127</xdr:row>
      <xdr:rowOff>162298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pSpPr/>
      </xdr:nvGrpSpPr>
      <xdr:grpSpPr>
        <a:xfrm>
          <a:off x="0" y="17870406"/>
          <a:ext cx="1504721" cy="705622"/>
          <a:chOff x="364546" y="12506419"/>
          <a:chExt cx="1490751" cy="713637"/>
        </a:xfrm>
      </xdr:grpSpPr>
      <xdr:grpSp>
        <xdr:nvGrpSpPr>
          <xdr:cNvPr id="289" name="Grupo 288">
            <a:extLst>
              <a:ext uri="{FF2B5EF4-FFF2-40B4-BE49-F238E27FC236}">
                <a16:creationId xmlns:a16="http://schemas.microsoft.com/office/drawing/2014/main" id="{00000000-0008-0000-0100-000021010000}"/>
              </a:ext>
            </a:extLst>
          </xdr:cNvPr>
          <xdr:cNvGrpSpPr/>
        </xdr:nvGrpSpPr>
        <xdr:grpSpPr>
          <a:xfrm>
            <a:off x="646271" y="12548055"/>
            <a:ext cx="1117070" cy="517021"/>
            <a:chOff x="280301" y="11619318"/>
            <a:chExt cx="1373673" cy="687782"/>
          </a:xfrm>
        </xdr:grpSpPr>
        <xdr:grpSp>
          <xdr:nvGrpSpPr>
            <xdr:cNvPr id="227" name="Grupo 226">
              <a:extLst>
                <a:ext uri="{FF2B5EF4-FFF2-40B4-BE49-F238E27FC236}">
                  <a16:creationId xmlns:a16="http://schemas.microsoft.com/office/drawing/2014/main" id="{00000000-0008-0000-0100-0000E3000000}"/>
                </a:ext>
              </a:extLst>
            </xdr:cNvPr>
            <xdr:cNvGrpSpPr/>
          </xdr:nvGrpSpPr>
          <xdr:grpSpPr>
            <a:xfrm>
              <a:off x="301045" y="12124437"/>
              <a:ext cx="1342601" cy="177829"/>
              <a:chOff x="301045" y="12095338"/>
              <a:chExt cx="1339709" cy="177287"/>
            </a:xfrm>
          </xdr:grpSpPr>
          <xdr:grpSp>
            <xdr:nvGrpSpPr>
              <xdr:cNvPr id="195" name="Grupo 194">
                <a:extLst>
                  <a:ext uri="{FF2B5EF4-FFF2-40B4-BE49-F238E27FC236}">
                    <a16:creationId xmlns:a16="http://schemas.microsoft.com/office/drawing/2014/main" id="{00000000-0008-0000-0100-0000C3000000}"/>
                  </a:ext>
                </a:extLst>
              </xdr:cNvPr>
              <xdr:cNvGrpSpPr/>
            </xdr:nvGrpSpPr>
            <xdr:grpSpPr>
              <a:xfrm>
                <a:off x="301045" y="12097878"/>
                <a:ext cx="350748" cy="174747"/>
                <a:chOff x="379785" y="11218628"/>
                <a:chExt cx="351403" cy="175812"/>
              </a:xfrm>
            </xdr:grpSpPr>
            <xdr:sp macro="" textlink="">
              <xdr:nvSpPr>
                <xdr:cNvPr id="192" name="Cubo 191">
                  <a:extLst>
                    <a:ext uri="{FF2B5EF4-FFF2-40B4-BE49-F238E27FC236}">
                      <a16:creationId xmlns:a16="http://schemas.microsoft.com/office/drawing/2014/main" id="{00000000-0008-0000-0100-0000C000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193" name="Cubo 192">
                  <a:extLst>
                    <a:ext uri="{FF2B5EF4-FFF2-40B4-BE49-F238E27FC236}">
                      <a16:creationId xmlns:a16="http://schemas.microsoft.com/office/drawing/2014/main" id="{00000000-0008-0000-0100-0000C100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194" name="Cubo 193">
                  <a:extLst>
                    <a:ext uri="{FF2B5EF4-FFF2-40B4-BE49-F238E27FC236}">
                      <a16:creationId xmlns:a16="http://schemas.microsoft.com/office/drawing/2014/main" id="{00000000-0008-0000-0100-0000C200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196" name="Grupo 195">
                <a:extLst>
                  <a:ext uri="{FF2B5EF4-FFF2-40B4-BE49-F238E27FC236}">
                    <a16:creationId xmlns:a16="http://schemas.microsoft.com/office/drawing/2014/main" id="{00000000-0008-0000-0100-0000C4000000}"/>
                  </a:ext>
                </a:extLst>
              </xdr:cNvPr>
              <xdr:cNvGrpSpPr/>
            </xdr:nvGrpSpPr>
            <xdr:grpSpPr>
              <a:xfrm>
                <a:off x="630590" y="12097878"/>
                <a:ext cx="350583" cy="174747"/>
                <a:chOff x="379785" y="11218628"/>
                <a:chExt cx="351403" cy="175812"/>
              </a:xfrm>
            </xdr:grpSpPr>
            <xdr:sp macro="" textlink="">
              <xdr:nvSpPr>
                <xdr:cNvPr id="197" name="Cubo 196">
                  <a:extLst>
                    <a:ext uri="{FF2B5EF4-FFF2-40B4-BE49-F238E27FC236}">
                      <a16:creationId xmlns:a16="http://schemas.microsoft.com/office/drawing/2014/main" id="{00000000-0008-0000-0100-0000C500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198" name="Cubo 197">
                  <a:extLst>
                    <a:ext uri="{FF2B5EF4-FFF2-40B4-BE49-F238E27FC236}">
                      <a16:creationId xmlns:a16="http://schemas.microsoft.com/office/drawing/2014/main" id="{00000000-0008-0000-0100-0000C600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199" name="Cubo 198">
                  <a:extLst>
                    <a:ext uri="{FF2B5EF4-FFF2-40B4-BE49-F238E27FC236}">
                      <a16:creationId xmlns:a16="http://schemas.microsoft.com/office/drawing/2014/main" id="{00000000-0008-0000-0100-0000C700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200" name="Grupo 199">
                <a:extLst>
                  <a:ext uri="{FF2B5EF4-FFF2-40B4-BE49-F238E27FC236}">
                    <a16:creationId xmlns:a16="http://schemas.microsoft.com/office/drawing/2014/main" id="{00000000-0008-0000-0100-0000C8000000}"/>
                  </a:ext>
                </a:extLst>
              </xdr:cNvPr>
              <xdr:cNvGrpSpPr/>
            </xdr:nvGrpSpPr>
            <xdr:grpSpPr>
              <a:xfrm>
                <a:off x="959970" y="12095338"/>
                <a:ext cx="351403" cy="174747"/>
                <a:chOff x="379785" y="11218628"/>
                <a:chExt cx="351403" cy="175812"/>
              </a:xfrm>
            </xdr:grpSpPr>
            <xdr:sp macro="" textlink="">
              <xdr:nvSpPr>
                <xdr:cNvPr id="201" name="Cubo 200">
                  <a:extLst>
                    <a:ext uri="{FF2B5EF4-FFF2-40B4-BE49-F238E27FC236}">
                      <a16:creationId xmlns:a16="http://schemas.microsoft.com/office/drawing/2014/main" id="{00000000-0008-0000-0100-0000C900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02" name="Cubo 201">
                  <a:extLst>
                    <a:ext uri="{FF2B5EF4-FFF2-40B4-BE49-F238E27FC236}">
                      <a16:creationId xmlns:a16="http://schemas.microsoft.com/office/drawing/2014/main" id="{00000000-0008-0000-0100-0000CA00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03" name="Cubo 202">
                  <a:extLst>
                    <a:ext uri="{FF2B5EF4-FFF2-40B4-BE49-F238E27FC236}">
                      <a16:creationId xmlns:a16="http://schemas.microsoft.com/office/drawing/2014/main" id="{00000000-0008-0000-0100-0000CB00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204" name="Grupo 203">
                <a:extLst>
                  <a:ext uri="{FF2B5EF4-FFF2-40B4-BE49-F238E27FC236}">
                    <a16:creationId xmlns:a16="http://schemas.microsoft.com/office/drawing/2014/main" id="{00000000-0008-0000-0100-0000CC000000}"/>
                  </a:ext>
                </a:extLst>
              </xdr:cNvPr>
              <xdr:cNvGrpSpPr/>
            </xdr:nvGrpSpPr>
            <xdr:grpSpPr>
              <a:xfrm>
                <a:off x="1290170" y="12096402"/>
                <a:ext cx="350584" cy="174747"/>
                <a:chOff x="379785" y="11218628"/>
                <a:chExt cx="351403" cy="175812"/>
              </a:xfrm>
            </xdr:grpSpPr>
            <xdr:sp macro="" textlink="">
              <xdr:nvSpPr>
                <xdr:cNvPr id="205" name="Cubo 204">
                  <a:extLst>
                    <a:ext uri="{FF2B5EF4-FFF2-40B4-BE49-F238E27FC236}">
                      <a16:creationId xmlns:a16="http://schemas.microsoft.com/office/drawing/2014/main" id="{00000000-0008-0000-0100-0000CD00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06" name="Cubo 205">
                  <a:extLst>
                    <a:ext uri="{FF2B5EF4-FFF2-40B4-BE49-F238E27FC236}">
                      <a16:creationId xmlns:a16="http://schemas.microsoft.com/office/drawing/2014/main" id="{00000000-0008-0000-0100-0000CE00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07" name="Cubo 206">
                  <a:extLst>
                    <a:ext uri="{FF2B5EF4-FFF2-40B4-BE49-F238E27FC236}">
                      <a16:creationId xmlns:a16="http://schemas.microsoft.com/office/drawing/2014/main" id="{00000000-0008-0000-0100-0000CF00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</xdr:grpSp>
        <xdr:grpSp>
          <xdr:nvGrpSpPr>
            <xdr:cNvPr id="228" name="Grupo 227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GrpSpPr/>
          </xdr:nvGrpSpPr>
          <xdr:grpSpPr>
            <a:xfrm>
              <a:off x="288331" y="11946505"/>
              <a:ext cx="1354086" cy="190529"/>
              <a:chOff x="289560" y="12095338"/>
              <a:chExt cx="1351194" cy="189987"/>
            </a:xfrm>
          </xdr:grpSpPr>
          <xdr:grpSp>
            <xdr:nvGrpSpPr>
              <xdr:cNvPr id="229" name="Grupo 228">
                <a:extLst>
                  <a:ext uri="{FF2B5EF4-FFF2-40B4-BE49-F238E27FC236}">
                    <a16:creationId xmlns:a16="http://schemas.microsoft.com/office/drawing/2014/main" id="{00000000-0008-0000-0100-0000E5000000}"/>
                  </a:ext>
                </a:extLst>
              </xdr:cNvPr>
              <xdr:cNvGrpSpPr/>
            </xdr:nvGrpSpPr>
            <xdr:grpSpPr>
              <a:xfrm>
                <a:off x="301045" y="12097878"/>
                <a:ext cx="350748" cy="174747"/>
                <a:chOff x="379785" y="11218628"/>
                <a:chExt cx="351403" cy="175812"/>
              </a:xfrm>
            </xdr:grpSpPr>
            <xdr:sp macro="" textlink="">
              <xdr:nvSpPr>
                <xdr:cNvPr id="243" name="Cubo 242">
                  <a:extLst>
                    <a:ext uri="{FF2B5EF4-FFF2-40B4-BE49-F238E27FC236}">
                      <a16:creationId xmlns:a16="http://schemas.microsoft.com/office/drawing/2014/main" id="{00000000-0008-0000-0100-0000F300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44" name="Cubo 243">
                  <a:extLst>
                    <a:ext uri="{FF2B5EF4-FFF2-40B4-BE49-F238E27FC236}">
                      <a16:creationId xmlns:a16="http://schemas.microsoft.com/office/drawing/2014/main" id="{00000000-0008-0000-0100-0000F400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45" name="Cubo 244">
                  <a:extLst>
                    <a:ext uri="{FF2B5EF4-FFF2-40B4-BE49-F238E27FC236}">
                      <a16:creationId xmlns:a16="http://schemas.microsoft.com/office/drawing/2014/main" id="{00000000-0008-0000-0100-0000F500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230" name="Grupo 229">
                <a:extLst>
                  <a:ext uri="{FF2B5EF4-FFF2-40B4-BE49-F238E27FC236}">
                    <a16:creationId xmlns:a16="http://schemas.microsoft.com/office/drawing/2014/main" id="{00000000-0008-0000-0100-0000E6000000}"/>
                  </a:ext>
                </a:extLst>
              </xdr:cNvPr>
              <xdr:cNvGrpSpPr/>
            </xdr:nvGrpSpPr>
            <xdr:grpSpPr>
              <a:xfrm>
                <a:off x="630590" y="12097878"/>
                <a:ext cx="350583" cy="174747"/>
                <a:chOff x="379785" y="11218628"/>
                <a:chExt cx="351403" cy="175812"/>
              </a:xfrm>
            </xdr:grpSpPr>
            <xdr:sp macro="" textlink="">
              <xdr:nvSpPr>
                <xdr:cNvPr id="240" name="Cubo 239">
                  <a:extLst>
                    <a:ext uri="{FF2B5EF4-FFF2-40B4-BE49-F238E27FC236}">
                      <a16:creationId xmlns:a16="http://schemas.microsoft.com/office/drawing/2014/main" id="{00000000-0008-0000-0100-0000F000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41" name="Cubo 240">
                  <a:extLst>
                    <a:ext uri="{FF2B5EF4-FFF2-40B4-BE49-F238E27FC236}">
                      <a16:creationId xmlns:a16="http://schemas.microsoft.com/office/drawing/2014/main" id="{00000000-0008-0000-0100-0000F100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42" name="Cubo 241">
                  <a:extLst>
                    <a:ext uri="{FF2B5EF4-FFF2-40B4-BE49-F238E27FC236}">
                      <a16:creationId xmlns:a16="http://schemas.microsoft.com/office/drawing/2014/main" id="{00000000-0008-0000-0100-0000F200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231" name="Grupo 230">
                <a:extLst>
                  <a:ext uri="{FF2B5EF4-FFF2-40B4-BE49-F238E27FC236}">
                    <a16:creationId xmlns:a16="http://schemas.microsoft.com/office/drawing/2014/main" id="{00000000-0008-0000-0100-0000E7000000}"/>
                  </a:ext>
                </a:extLst>
              </xdr:cNvPr>
              <xdr:cNvGrpSpPr/>
            </xdr:nvGrpSpPr>
            <xdr:grpSpPr>
              <a:xfrm>
                <a:off x="959970" y="12095338"/>
                <a:ext cx="351403" cy="174747"/>
                <a:chOff x="379785" y="11218628"/>
                <a:chExt cx="351403" cy="175812"/>
              </a:xfrm>
            </xdr:grpSpPr>
            <xdr:sp macro="" textlink="">
              <xdr:nvSpPr>
                <xdr:cNvPr id="237" name="Cubo 236">
                  <a:extLst>
                    <a:ext uri="{FF2B5EF4-FFF2-40B4-BE49-F238E27FC236}">
                      <a16:creationId xmlns:a16="http://schemas.microsoft.com/office/drawing/2014/main" id="{00000000-0008-0000-0100-0000ED00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38" name="Cubo 237">
                  <a:extLst>
                    <a:ext uri="{FF2B5EF4-FFF2-40B4-BE49-F238E27FC236}">
                      <a16:creationId xmlns:a16="http://schemas.microsoft.com/office/drawing/2014/main" id="{00000000-0008-0000-0100-0000EE00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39" name="Cubo 238">
                  <a:extLst>
                    <a:ext uri="{FF2B5EF4-FFF2-40B4-BE49-F238E27FC236}">
                      <a16:creationId xmlns:a16="http://schemas.microsoft.com/office/drawing/2014/main" id="{00000000-0008-0000-0100-0000EF00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232" name="Grupo 231">
                <a:extLst>
                  <a:ext uri="{FF2B5EF4-FFF2-40B4-BE49-F238E27FC236}">
                    <a16:creationId xmlns:a16="http://schemas.microsoft.com/office/drawing/2014/main" id="{00000000-0008-0000-0100-0000E8000000}"/>
                  </a:ext>
                </a:extLst>
              </xdr:cNvPr>
              <xdr:cNvGrpSpPr/>
            </xdr:nvGrpSpPr>
            <xdr:grpSpPr>
              <a:xfrm>
                <a:off x="1290170" y="12096402"/>
                <a:ext cx="350584" cy="174747"/>
                <a:chOff x="379785" y="11218628"/>
                <a:chExt cx="351403" cy="175812"/>
              </a:xfrm>
            </xdr:grpSpPr>
            <xdr:sp macro="" textlink="">
              <xdr:nvSpPr>
                <xdr:cNvPr id="234" name="Cubo 233">
                  <a:extLst>
                    <a:ext uri="{FF2B5EF4-FFF2-40B4-BE49-F238E27FC236}">
                      <a16:creationId xmlns:a16="http://schemas.microsoft.com/office/drawing/2014/main" id="{00000000-0008-0000-0100-0000EA00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35" name="Cubo 234">
                  <a:extLst>
                    <a:ext uri="{FF2B5EF4-FFF2-40B4-BE49-F238E27FC236}">
                      <a16:creationId xmlns:a16="http://schemas.microsoft.com/office/drawing/2014/main" id="{00000000-0008-0000-0100-0000EB00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36" name="Cubo 235">
                  <a:extLst>
                    <a:ext uri="{FF2B5EF4-FFF2-40B4-BE49-F238E27FC236}">
                      <a16:creationId xmlns:a16="http://schemas.microsoft.com/office/drawing/2014/main" id="{00000000-0008-0000-0100-0000EC00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cxnSp macro="">
            <xdr:nvCxnSpPr>
              <xdr:cNvPr id="233" name="Conector recto 232">
                <a:extLst>
                  <a:ext uri="{FF2B5EF4-FFF2-40B4-BE49-F238E27FC236}">
                    <a16:creationId xmlns:a16="http://schemas.microsoft.com/office/drawing/2014/main" id="{00000000-0008-0000-0100-0000E9000000}"/>
                  </a:ext>
                </a:extLst>
              </xdr:cNvPr>
              <xdr:cNvCxnSpPr/>
            </xdr:nvCxnSpPr>
            <xdr:spPr>
              <a:xfrm>
                <a:off x="289560" y="12285325"/>
                <a:ext cx="1308346" cy="0"/>
              </a:xfrm>
              <a:prstGeom prst="line">
                <a:avLst/>
              </a:prstGeom>
              <a:ln w="22225">
                <a:solidFill>
                  <a:srgbClr val="FFC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46" name="Grupo 245">
              <a:extLst>
                <a:ext uri="{FF2B5EF4-FFF2-40B4-BE49-F238E27FC236}">
                  <a16:creationId xmlns:a16="http://schemas.microsoft.com/office/drawing/2014/main" id="{00000000-0008-0000-0100-0000F6000000}"/>
                </a:ext>
              </a:extLst>
            </xdr:cNvPr>
            <xdr:cNvGrpSpPr/>
          </xdr:nvGrpSpPr>
          <xdr:grpSpPr>
            <a:xfrm>
              <a:off x="293247" y="11784960"/>
              <a:ext cx="1354086" cy="190529"/>
              <a:chOff x="289560" y="12095338"/>
              <a:chExt cx="1351194" cy="189987"/>
            </a:xfrm>
          </xdr:grpSpPr>
          <xdr:grpSp>
            <xdr:nvGrpSpPr>
              <xdr:cNvPr id="247" name="Grupo 246">
                <a:extLst>
                  <a:ext uri="{FF2B5EF4-FFF2-40B4-BE49-F238E27FC236}">
                    <a16:creationId xmlns:a16="http://schemas.microsoft.com/office/drawing/2014/main" id="{00000000-0008-0000-0100-0000F7000000}"/>
                  </a:ext>
                </a:extLst>
              </xdr:cNvPr>
              <xdr:cNvGrpSpPr/>
            </xdr:nvGrpSpPr>
            <xdr:grpSpPr>
              <a:xfrm>
                <a:off x="301045" y="12097878"/>
                <a:ext cx="350748" cy="174747"/>
                <a:chOff x="379785" y="11218628"/>
                <a:chExt cx="351403" cy="175812"/>
              </a:xfrm>
            </xdr:grpSpPr>
            <xdr:sp macro="" textlink="">
              <xdr:nvSpPr>
                <xdr:cNvPr id="261" name="Cubo 260">
                  <a:extLst>
                    <a:ext uri="{FF2B5EF4-FFF2-40B4-BE49-F238E27FC236}">
                      <a16:creationId xmlns:a16="http://schemas.microsoft.com/office/drawing/2014/main" id="{00000000-0008-0000-0100-000005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62" name="Cubo 261">
                  <a:extLst>
                    <a:ext uri="{FF2B5EF4-FFF2-40B4-BE49-F238E27FC236}">
                      <a16:creationId xmlns:a16="http://schemas.microsoft.com/office/drawing/2014/main" id="{00000000-0008-0000-0100-000006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63" name="Cubo 262">
                  <a:extLst>
                    <a:ext uri="{FF2B5EF4-FFF2-40B4-BE49-F238E27FC236}">
                      <a16:creationId xmlns:a16="http://schemas.microsoft.com/office/drawing/2014/main" id="{00000000-0008-0000-0100-000007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248" name="Grupo 247">
                <a:extLst>
                  <a:ext uri="{FF2B5EF4-FFF2-40B4-BE49-F238E27FC236}">
                    <a16:creationId xmlns:a16="http://schemas.microsoft.com/office/drawing/2014/main" id="{00000000-0008-0000-0100-0000F8000000}"/>
                  </a:ext>
                </a:extLst>
              </xdr:cNvPr>
              <xdr:cNvGrpSpPr/>
            </xdr:nvGrpSpPr>
            <xdr:grpSpPr>
              <a:xfrm>
                <a:off x="630590" y="12097878"/>
                <a:ext cx="350583" cy="174747"/>
                <a:chOff x="379785" y="11218628"/>
                <a:chExt cx="351403" cy="175812"/>
              </a:xfrm>
            </xdr:grpSpPr>
            <xdr:sp macro="" textlink="">
              <xdr:nvSpPr>
                <xdr:cNvPr id="258" name="Cubo 257">
                  <a:extLst>
                    <a:ext uri="{FF2B5EF4-FFF2-40B4-BE49-F238E27FC236}">
                      <a16:creationId xmlns:a16="http://schemas.microsoft.com/office/drawing/2014/main" id="{00000000-0008-0000-0100-000002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59" name="Cubo 258">
                  <a:extLst>
                    <a:ext uri="{FF2B5EF4-FFF2-40B4-BE49-F238E27FC236}">
                      <a16:creationId xmlns:a16="http://schemas.microsoft.com/office/drawing/2014/main" id="{00000000-0008-0000-0100-000003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60" name="Cubo 259">
                  <a:extLst>
                    <a:ext uri="{FF2B5EF4-FFF2-40B4-BE49-F238E27FC236}">
                      <a16:creationId xmlns:a16="http://schemas.microsoft.com/office/drawing/2014/main" id="{00000000-0008-0000-0100-000004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249" name="Grupo 248">
                <a:extLst>
                  <a:ext uri="{FF2B5EF4-FFF2-40B4-BE49-F238E27FC236}">
                    <a16:creationId xmlns:a16="http://schemas.microsoft.com/office/drawing/2014/main" id="{00000000-0008-0000-0100-0000F9000000}"/>
                  </a:ext>
                </a:extLst>
              </xdr:cNvPr>
              <xdr:cNvGrpSpPr/>
            </xdr:nvGrpSpPr>
            <xdr:grpSpPr>
              <a:xfrm>
                <a:off x="959970" y="12095338"/>
                <a:ext cx="351403" cy="174747"/>
                <a:chOff x="379785" y="11218628"/>
                <a:chExt cx="351403" cy="175812"/>
              </a:xfrm>
            </xdr:grpSpPr>
            <xdr:sp macro="" textlink="">
              <xdr:nvSpPr>
                <xdr:cNvPr id="255" name="Cubo 254">
                  <a:extLst>
                    <a:ext uri="{FF2B5EF4-FFF2-40B4-BE49-F238E27FC236}">
                      <a16:creationId xmlns:a16="http://schemas.microsoft.com/office/drawing/2014/main" id="{00000000-0008-0000-0100-0000FF00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56" name="Cubo 255">
                  <a:extLst>
                    <a:ext uri="{FF2B5EF4-FFF2-40B4-BE49-F238E27FC236}">
                      <a16:creationId xmlns:a16="http://schemas.microsoft.com/office/drawing/2014/main" id="{00000000-0008-0000-0100-000000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57" name="Cubo 256">
                  <a:extLst>
                    <a:ext uri="{FF2B5EF4-FFF2-40B4-BE49-F238E27FC236}">
                      <a16:creationId xmlns:a16="http://schemas.microsoft.com/office/drawing/2014/main" id="{00000000-0008-0000-0100-000001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250" name="Grupo 249">
                <a:extLst>
                  <a:ext uri="{FF2B5EF4-FFF2-40B4-BE49-F238E27FC236}">
                    <a16:creationId xmlns:a16="http://schemas.microsoft.com/office/drawing/2014/main" id="{00000000-0008-0000-0100-0000FA000000}"/>
                  </a:ext>
                </a:extLst>
              </xdr:cNvPr>
              <xdr:cNvGrpSpPr/>
            </xdr:nvGrpSpPr>
            <xdr:grpSpPr>
              <a:xfrm>
                <a:off x="1290170" y="12096402"/>
                <a:ext cx="350584" cy="174747"/>
                <a:chOff x="379785" y="11218628"/>
                <a:chExt cx="351403" cy="175812"/>
              </a:xfrm>
            </xdr:grpSpPr>
            <xdr:sp macro="" textlink="">
              <xdr:nvSpPr>
                <xdr:cNvPr id="252" name="Cubo 251">
                  <a:extLst>
                    <a:ext uri="{FF2B5EF4-FFF2-40B4-BE49-F238E27FC236}">
                      <a16:creationId xmlns:a16="http://schemas.microsoft.com/office/drawing/2014/main" id="{00000000-0008-0000-0100-0000FC00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53" name="Cubo 252">
                  <a:extLst>
                    <a:ext uri="{FF2B5EF4-FFF2-40B4-BE49-F238E27FC236}">
                      <a16:creationId xmlns:a16="http://schemas.microsoft.com/office/drawing/2014/main" id="{00000000-0008-0000-0100-0000FD00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54" name="Cubo 253">
                  <a:extLst>
                    <a:ext uri="{FF2B5EF4-FFF2-40B4-BE49-F238E27FC236}">
                      <a16:creationId xmlns:a16="http://schemas.microsoft.com/office/drawing/2014/main" id="{00000000-0008-0000-0100-0000FE00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cxnSp macro="">
            <xdr:nvCxnSpPr>
              <xdr:cNvPr id="251" name="Conector recto 250">
                <a:extLst>
                  <a:ext uri="{FF2B5EF4-FFF2-40B4-BE49-F238E27FC236}">
                    <a16:creationId xmlns:a16="http://schemas.microsoft.com/office/drawing/2014/main" id="{00000000-0008-0000-0100-0000FB000000}"/>
                  </a:ext>
                </a:extLst>
              </xdr:cNvPr>
              <xdr:cNvCxnSpPr/>
            </xdr:nvCxnSpPr>
            <xdr:spPr>
              <a:xfrm>
                <a:off x="289560" y="12285325"/>
                <a:ext cx="1308346" cy="0"/>
              </a:xfrm>
              <a:prstGeom prst="line">
                <a:avLst/>
              </a:prstGeom>
              <a:ln w="22225">
                <a:solidFill>
                  <a:srgbClr val="FFC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64" name="Grupo 263">
              <a:extLst>
                <a:ext uri="{FF2B5EF4-FFF2-40B4-BE49-F238E27FC236}">
                  <a16:creationId xmlns:a16="http://schemas.microsoft.com/office/drawing/2014/main" id="{00000000-0008-0000-0100-000008010000}"/>
                </a:ext>
              </a:extLst>
            </xdr:cNvPr>
            <xdr:cNvGrpSpPr/>
          </xdr:nvGrpSpPr>
          <xdr:grpSpPr>
            <a:xfrm>
              <a:off x="292018" y="11619318"/>
              <a:ext cx="1354086" cy="190529"/>
              <a:chOff x="289560" y="12095338"/>
              <a:chExt cx="1351194" cy="189987"/>
            </a:xfrm>
          </xdr:grpSpPr>
          <xdr:grpSp>
            <xdr:nvGrpSpPr>
              <xdr:cNvPr id="265" name="Grupo 264">
                <a:extLst>
                  <a:ext uri="{FF2B5EF4-FFF2-40B4-BE49-F238E27FC236}">
                    <a16:creationId xmlns:a16="http://schemas.microsoft.com/office/drawing/2014/main" id="{00000000-0008-0000-0100-000009010000}"/>
                  </a:ext>
                </a:extLst>
              </xdr:cNvPr>
              <xdr:cNvGrpSpPr/>
            </xdr:nvGrpSpPr>
            <xdr:grpSpPr>
              <a:xfrm>
                <a:off x="301045" y="12097878"/>
                <a:ext cx="350748" cy="174747"/>
                <a:chOff x="379785" y="11218628"/>
                <a:chExt cx="351403" cy="175812"/>
              </a:xfrm>
            </xdr:grpSpPr>
            <xdr:sp macro="" textlink="">
              <xdr:nvSpPr>
                <xdr:cNvPr id="279" name="Cubo 278">
                  <a:extLst>
                    <a:ext uri="{FF2B5EF4-FFF2-40B4-BE49-F238E27FC236}">
                      <a16:creationId xmlns:a16="http://schemas.microsoft.com/office/drawing/2014/main" id="{00000000-0008-0000-0100-000017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80" name="Cubo 279">
                  <a:extLst>
                    <a:ext uri="{FF2B5EF4-FFF2-40B4-BE49-F238E27FC236}">
                      <a16:creationId xmlns:a16="http://schemas.microsoft.com/office/drawing/2014/main" id="{00000000-0008-0000-0100-000018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81" name="Cubo 280">
                  <a:extLst>
                    <a:ext uri="{FF2B5EF4-FFF2-40B4-BE49-F238E27FC236}">
                      <a16:creationId xmlns:a16="http://schemas.microsoft.com/office/drawing/2014/main" id="{00000000-0008-0000-0100-000019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266" name="Grupo 265">
                <a:extLst>
                  <a:ext uri="{FF2B5EF4-FFF2-40B4-BE49-F238E27FC236}">
                    <a16:creationId xmlns:a16="http://schemas.microsoft.com/office/drawing/2014/main" id="{00000000-0008-0000-0100-00000A010000}"/>
                  </a:ext>
                </a:extLst>
              </xdr:cNvPr>
              <xdr:cNvGrpSpPr/>
            </xdr:nvGrpSpPr>
            <xdr:grpSpPr>
              <a:xfrm>
                <a:off x="630590" y="12097878"/>
                <a:ext cx="350583" cy="174747"/>
                <a:chOff x="379785" y="11218628"/>
                <a:chExt cx="351403" cy="175812"/>
              </a:xfrm>
            </xdr:grpSpPr>
            <xdr:sp macro="" textlink="">
              <xdr:nvSpPr>
                <xdr:cNvPr id="276" name="Cubo 275">
                  <a:extLst>
                    <a:ext uri="{FF2B5EF4-FFF2-40B4-BE49-F238E27FC236}">
                      <a16:creationId xmlns:a16="http://schemas.microsoft.com/office/drawing/2014/main" id="{00000000-0008-0000-0100-000014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77" name="Cubo 276">
                  <a:extLst>
                    <a:ext uri="{FF2B5EF4-FFF2-40B4-BE49-F238E27FC236}">
                      <a16:creationId xmlns:a16="http://schemas.microsoft.com/office/drawing/2014/main" id="{00000000-0008-0000-0100-000015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78" name="Cubo 277">
                  <a:extLst>
                    <a:ext uri="{FF2B5EF4-FFF2-40B4-BE49-F238E27FC236}">
                      <a16:creationId xmlns:a16="http://schemas.microsoft.com/office/drawing/2014/main" id="{00000000-0008-0000-0100-000016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267" name="Grupo 266">
                <a:extLst>
                  <a:ext uri="{FF2B5EF4-FFF2-40B4-BE49-F238E27FC236}">
                    <a16:creationId xmlns:a16="http://schemas.microsoft.com/office/drawing/2014/main" id="{00000000-0008-0000-0100-00000B010000}"/>
                  </a:ext>
                </a:extLst>
              </xdr:cNvPr>
              <xdr:cNvGrpSpPr/>
            </xdr:nvGrpSpPr>
            <xdr:grpSpPr>
              <a:xfrm>
                <a:off x="959970" y="12095338"/>
                <a:ext cx="351403" cy="174747"/>
                <a:chOff x="379785" y="11218628"/>
                <a:chExt cx="351403" cy="175812"/>
              </a:xfrm>
            </xdr:grpSpPr>
            <xdr:sp macro="" textlink="">
              <xdr:nvSpPr>
                <xdr:cNvPr id="273" name="Cubo 272">
                  <a:extLst>
                    <a:ext uri="{FF2B5EF4-FFF2-40B4-BE49-F238E27FC236}">
                      <a16:creationId xmlns:a16="http://schemas.microsoft.com/office/drawing/2014/main" id="{00000000-0008-0000-0100-000011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74" name="Cubo 273">
                  <a:extLst>
                    <a:ext uri="{FF2B5EF4-FFF2-40B4-BE49-F238E27FC236}">
                      <a16:creationId xmlns:a16="http://schemas.microsoft.com/office/drawing/2014/main" id="{00000000-0008-0000-0100-000012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75" name="Cubo 274">
                  <a:extLst>
                    <a:ext uri="{FF2B5EF4-FFF2-40B4-BE49-F238E27FC236}">
                      <a16:creationId xmlns:a16="http://schemas.microsoft.com/office/drawing/2014/main" id="{00000000-0008-0000-0100-000013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268" name="Grupo 267">
                <a:extLst>
                  <a:ext uri="{FF2B5EF4-FFF2-40B4-BE49-F238E27FC236}">
                    <a16:creationId xmlns:a16="http://schemas.microsoft.com/office/drawing/2014/main" id="{00000000-0008-0000-0100-00000C010000}"/>
                  </a:ext>
                </a:extLst>
              </xdr:cNvPr>
              <xdr:cNvGrpSpPr/>
            </xdr:nvGrpSpPr>
            <xdr:grpSpPr>
              <a:xfrm>
                <a:off x="1290170" y="12096402"/>
                <a:ext cx="350584" cy="174747"/>
                <a:chOff x="379785" y="11218628"/>
                <a:chExt cx="351403" cy="175812"/>
              </a:xfrm>
            </xdr:grpSpPr>
            <xdr:sp macro="" textlink="">
              <xdr:nvSpPr>
                <xdr:cNvPr id="270" name="Cubo 269">
                  <a:extLst>
                    <a:ext uri="{FF2B5EF4-FFF2-40B4-BE49-F238E27FC236}">
                      <a16:creationId xmlns:a16="http://schemas.microsoft.com/office/drawing/2014/main" id="{00000000-0008-0000-0100-00000E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71" name="Cubo 270">
                  <a:extLst>
                    <a:ext uri="{FF2B5EF4-FFF2-40B4-BE49-F238E27FC236}">
                      <a16:creationId xmlns:a16="http://schemas.microsoft.com/office/drawing/2014/main" id="{00000000-0008-0000-0100-00000F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272" name="Cubo 271">
                  <a:extLst>
                    <a:ext uri="{FF2B5EF4-FFF2-40B4-BE49-F238E27FC236}">
                      <a16:creationId xmlns:a16="http://schemas.microsoft.com/office/drawing/2014/main" id="{00000000-0008-0000-0100-000010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cxnSp macro="">
            <xdr:nvCxnSpPr>
              <xdr:cNvPr id="269" name="Conector recto 268">
                <a:extLst>
                  <a:ext uri="{FF2B5EF4-FFF2-40B4-BE49-F238E27FC236}">
                    <a16:creationId xmlns:a16="http://schemas.microsoft.com/office/drawing/2014/main" id="{00000000-0008-0000-0100-00000D010000}"/>
                  </a:ext>
                </a:extLst>
              </xdr:cNvPr>
              <xdr:cNvCxnSpPr/>
            </xdr:nvCxnSpPr>
            <xdr:spPr>
              <a:xfrm>
                <a:off x="289560" y="12285325"/>
                <a:ext cx="1308346" cy="0"/>
              </a:xfrm>
              <a:prstGeom prst="line">
                <a:avLst/>
              </a:prstGeom>
              <a:ln w="22225">
                <a:solidFill>
                  <a:srgbClr val="FFC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210" name="Conector recto 209">
              <a:extLst>
                <a:ext uri="{FF2B5EF4-FFF2-40B4-BE49-F238E27FC236}">
                  <a16:creationId xmlns:a16="http://schemas.microsoft.com/office/drawing/2014/main" id="{00000000-0008-0000-0100-0000D2000000}"/>
                </a:ext>
              </a:extLst>
            </xdr:cNvPr>
            <xdr:cNvCxnSpPr/>
          </xdr:nvCxnSpPr>
          <xdr:spPr>
            <a:xfrm>
              <a:off x="619273" y="11679241"/>
              <a:ext cx="0" cy="62499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4" name="Conector recto 283">
              <a:extLst>
                <a:ext uri="{FF2B5EF4-FFF2-40B4-BE49-F238E27FC236}">
                  <a16:creationId xmlns:a16="http://schemas.microsoft.com/office/drawing/2014/main" id="{00000000-0008-0000-0100-00001C010000}"/>
                </a:ext>
              </a:extLst>
            </xdr:cNvPr>
            <xdr:cNvCxnSpPr/>
          </xdr:nvCxnSpPr>
          <xdr:spPr>
            <a:xfrm>
              <a:off x="280301" y="11682109"/>
              <a:ext cx="0" cy="62499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5" name="Conector recto 284">
              <a:extLst>
                <a:ext uri="{FF2B5EF4-FFF2-40B4-BE49-F238E27FC236}">
                  <a16:creationId xmlns:a16="http://schemas.microsoft.com/office/drawing/2014/main" id="{00000000-0008-0000-0100-00001D010000}"/>
                </a:ext>
              </a:extLst>
            </xdr:cNvPr>
            <xdr:cNvCxnSpPr/>
          </xdr:nvCxnSpPr>
          <xdr:spPr>
            <a:xfrm>
              <a:off x="950220" y="11676783"/>
              <a:ext cx="0" cy="62499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6" name="Conector recto 285">
              <a:extLst>
                <a:ext uri="{FF2B5EF4-FFF2-40B4-BE49-F238E27FC236}">
                  <a16:creationId xmlns:a16="http://schemas.microsoft.com/office/drawing/2014/main" id="{00000000-0008-0000-0100-00001E010000}"/>
                </a:ext>
              </a:extLst>
            </xdr:cNvPr>
            <xdr:cNvCxnSpPr/>
          </xdr:nvCxnSpPr>
          <xdr:spPr>
            <a:xfrm>
              <a:off x="1280830" y="11677603"/>
              <a:ext cx="0" cy="62499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7" name="Conector recto 286">
              <a:extLst>
                <a:ext uri="{FF2B5EF4-FFF2-40B4-BE49-F238E27FC236}">
                  <a16:creationId xmlns:a16="http://schemas.microsoft.com/office/drawing/2014/main" id="{00000000-0008-0000-0100-00001F010000}"/>
                </a:ext>
              </a:extLst>
            </xdr:cNvPr>
            <xdr:cNvCxnSpPr/>
          </xdr:nvCxnSpPr>
          <xdr:spPr>
            <a:xfrm>
              <a:off x="1653974" y="11628719"/>
              <a:ext cx="0" cy="625533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8" name="Conector recto 287">
              <a:extLst>
                <a:ext uri="{FF2B5EF4-FFF2-40B4-BE49-F238E27FC236}">
                  <a16:creationId xmlns:a16="http://schemas.microsoft.com/office/drawing/2014/main" id="{00000000-0008-0000-0100-000020010000}"/>
                </a:ext>
              </a:extLst>
            </xdr:cNvPr>
            <xdr:cNvCxnSpPr/>
          </xdr:nvCxnSpPr>
          <xdr:spPr>
            <a:xfrm>
              <a:off x="1619971" y="11668999"/>
              <a:ext cx="0" cy="62499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90" name="Grupo 289">
            <a:extLst>
              <a:ext uri="{FF2B5EF4-FFF2-40B4-BE49-F238E27FC236}">
                <a16:creationId xmlns:a16="http://schemas.microsoft.com/office/drawing/2014/main" id="{00000000-0008-0000-0100-000022010000}"/>
              </a:ext>
            </a:extLst>
          </xdr:cNvPr>
          <xdr:cNvGrpSpPr/>
        </xdr:nvGrpSpPr>
        <xdr:grpSpPr>
          <a:xfrm>
            <a:off x="401023" y="12676336"/>
            <a:ext cx="1116362" cy="518735"/>
            <a:chOff x="280301" y="11619318"/>
            <a:chExt cx="1373673" cy="687782"/>
          </a:xfrm>
        </xdr:grpSpPr>
        <xdr:grpSp>
          <xdr:nvGrpSpPr>
            <xdr:cNvPr id="291" name="Grupo 290">
              <a:extLst>
                <a:ext uri="{FF2B5EF4-FFF2-40B4-BE49-F238E27FC236}">
                  <a16:creationId xmlns:a16="http://schemas.microsoft.com/office/drawing/2014/main" id="{00000000-0008-0000-0100-000023010000}"/>
                </a:ext>
              </a:extLst>
            </xdr:cNvPr>
            <xdr:cNvGrpSpPr/>
          </xdr:nvGrpSpPr>
          <xdr:grpSpPr>
            <a:xfrm>
              <a:off x="301045" y="12124437"/>
              <a:ext cx="1342601" cy="177829"/>
              <a:chOff x="301045" y="12095338"/>
              <a:chExt cx="1339709" cy="177287"/>
            </a:xfrm>
          </xdr:grpSpPr>
          <xdr:grpSp>
            <xdr:nvGrpSpPr>
              <xdr:cNvPr id="352" name="Grupo 351">
                <a:extLst>
                  <a:ext uri="{FF2B5EF4-FFF2-40B4-BE49-F238E27FC236}">
                    <a16:creationId xmlns:a16="http://schemas.microsoft.com/office/drawing/2014/main" id="{00000000-0008-0000-0100-000060010000}"/>
                  </a:ext>
                </a:extLst>
              </xdr:cNvPr>
              <xdr:cNvGrpSpPr/>
            </xdr:nvGrpSpPr>
            <xdr:grpSpPr>
              <a:xfrm>
                <a:off x="301045" y="12097878"/>
                <a:ext cx="350748" cy="174747"/>
                <a:chOff x="379785" y="11218628"/>
                <a:chExt cx="351403" cy="175812"/>
              </a:xfrm>
            </xdr:grpSpPr>
            <xdr:sp macro="" textlink="">
              <xdr:nvSpPr>
                <xdr:cNvPr id="365" name="Cubo 364">
                  <a:extLst>
                    <a:ext uri="{FF2B5EF4-FFF2-40B4-BE49-F238E27FC236}">
                      <a16:creationId xmlns:a16="http://schemas.microsoft.com/office/drawing/2014/main" id="{00000000-0008-0000-0100-00006D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66" name="Cubo 365">
                  <a:extLst>
                    <a:ext uri="{FF2B5EF4-FFF2-40B4-BE49-F238E27FC236}">
                      <a16:creationId xmlns:a16="http://schemas.microsoft.com/office/drawing/2014/main" id="{00000000-0008-0000-0100-00006E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67" name="Cubo 366">
                  <a:extLst>
                    <a:ext uri="{FF2B5EF4-FFF2-40B4-BE49-F238E27FC236}">
                      <a16:creationId xmlns:a16="http://schemas.microsoft.com/office/drawing/2014/main" id="{00000000-0008-0000-0100-00006F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353" name="Grupo 352">
                <a:extLst>
                  <a:ext uri="{FF2B5EF4-FFF2-40B4-BE49-F238E27FC236}">
                    <a16:creationId xmlns:a16="http://schemas.microsoft.com/office/drawing/2014/main" id="{00000000-0008-0000-0100-000061010000}"/>
                  </a:ext>
                </a:extLst>
              </xdr:cNvPr>
              <xdr:cNvGrpSpPr/>
            </xdr:nvGrpSpPr>
            <xdr:grpSpPr>
              <a:xfrm>
                <a:off x="630590" y="12097878"/>
                <a:ext cx="350583" cy="174747"/>
                <a:chOff x="379785" y="11218628"/>
                <a:chExt cx="351403" cy="175812"/>
              </a:xfrm>
            </xdr:grpSpPr>
            <xdr:sp macro="" textlink="">
              <xdr:nvSpPr>
                <xdr:cNvPr id="362" name="Cubo 361">
                  <a:extLst>
                    <a:ext uri="{FF2B5EF4-FFF2-40B4-BE49-F238E27FC236}">
                      <a16:creationId xmlns:a16="http://schemas.microsoft.com/office/drawing/2014/main" id="{00000000-0008-0000-0100-00006A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63" name="Cubo 362">
                  <a:extLst>
                    <a:ext uri="{FF2B5EF4-FFF2-40B4-BE49-F238E27FC236}">
                      <a16:creationId xmlns:a16="http://schemas.microsoft.com/office/drawing/2014/main" id="{00000000-0008-0000-0100-00006B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64" name="Cubo 363">
                  <a:extLst>
                    <a:ext uri="{FF2B5EF4-FFF2-40B4-BE49-F238E27FC236}">
                      <a16:creationId xmlns:a16="http://schemas.microsoft.com/office/drawing/2014/main" id="{00000000-0008-0000-0100-00006C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354" name="Grupo 353">
                <a:extLst>
                  <a:ext uri="{FF2B5EF4-FFF2-40B4-BE49-F238E27FC236}">
                    <a16:creationId xmlns:a16="http://schemas.microsoft.com/office/drawing/2014/main" id="{00000000-0008-0000-0100-000062010000}"/>
                  </a:ext>
                </a:extLst>
              </xdr:cNvPr>
              <xdr:cNvGrpSpPr/>
            </xdr:nvGrpSpPr>
            <xdr:grpSpPr>
              <a:xfrm>
                <a:off x="959970" y="12095338"/>
                <a:ext cx="351403" cy="174747"/>
                <a:chOff x="379785" y="11218628"/>
                <a:chExt cx="351403" cy="175812"/>
              </a:xfrm>
            </xdr:grpSpPr>
            <xdr:sp macro="" textlink="">
              <xdr:nvSpPr>
                <xdr:cNvPr id="359" name="Cubo 358">
                  <a:extLst>
                    <a:ext uri="{FF2B5EF4-FFF2-40B4-BE49-F238E27FC236}">
                      <a16:creationId xmlns:a16="http://schemas.microsoft.com/office/drawing/2014/main" id="{00000000-0008-0000-0100-000067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60" name="Cubo 359">
                  <a:extLst>
                    <a:ext uri="{FF2B5EF4-FFF2-40B4-BE49-F238E27FC236}">
                      <a16:creationId xmlns:a16="http://schemas.microsoft.com/office/drawing/2014/main" id="{00000000-0008-0000-0100-000068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61" name="Cubo 360">
                  <a:extLst>
                    <a:ext uri="{FF2B5EF4-FFF2-40B4-BE49-F238E27FC236}">
                      <a16:creationId xmlns:a16="http://schemas.microsoft.com/office/drawing/2014/main" id="{00000000-0008-0000-0100-000069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355" name="Grupo 354">
                <a:extLst>
                  <a:ext uri="{FF2B5EF4-FFF2-40B4-BE49-F238E27FC236}">
                    <a16:creationId xmlns:a16="http://schemas.microsoft.com/office/drawing/2014/main" id="{00000000-0008-0000-0100-000063010000}"/>
                  </a:ext>
                </a:extLst>
              </xdr:cNvPr>
              <xdr:cNvGrpSpPr/>
            </xdr:nvGrpSpPr>
            <xdr:grpSpPr>
              <a:xfrm>
                <a:off x="1290170" y="12096402"/>
                <a:ext cx="350584" cy="174747"/>
                <a:chOff x="379785" y="11218628"/>
                <a:chExt cx="351403" cy="175812"/>
              </a:xfrm>
            </xdr:grpSpPr>
            <xdr:sp macro="" textlink="">
              <xdr:nvSpPr>
                <xdr:cNvPr id="356" name="Cubo 355">
                  <a:extLst>
                    <a:ext uri="{FF2B5EF4-FFF2-40B4-BE49-F238E27FC236}">
                      <a16:creationId xmlns:a16="http://schemas.microsoft.com/office/drawing/2014/main" id="{00000000-0008-0000-0100-000064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57" name="Cubo 356">
                  <a:extLst>
                    <a:ext uri="{FF2B5EF4-FFF2-40B4-BE49-F238E27FC236}">
                      <a16:creationId xmlns:a16="http://schemas.microsoft.com/office/drawing/2014/main" id="{00000000-0008-0000-0100-000065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58" name="Cubo 357">
                  <a:extLst>
                    <a:ext uri="{FF2B5EF4-FFF2-40B4-BE49-F238E27FC236}">
                      <a16:creationId xmlns:a16="http://schemas.microsoft.com/office/drawing/2014/main" id="{00000000-0008-0000-0100-000066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</xdr:grpSp>
        <xdr:grpSp>
          <xdr:nvGrpSpPr>
            <xdr:cNvPr id="292" name="Grupo 291">
              <a:extLst>
                <a:ext uri="{FF2B5EF4-FFF2-40B4-BE49-F238E27FC236}">
                  <a16:creationId xmlns:a16="http://schemas.microsoft.com/office/drawing/2014/main" id="{00000000-0008-0000-0100-000024010000}"/>
                </a:ext>
              </a:extLst>
            </xdr:cNvPr>
            <xdr:cNvGrpSpPr/>
          </xdr:nvGrpSpPr>
          <xdr:grpSpPr>
            <a:xfrm>
              <a:off x="288331" y="11946505"/>
              <a:ext cx="1354086" cy="190529"/>
              <a:chOff x="289560" y="12095338"/>
              <a:chExt cx="1351194" cy="189987"/>
            </a:xfrm>
          </xdr:grpSpPr>
          <xdr:grpSp>
            <xdr:nvGrpSpPr>
              <xdr:cNvPr id="335" name="Grupo 334">
                <a:extLst>
                  <a:ext uri="{FF2B5EF4-FFF2-40B4-BE49-F238E27FC236}">
                    <a16:creationId xmlns:a16="http://schemas.microsoft.com/office/drawing/2014/main" id="{00000000-0008-0000-0100-00004F010000}"/>
                  </a:ext>
                </a:extLst>
              </xdr:cNvPr>
              <xdr:cNvGrpSpPr/>
            </xdr:nvGrpSpPr>
            <xdr:grpSpPr>
              <a:xfrm>
                <a:off x="301045" y="12097878"/>
                <a:ext cx="350748" cy="174747"/>
                <a:chOff x="379785" y="11218628"/>
                <a:chExt cx="351403" cy="175812"/>
              </a:xfrm>
            </xdr:grpSpPr>
            <xdr:sp macro="" textlink="">
              <xdr:nvSpPr>
                <xdr:cNvPr id="349" name="Cubo 348">
                  <a:extLst>
                    <a:ext uri="{FF2B5EF4-FFF2-40B4-BE49-F238E27FC236}">
                      <a16:creationId xmlns:a16="http://schemas.microsoft.com/office/drawing/2014/main" id="{00000000-0008-0000-0100-00005D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50" name="Cubo 349">
                  <a:extLst>
                    <a:ext uri="{FF2B5EF4-FFF2-40B4-BE49-F238E27FC236}">
                      <a16:creationId xmlns:a16="http://schemas.microsoft.com/office/drawing/2014/main" id="{00000000-0008-0000-0100-00005E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51" name="Cubo 350">
                  <a:extLst>
                    <a:ext uri="{FF2B5EF4-FFF2-40B4-BE49-F238E27FC236}">
                      <a16:creationId xmlns:a16="http://schemas.microsoft.com/office/drawing/2014/main" id="{00000000-0008-0000-0100-00005F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336" name="Grupo 335">
                <a:extLst>
                  <a:ext uri="{FF2B5EF4-FFF2-40B4-BE49-F238E27FC236}">
                    <a16:creationId xmlns:a16="http://schemas.microsoft.com/office/drawing/2014/main" id="{00000000-0008-0000-0100-000050010000}"/>
                  </a:ext>
                </a:extLst>
              </xdr:cNvPr>
              <xdr:cNvGrpSpPr/>
            </xdr:nvGrpSpPr>
            <xdr:grpSpPr>
              <a:xfrm>
                <a:off x="630590" y="12097878"/>
                <a:ext cx="350583" cy="174747"/>
                <a:chOff x="379785" y="11218628"/>
                <a:chExt cx="351403" cy="175812"/>
              </a:xfrm>
            </xdr:grpSpPr>
            <xdr:sp macro="" textlink="">
              <xdr:nvSpPr>
                <xdr:cNvPr id="346" name="Cubo 345">
                  <a:extLst>
                    <a:ext uri="{FF2B5EF4-FFF2-40B4-BE49-F238E27FC236}">
                      <a16:creationId xmlns:a16="http://schemas.microsoft.com/office/drawing/2014/main" id="{00000000-0008-0000-0100-00005A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47" name="Cubo 346">
                  <a:extLst>
                    <a:ext uri="{FF2B5EF4-FFF2-40B4-BE49-F238E27FC236}">
                      <a16:creationId xmlns:a16="http://schemas.microsoft.com/office/drawing/2014/main" id="{00000000-0008-0000-0100-00005B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48" name="Cubo 347">
                  <a:extLst>
                    <a:ext uri="{FF2B5EF4-FFF2-40B4-BE49-F238E27FC236}">
                      <a16:creationId xmlns:a16="http://schemas.microsoft.com/office/drawing/2014/main" id="{00000000-0008-0000-0100-00005C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337" name="Grupo 336">
                <a:extLst>
                  <a:ext uri="{FF2B5EF4-FFF2-40B4-BE49-F238E27FC236}">
                    <a16:creationId xmlns:a16="http://schemas.microsoft.com/office/drawing/2014/main" id="{00000000-0008-0000-0100-000051010000}"/>
                  </a:ext>
                </a:extLst>
              </xdr:cNvPr>
              <xdr:cNvGrpSpPr/>
            </xdr:nvGrpSpPr>
            <xdr:grpSpPr>
              <a:xfrm>
                <a:off x="959970" y="12095338"/>
                <a:ext cx="351403" cy="174747"/>
                <a:chOff x="379785" y="11218628"/>
                <a:chExt cx="351403" cy="175812"/>
              </a:xfrm>
            </xdr:grpSpPr>
            <xdr:sp macro="" textlink="">
              <xdr:nvSpPr>
                <xdr:cNvPr id="343" name="Cubo 342">
                  <a:extLst>
                    <a:ext uri="{FF2B5EF4-FFF2-40B4-BE49-F238E27FC236}">
                      <a16:creationId xmlns:a16="http://schemas.microsoft.com/office/drawing/2014/main" id="{00000000-0008-0000-0100-000057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44" name="Cubo 343">
                  <a:extLst>
                    <a:ext uri="{FF2B5EF4-FFF2-40B4-BE49-F238E27FC236}">
                      <a16:creationId xmlns:a16="http://schemas.microsoft.com/office/drawing/2014/main" id="{00000000-0008-0000-0100-000058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45" name="Cubo 344">
                  <a:extLst>
                    <a:ext uri="{FF2B5EF4-FFF2-40B4-BE49-F238E27FC236}">
                      <a16:creationId xmlns:a16="http://schemas.microsoft.com/office/drawing/2014/main" id="{00000000-0008-0000-0100-000059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338" name="Grupo 337">
                <a:extLst>
                  <a:ext uri="{FF2B5EF4-FFF2-40B4-BE49-F238E27FC236}">
                    <a16:creationId xmlns:a16="http://schemas.microsoft.com/office/drawing/2014/main" id="{00000000-0008-0000-0100-000052010000}"/>
                  </a:ext>
                </a:extLst>
              </xdr:cNvPr>
              <xdr:cNvGrpSpPr/>
            </xdr:nvGrpSpPr>
            <xdr:grpSpPr>
              <a:xfrm>
                <a:off x="1290170" y="12096402"/>
                <a:ext cx="350584" cy="174747"/>
                <a:chOff x="379785" y="11218628"/>
                <a:chExt cx="351403" cy="175812"/>
              </a:xfrm>
            </xdr:grpSpPr>
            <xdr:sp macro="" textlink="">
              <xdr:nvSpPr>
                <xdr:cNvPr id="340" name="Cubo 339">
                  <a:extLst>
                    <a:ext uri="{FF2B5EF4-FFF2-40B4-BE49-F238E27FC236}">
                      <a16:creationId xmlns:a16="http://schemas.microsoft.com/office/drawing/2014/main" id="{00000000-0008-0000-0100-000054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41" name="Cubo 340">
                  <a:extLst>
                    <a:ext uri="{FF2B5EF4-FFF2-40B4-BE49-F238E27FC236}">
                      <a16:creationId xmlns:a16="http://schemas.microsoft.com/office/drawing/2014/main" id="{00000000-0008-0000-0100-000055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42" name="Cubo 341">
                  <a:extLst>
                    <a:ext uri="{FF2B5EF4-FFF2-40B4-BE49-F238E27FC236}">
                      <a16:creationId xmlns:a16="http://schemas.microsoft.com/office/drawing/2014/main" id="{00000000-0008-0000-0100-000056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cxnSp macro="">
            <xdr:nvCxnSpPr>
              <xdr:cNvPr id="339" name="Conector recto 338">
                <a:extLst>
                  <a:ext uri="{FF2B5EF4-FFF2-40B4-BE49-F238E27FC236}">
                    <a16:creationId xmlns:a16="http://schemas.microsoft.com/office/drawing/2014/main" id="{00000000-0008-0000-0100-000053010000}"/>
                  </a:ext>
                </a:extLst>
              </xdr:cNvPr>
              <xdr:cNvCxnSpPr/>
            </xdr:nvCxnSpPr>
            <xdr:spPr>
              <a:xfrm>
                <a:off x="289560" y="12285325"/>
                <a:ext cx="1308346" cy="0"/>
              </a:xfrm>
              <a:prstGeom prst="line">
                <a:avLst/>
              </a:prstGeom>
              <a:ln w="22225">
                <a:solidFill>
                  <a:srgbClr val="FFC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93" name="Grupo 292">
              <a:extLst>
                <a:ext uri="{FF2B5EF4-FFF2-40B4-BE49-F238E27FC236}">
                  <a16:creationId xmlns:a16="http://schemas.microsoft.com/office/drawing/2014/main" id="{00000000-0008-0000-0100-000025010000}"/>
                </a:ext>
              </a:extLst>
            </xdr:cNvPr>
            <xdr:cNvGrpSpPr/>
          </xdr:nvGrpSpPr>
          <xdr:grpSpPr>
            <a:xfrm>
              <a:off x="293247" y="11784960"/>
              <a:ext cx="1354086" cy="190529"/>
              <a:chOff x="289560" y="12095338"/>
              <a:chExt cx="1351194" cy="189987"/>
            </a:xfrm>
          </xdr:grpSpPr>
          <xdr:grpSp>
            <xdr:nvGrpSpPr>
              <xdr:cNvPr id="318" name="Grupo 317">
                <a:extLst>
                  <a:ext uri="{FF2B5EF4-FFF2-40B4-BE49-F238E27FC236}">
                    <a16:creationId xmlns:a16="http://schemas.microsoft.com/office/drawing/2014/main" id="{00000000-0008-0000-0100-00003E010000}"/>
                  </a:ext>
                </a:extLst>
              </xdr:cNvPr>
              <xdr:cNvGrpSpPr/>
            </xdr:nvGrpSpPr>
            <xdr:grpSpPr>
              <a:xfrm>
                <a:off x="301045" y="12097878"/>
                <a:ext cx="350748" cy="174747"/>
                <a:chOff x="379785" y="11218628"/>
                <a:chExt cx="351403" cy="175812"/>
              </a:xfrm>
            </xdr:grpSpPr>
            <xdr:sp macro="" textlink="">
              <xdr:nvSpPr>
                <xdr:cNvPr id="332" name="Cubo 331">
                  <a:extLst>
                    <a:ext uri="{FF2B5EF4-FFF2-40B4-BE49-F238E27FC236}">
                      <a16:creationId xmlns:a16="http://schemas.microsoft.com/office/drawing/2014/main" id="{00000000-0008-0000-0100-00004C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33" name="Cubo 332">
                  <a:extLst>
                    <a:ext uri="{FF2B5EF4-FFF2-40B4-BE49-F238E27FC236}">
                      <a16:creationId xmlns:a16="http://schemas.microsoft.com/office/drawing/2014/main" id="{00000000-0008-0000-0100-00004D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34" name="Cubo 333">
                  <a:extLst>
                    <a:ext uri="{FF2B5EF4-FFF2-40B4-BE49-F238E27FC236}">
                      <a16:creationId xmlns:a16="http://schemas.microsoft.com/office/drawing/2014/main" id="{00000000-0008-0000-0100-00004E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319" name="Grupo 318">
                <a:extLst>
                  <a:ext uri="{FF2B5EF4-FFF2-40B4-BE49-F238E27FC236}">
                    <a16:creationId xmlns:a16="http://schemas.microsoft.com/office/drawing/2014/main" id="{00000000-0008-0000-0100-00003F010000}"/>
                  </a:ext>
                </a:extLst>
              </xdr:cNvPr>
              <xdr:cNvGrpSpPr/>
            </xdr:nvGrpSpPr>
            <xdr:grpSpPr>
              <a:xfrm>
                <a:off x="630590" y="12097878"/>
                <a:ext cx="350583" cy="174747"/>
                <a:chOff x="379785" y="11218628"/>
                <a:chExt cx="351403" cy="175812"/>
              </a:xfrm>
            </xdr:grpSpPr>
            <xdr:sp macro="" textlink="">
              <xdr:nvSpPr>
                <xdr:cNvPr id="329" name="Cubo 328">
                  <a:extLst>
                    <a:ext uri="{FF2B5EF4-FFF2-40B4-BE49-F238E27FC236}">
                      <a16:creationId xmlns:a16="http://schemas.microsoft.com/office/drawing/2014/main" id="{00000000-0008-0000-0100-000049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30" name="Cubo 329">
                  <a:extLst>
                    <a:ext uri="{FF2B5EF4-FFF2-40B4-BE49-F238E27FC236}">
                      <a16:creationId xmlns:a16="http://schemas.microsoft.com/office/drawing/2014/main" id="{00000000-0008-0000-0100-00004A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31" name="Cubo 330">
                  <a:extLst>
                    <a:ext uri="{FF2B5EF4-FFF2-40B4-BE49-F238E27FC236}">
                      <a16:creationId xmlns:a16="http://schemas.microsoft.com/office/drawing/2014/main" id="{00000000-0008-0000-0100-00004B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320" name="Grupo 319">
                <a:extLst>
                  <a:ext uri="{FF2B5EF4-FFF2-40B4-BE49-F238E27FC236}">
                    <a16:creationId xmlns:a16="http://schemas.microsoft.com/office/drawing/2014/main" id="{00000000-0008-0000-0100-000040010000}"/>
                  </a:ext>
                </a:extLst>
              </xdr:cNvPr>
              <xdr:cNvGrpSpPr/>
            </xdr:nvGrpSpPr>
            <xdr:grpSpPr>
              <a:xfrm>
                <a:off x="959970" y="12095338"/>
                <a:ext cx="351403" cy="174747"/>
                <a:chOff x="379785" y="11218628"/>
                <a:chExt cx="351403" cy="175812"/>
              </a:xfrm>
            </xdr:grpSpPr>
            <xdr:sp macro="" textlink="">
              <xdr:nvSpPr>
                <xdr:cNvPr id="326" name="Cubo 325">
                  <a:extLst>
                    <a:ext uri="{FF2B5EF4-FFF2-40B4-BE49-F238E27FC236}">
                      <a16:creationId xmlns:a16="http://schemas.microsoft.com/office/drawing/2014/main" id="{00000000-0008-0000-0100-000046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27" name="Cubo 326">
                  <a:extLst>
                    <a:ext uri="{FF2B5EF4-FFF2-40B4-BE49-F238E27FC236}">
                      <a16:creationId xmlns:a16="http://schemas.microsoft.com/office/drawing/2014/main" id="{00000000-0008-0000-0100-000047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28" name="Cubo 327">
                  <a:extLst>
                    <a:ext uri="{FF2B5EF4-FFF2-40B4-BE49-F238E27FC236}">
                      <a16:creationId xmlns:a16="http://schemas.microsoft.com/office/drawing/2014/main" id="{00000000-0008-0000-0100-000048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321" name="Grupo 320">
                <a:extLst>
                  <a:ext uri="{FF2B5EF4-FFF2-40B4-BE49-F238E27FC236}">
                    <a16:creationId xmlns:a16="http://schemas.microsoft.com/office/drawing/2014/main" id="{00000000-0008-0000-0100-000041010000}"/>
                  </a:ext>
                </a:extLst>
              </xdr:cNvPr>
              <xdr:cNvGrpSpPr/>
            </xdr:nvGrpSpPr>
            <xdr:grpSpPr>
              <a:xfrm>
                <a:off x="1290170" y="12096402"/>
                <a:ext cx="350584" cy="174747"/>
                <a:chOff x="379785" y="11218628"/>
                <a:chExt cx="351403" cy="175812"/>
              </a:xfrm>
            </xdr:grpSpPr>
            <xdr:sp macro="" textlink="">
              <xdr:nvSpPr>
                <xdr:cNvPr id="323" name="Cubo 322">
                  <a:extLst>
                    <a:ext uri="{FF2B5EF4-FFF2-40B4-BE49-F238E27FC236}">
                      <a16:creationId xmlns:a16="http://schemas.microsoft.com/office/drawing/2014/main" id="{00000000-0008-0000-0100-000043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24" name="Cubo 323">
                  <a:extLst>
                    <a:ext uri="{FF2B5EF4-FFF2-40B4-BE49-F238E27FC236}">
                      <a16:creationId xmlns:a16="http://schemas.microsoft.com/office/drawing/2014/main" id="{00000000-0008-0000-0100-000044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25" name="Cubo 324">
                  <a:extLst>
                    <a:ext uri="{FF2B5EF4-FFF2-40B4-BE49-F238E27FC236}">
                      <a16:creationId xmlns:a16="http://schemas.microsoft.com/office/drawing/2014/main" id="{00000000-0008-0000-0100-000045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cxnSp macro="">
            <xdr:nvCxnSpPr>
              <xdr:cNvPr id="322" name="Conector recto 321">
                <a:extLst>
                  <a:ext uri="{FF2B5EF4-FFF2-40B4-BE49-F238E27FC236}">
                    <a16:creationId xmlns:a16="http://schemas.microsoft.com/office/drawing/2014/main" id="{00000000-0008-0000-0100-000042010000}"/>
                  </a:ext>
                </a:extLst>
              </xdr:cNvPr>
              <xdr:cNvCxnSpPr/>
            </xdr:nvCxnSpPr>
            <xdr:spPr>
              <a:xfrm>
                <a:off x="289560" y="12285325"/>
                <a:ext cx="1308346" cy="0"/>
              </a:xfrm>
              <a:prstGeom prst="line">
                <a:avLst/>
              </a:prstGeom>
              <a:ln w="22225">
                <a:solidFill>
                  <a:srgbClr val="FFC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94" name="Grupo 293">
              <a:extLst>
                <a:ext uri="{FF2B5EF4-FFF2-40B4-BE49-F238E27FC236}">
                  <a16:creationId xmlns:a16="http://schemas.microsoft.com/office/drawing/2014/main" id="{00000000-0008-0000-0100-000026010000}"/>
                </a:ext>
              </a:extLst>
            </xdr:cNvPr>
            <xdr:cNvGrpSpPr/>
          </xdr:nvGrpSpPr>
          <xdr:grpSpPr>
            <a:xfrm>
              <a:off x="292018" y="11619318"/>
              <a:ext cx="1354086" cy="190529"/>
              <a:chOff x="289560" y="12095338"/>
              <a:chExt cx="1351194" cy="189987"/>
            </a:xfrm>
          </xdr:grpSpPr>
          <xdr:grpSp>
            <xdr:nvGrpSpPr>
              <xdr:cNvPr id="301" name="Grupo 300">
                <a:extLst>
                  <a:ext uri="{FF2B5EF4-FFF2-40B4-BE49-F238E27FC236}">
                    <a16:creationId xmlns:a16="http://schemas.microsoft.com/office/drawing/2014/main" id="{00000000-0008-0000-0100-00002D010000}"/>
                  </a:ext>
                </a:extLst>
              </xdr:cNvPr>
              <xdr:cNvGrpSpPr/>
            </xdr:nvGrpSpPr>
            <xdr:grpSpPr>
              <a:xfrm>
                <a:off x="301045" y="12097878"/>
                <a:ext cx="350748" cy="174747"/>
                <a:chOff x="379785" y="11218628"/>
                <a:chExt cx="351403" cy="175812"/>
              </a:xfrm>
            </xdr:grpSpPr>
            <xdr:sp macro="" textlink="">
              <xdr:nvSpPr>
                <xdr:cNvPr id="315" name="Cubo 314">
                  <a:extLst>
                    <a:ext uri="{FF2B5EF4-FFF2-40B4-BE49-F238E27FC236}">
                      <a16:creationId xmlns:a16="http://schemas.microsoft.com/office/drawing/2014/main" id="{00000000-0008-0000-0100-00003B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16" name="Cubo 315">
                  <a:extLst>
                    <a:ext uri="{FF2B5EF4-FFF2-40B4-BE49-F238E27FC236}">
                      <a16:creationId xmlns:a16="http://schemas.microsoft.com/office/drawing/2014/main" id="{00000000-0008-0000-0100-00003C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17" name="Cubo 316">
                  <a:extLst>
                    <a:ext uri="{FF2B5EF4-FFF2-40B4-BE49-F238E27FC236}">
                      <a16:creationId xmlns:a16="http://schemas.microsoft.com/office/drawing/2014/main" id="{00000000-0008-0000-0100-00003D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302" name="Grupo 301">
                <a:extLst>
                  <a:ext uri="{FF2B5EF4-FFF2-40B4-BE49-F238E27FC236}">
                    <a16:creationId xmlns:a16="http://schemas.microsoft.com/office/drawing/2014/main" id="{00000000-0008-0000-0100-00002E010000}"/>
                  </a:ext>
                </a:extLst>
              </xdr:cNvPr>
              <xdr:cNvGrpSpPr/>
            </xdr:nvGrpSpPr>
            <xdr:grpSpPr>
              <a:xfrm>
                <a:off x="630590" y="12097878"/>
                <a:ext cx="350583" cy="174747"/>
                <a:chOff x="379785" y="11218628"/>
                <a:chExt cx="351403" cy="175812"/>
              </a:xfrm>
            </xdr:grpSpPr>
            <xdr:sp macro="" textlink="">
              <xdr:nvSpPr>
                <xdr:cNvPr id="312" name="Cubo 311">
                  <a:extLst>
                    <a:ext uri="{FF2B5EF4-FFF2-40B4-BE49-F238E27FC236}">
                      <a16:creationId xmlns:a16="http://schemas.microsoft.com/office/drawing/2014/main" id="{00000000-0008-0000-0100-000038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13" name="Cubo 312">
                  <a:extLst>
                    <a:ext uri="{FF2B5EF4-FFF2-40B4-BE49-F238E27FC236}">
                      <a16:creationId xmlns:a16="http://schemas.microsoft.com/office/drawing/2014/main" id="{00000000-0008-0000-0100-000039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14" name="Cubo 313">
                  <a:extLst>
                    <a:ext uri="{FF2B5EF4-FFF2-40B4-BE49-F238E27FC236}">
                      <a16:creationId xmlns:a16="http://schemas.microsoft.com/office/drawing/2014/main" id="{00000000-0008-0000-0100-00003A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303" name="Grupo 302">
                <a:extLst>
                  <a:ext uri="{FF2B5EF4-FFF2-40B4-BE49-F238E27FC236}">
                    <a16:creationId xmlns:a16="http://schemas.microsoft.com/office/drawing/2014/main" id="{00000000-0008-0000-0100-00002F010000}"/>
                  </a:ext>
                </a:extLst>
              </xdr:cNvPr>
              <xdr:cNvGrpSpPr/>
            </xdr:nvGrpSpPr>
            <xdr:grpSpPr>
              <a:xfrm>
                <a:off x="959970" y="12095338"/>
                <a:ext cx="351403" cy="174747"/>
                <a:chOff x="379785" y="11218628"/>
                <a:chExt cx="351403" cy="175812"/>
              </a:xfrm>
            </xdr:grpSpPr>
            <xdr:sp macro="" textlink="">
              <xdr:nvSpPr>
                <xdr:cNvPr id="309" name="Cubo 308">
                  <a:extLst>
                    <a:ext uri="{FF2B5EF4-FFF2-40B4-BE49-F238E27FC236}">
                      <a16:creationId xmlns:a16="http://schemas.microsoft.com/office/drawing/2014/main" id="{00000000-0008-0000-0100-000035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10" name="Cubo 309">
                  <a:extLst>
                    <a:ext uri="{FF2B5EF4-FFF2-40B4-BE49-F238E27FC236}">
                      <a16:creationId xmlns:a16="http://schemas.microsoft.com/office/drawing/2014/main" id="{00000000-0008-0000-0100-000036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11" name="Cubo 310">
                  <a:extLst>
                    <a:ext uri="{FF2B5EF4-FFF2-40B4-BE49-F238E27FC236}">
                      <a16:creationId xmlns:a16="http://schemas.microsoft.com/office/drawing/2014/main" id="{00000000-0008-0000-0100-000037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grpSp>
            <xdr:nvGrpSpPr>
              <xdr:cNvPr id="304" name="Grupo 303">
                <a:extLst>
                  <a:ext uri="{FF2B5EF4-FFF2-40B4-BE49-F238E27FC236}">
                    <a16:creationId xmlns:a16="http://schemas.microsoft.com/office/drawing/2014/main" id="{00000000-0008-0000-0100-000030010000}"/>
                  </a:ext>
                </a:extLst>
              </xdr:cNvPr>
              <xdr:cNvGrpSpPr/>
            </xdr:nvGrpSpPr>
            <xdr:grpSpPr>
              <a:xfrm>
                <a:off x="1290170" y="12096402"/>
                <a:ext cx="350584" cy="174747"/>
                <a:chOff x="379785" y="11218628"/>
                <a:chExt cx="351403" cy="175812"/>
              </a:xfrm>
            </xdr:grpSpPr>
            <xdr:sp macro="" textlink="">
              <xdr:nvSpPr>
                <xdr:cNvPr id="306" name="Cubo 305">
                  <a:extLst>
                    <a:ext uri="{FF2B5EF4-FFF2-40B4-BE49-F238E27FC236}">
                      <a16:creationId xmlns:a16="http://schemas.microsoft.com/office/drawing/2014/main" id="{00000000-0008-0000-0100-000032010000}"/>
                    </a:ext>
                  </a:extLst>
                </xdr:cNvPr>
                <xdr:cNvSpPr/>
              </xdr:nvSpPr>
              <xdr:spPr>
                <a:xfrm>
                  <a:off x="37978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07" name="Cubo 306">
                  <a:extLst>
                    <a:ext uri="{FF2B5EF4-FFF2-40B4-BE49-F238E27FC236}">
                      <a16:creationId xmlns:a16="http://schemas.microsoft.com/office/drawing/2014/main" id="{00000000-0008-0000-0100-000033010000}"/>
                    </a:ext>
                  </a:extLst>
                </xdr:cNvPr>
                <xdr:cNvSpPr/>
              </xdr:nvSpPr>
              <xdr:spPr>
                <a:xfrm>
                  <a:off x="48900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  <xdr:sp macro="" textlink="">
              <xdr:nvSpPr>
                <xdr:cNvPr id="308" name="Cubo 307">
                  <a:extLst>
                    <a:ext uri="{FF2B5EF4-FFF2-40B4-BE49-F238E27FC236}">
                      <a16:creationId xmlns:a16="http://schemas.microsoft.com/office/drawing/2014/main" id="{00000000-0008-0000-0100-000034010000}"/>
                    </a:ext>
                  </a:extLst>
                </xdr:cNvPr>
                <xdr:cNvSpPr/>
              </xdr:nvSpPr>
              <xdr:spPr>
                <a:xfrm>
                  <a:off x="593145" y="11218628"/>
                  <a:ext cx="138043" cy="175812"/>
                </a:xfrm>
                <a:prstGeom prst="cube">
                  <a:avLst>
                    <a:gd name="adj" fmla="val 34685"/>
                  </a:avLst>
                </a:prstGeom>
                <a:solidFill>
                  <a:schemeClr val="accent4">
                    <a:lumMod val="75000"/>
                  </a:schemeClr>
                </a:solidFill>
                <a:ln w="635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ES" sz="1100"/>
                </a:p>
              </xdr:txBody>
            </xdr:sp>
          </xdr:grpSp>
          <xdr:cxnSp macro="">
            <xdr:nvCxnSpPr>
              <xdr:cNvPr id="305" name="Conector recto 304">
                <a:extLst>
                  <a:ext uri="{FF2B5EF4-FFF2-40B4-BE49-F238E27FC236}">
                    <a16:creationId xmlns:a16="http://schemas.microsoft.com/office/drawing/2014/main" id="{00000000-0008-0000-0100-000031010000}"/>
                  </a:ext>
                </a:extLst>
              </xdr:cNvPr>
              <xdr:cNvCxnSpPr/>
            </xdr:nvCxnSpPr>
            <xdr:spPr>
              <a:xfrm>
                <a:off x="289560" y="12285325"/>
                <a:ext cx="1308346" cy="0"/>
              </a:xfrm>
              <a:prstGeom prst="line">
                <a:avLst/>
              </a:prstGeom>
              <a:ln w="22225">
                <a:solidFill>
                  <a:srgbClr val="FFC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295" name="Conector recto 294">
              <a:extLst>
                <a:ext uri="{FF2B5EF4-FFF2-40B4-BE49-F238E27FC236}">
                  <a16:creationId xmlns:a16="http://schemas.microsoft.com/office/drawing/2014/main" id="{00000000-0008-0000-0100-000027010000}"/>
                </a:ext>
              </a:extLst>
            </xdr:cNvPr>
            <xdr:cNvCxnSpPr/>
          </xdr:nvCxnSpPr>
          <xdr:spPr>
            <a:xfrm>
              <a:off x="619273" y="11679241"/>
              <a:ext cx="0" cy="62499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" name="Conector recto 295">
              <a:extLst>
                <a:ext uri="{FF2B5EF4-FFF2-40B4-BE49-F238E27FC236}">
                  <a16:creationId xmlns:a16="http://schemas.microsoft.com/office/drawing/2014/main" id="{00000000-0008-0000-0100-000028010000}"/>
                </a:ext>
              </a:extLst>
            </xdr:cNvPr>
            <xdr:cNvCxnSpPr/>
          </xdr:nvCxnSpPr>
          <xdr:spPr>
            <a:xfrm>
              <a:off x="280301" y="11682109"/>
              <a:ext cx="0" cy="62499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" name="Conector recto 296">
              <a:extLst>
                <a:ext uri="{FF2B5EF4-FFF2-40B4-BE49-F238E27FC236}">
                  <a16:creationId xmlns:a16="http://schemas.microsoft.com/office/drawing/2014/main" id="{00000000-0008-0000-0100-000029010000}"/>
                </a:ext>
              </a:extLst>
            </xdr:cNvPr>
            <xdr:cNvCxnSpPr/>
          </xdr:nvCxnSpPr>
          <xdr:spPr>
            <a:xfrm>
              <a:off x="950220" y="11676783"/>
              <a:ext cx="0" cy="62499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8" name="Conector recto 297">
              <a:extLst>
                <a:ext uri="{FF2B5EF4-FFF2-40B4-BE49-F238E27FC236}">
                  <a16:creationId xmlns:a16="http://schemas.microsoft.com/office/drawing/2014/main" id="{00000000-0008-0000-0100-00002A010000}"/>
                </a:ext>
              </a:extLst>
            </xdr:cNvPr>
            <xdr:cNvCxnSpPr/>
          </xdr:nvCxnSpPr>
          <xdr:spPr>
            <a:xfrm>
              <a:off x="1280830" y="11677603"/>
              <a:ext cx="0" cy="62499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9" name="Conector recto 298">
              <a:extLst>
                <a:ext uri="{FF2B5EF4-FFF2-40B4-BE49-F238E27FC236}">
                  <a16:creationId xmlns:a16="http://schemas.microsoft.com/office/drawing/2014/main" id="{00000000-0008-0000-0100-00002B010000}"/>
                </a:ext>
              </a:extLst>
            </xdr:cNvPr>
            <xdr:cNvCxnSpPr/>
          </xdr:nvCxnSpPr>
          <xdr:spPr>
            <a:xfrm>
              <a:off x="1653974" y="11628719"/>
              <a:ext cx="0" cy="625533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0" name="Conector recto 299">
              <a:extLst>
                <a:ext uri="{FF2B5EF4-FFF2-40B4-BE49-F238E27FC236}">
                  <a16:creationId xmlns:a16="http://schemas.microsoft.com/office/drawing/2014/main" id="{00000000-0008-0000-0100-00002C010000}"/>
                </a:ext>
              </a:extLst>
            </xdr:cNvPr>
            <xdr:cNvCxnSpPr/>
          </xdr:nvCxnSpPr>
          <xdr:spPr>
            <a:xfrm>
              <a:off x="1619971" y="11668999"/>
              <a:ext cx="0" cy="624991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68" name="Cubo 367">
            <a:extLst>
              <a:ext uri="{FF2B5EF4-FFF2-40B4-BE49-F238E27FC236}">
                <a16:creationId xmlns:a16="http://schemas.microsoft.com/office/drawing/2014/main" id="{00000000-0008-0000-0100-000070010000}"/>
              </a:ext>
            </a:extLst>
          </xdr:cNvPr>
          <xdr:cNvSpPr/>
        </xdr:nvSpPr>
        <xdr:spPr>
          <a:xfrm>
            <a:off x="364546" y="12506419"/>
            <a:ext cx="1490751" cy="713637"/>
          </a:xfrm>
          <a:prstGeom prst="cube">
            <a:avLst/>
          </a:prstGeom>
          <a:noFill/>
          <a:ln w="19050">
            <a:solidFill>
              <a:schemeClr val="tx1">
                <a:lumMod val="75000"/>
                <a:lumOff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4</xdr:col>
      <xdr:colOff>2350</xdr:colOff>
      <xdr:row>7</xdr:row>
      <xdr:rowOff>13529</xdr:rowOff>
    </xdr:from>
    <xdr:to>
      <xdr:col>5</xdr:col>
      <xdr:colOff>73602</xdr:colOff>
      <xdr:row>12</xdr:row>
      <xdr:rowOff>43716</xdr:rowOff>
    </xdr:to>
    <xdr:sp macro="" textlink="">
      <xdr:nvSpPr>
        <xdr:cNvPr id="376" name="Paralelogramo 37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/>
      </xdr:nvSpPr>
      <xdr:spPr>
        <a:xfrm rot="2189975">
          <a:off x="1018350" y="1176067"/>
          <a:ext cx="325252" cy="1036418"/>
        </a:xfrm>
        <a:prstGeom prst="parallelogram">
          <a:avLst>
            <a:gd name="adj" fmla="val 72361"/>
          </a:avLst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197045</xdr:colOff>
      <xdr:row>9</xdr:row>
      <xdr:rowOff>122739</xdr:rowOff>
    </xdr:from>
    <xdr:to>
      <xdr:col>7</xdr:col>
      <xdr:colOff>87194</xdr:colOff>
      <xdr:row>10</xdr:row>
      <xdr:rowOff>120968</xdr:rowOff>
    </xdr:to>
    <xdr:sp macro="" textlink="">
      <xdr:nvSpPr>
        <xdr:cNvPr id="377" name="Cerrar llave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/>
      </xdr:nvSpPr>
      <xdr:spPr>
        <a:xfrm rot="2961590">
          <a:off x="1193198" y="1456548"/>
          <a:ext cx="183844" cy="1160149"/>
        </a:xfrm>
        <a:prstGeom prst="rightBrace">
          <a:avLst>
            <a:gd name="adj1" fmla="val 8333"/>
            <a:gd name="adj2" fmla="val 47367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109731</xdr:colOff>
      <xdr:row>11</xdr:row>
      <xdr:rowOff>62852</xdr:rowOff>
    </xdr:from>
    <xdr:to>
      <xdr:col>3</xdr:col>
      <xdr:colOff>20041</xdr:colOff>
      <xdr:row>11</xdr:row>
      <xdr:rowOff>127879</xdr:rowOff>
    </xdr:to>
    <xdr:sp macro="" textlink="">
      <xdr:nvSpPr>
        <xdr:cNvPr id="378" name="Cerrar llave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/>
      </xdr:nvSpPr>
      <xdr:spPr>
        <a:xfrm rot="7373643">
          <a:off x="540372" y="2079403"/>
          <a:ext cx="65027" cy="418310"/>
        </a:xfrm>
        <a:prstGeom prst="rightBrace">
          <a:avLst>
            <a:gd name="adj1" fmla="val 50980"/>
            <a:gd name="adj2" fmla="val 48260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203950</xdr:colOff>
      <xdr:row>29</xdr:row>
      <xdr:rowOff>166579</xdr:rowOff>
    </xdr:from>
    <xdr:to>
      <xdr:col>3</xdr:col>
      <xdr:colOff>182590</xdr:colOff>
      <xdr:row>32</xdr:row>
      <xdr:rowOff>12547</xdr:rowOff>
    </xdr:to>
    <xdr:sp macro="" textlink="">
      <xdr:nvSpPr>
        <xdr:cNvPr id="379" name="Paralelogramo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/>
      </xdr:nvSpPr>
      <xdr:spPr>
        <a:xfrm rot="1841271">
          <a:off x="457950" y="5412656"/>
          <a:ext cx="486640" cy="451660"/>
        </a:xfrm>
        <a:prstGeom prst="parallelogram">
          <a:avLst>
            <a:gd name="adj" fmla="val 46894"/>
          </a:avLst>
        </a:prstGeom>
        <a:pattFill prst="solidDmnd">
          <a:fgClr>
            <a:srgbClr val="00B050"/>
          </a:fgClr>
          <a:bgClr>
            <a:schemeClr val="bg1"/>
          </a:bgClr>
        </a:patt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190275</xdr:colOff>
      <xdr:row>29</xdr:row>
      <xdr:rowOff>40554</xdr:rowOff>
    </xdr:from>
    <xdr:to>
      <xdr:col>3</xdr:col>
      <xdr:colOff>168915</xdr:colOff>
      <xdr:row>31</xdr:row>
      <xdr:rowOff>72137</xdr:rowOff>
    </xdr:to>
    <xdr:sp macro="" textlink="">
      <xdr:nvSpPr>
        <xdr:cNvPr id="380" name="Paralelogramo 379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/>
      </xdr:nvSpPr>
      <xdr:spPr>
        <a:xfrm rot="1841271">
          <a:off x="444275" y="5286631"/>
          <a:ext cx="486640" cy="451660"/>
        </a:xfrm>
        <a:prstGeom prst="parallelogram">
          <a:avLst>
            <a:gd name="adj" fmla="val 46894"/>
          </a:avLst>
        </a:prstGeom>
        <a:pattFill prst="solidDmnd">
          <a:fgClr>
            <a:srgbClr val="00B050"/>
          </a:fgClr>
          <a:bgClr>
            <a:schemeClr val="bg1"/>
          </a:bgClr>
        </a:patt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74898</xdr:colOff>
      <xdr:row>29</xdr:row>
      <xdr:rowOff>110290</xdr:rowOff>
    </xdr:from>
    <xdr:to>
      <xdr:col>4</xdr:col>
      <xdr:colOff>157079</xdr:colOff>
      <xdr:row>31</xdr:row>
      <xdr:rowOff>23361</xdr:rowOff>
    </xdr:to>
    <xdr:sp macro="" textlink="">
      <xdr:nvSpPr>
        <xdr:cNvPr id="282" name="Cerrar llave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/>
      </xdr:nvSpPr>
      <xdr:spPr>
        <a:xfrm>
          <a:off x="1090898" y="5327316"/>
          <a:ext cx="82181" cy="334177"/>
        </a:xfrm>
        <a:prstGeom prst="rightBrace">
          <a:avLst>
            <a:gd name="adj1" fmla="val 50980"/>
            <a:gd name="adj2" fmla="val 48260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156307</xdr:colOff>
      <xdr:row>23</xdr:row>
      <xdr:rowOff>78154</xdr:rowOff>
    </xdr:from>
    <xdr:to>
      <xdr:col>4</xdr:col>
      <xdr:colOff>64232</xdr:colOff>
      <xdr:row>26</xdr:row>
      <xdr:rowOff>106555</xdr:rowOff>
    </xdr:to>
    <xdr:grpSp>
      <xdr:nvGrpSpPr>
        <xdr:cNvPr id="375" name="Lienzo 1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GrpSpPr/>
      </xdr:nvGrpSpPr>
      <xdr:grpSpPr>
        <a:xfrm>
          <a:off x="158212" y="4612054"/>
          <a:ext cx="940435" cy="569421"/>
          <a:chOff x="0" y="0"/>
          <a:chExt cx="923925" cy="619439"/>
        </a:xfrm>
      </xdr:grpSpPr>
      <xdr:sp macro="" textlink="">
        <xdr:nvSpPr>
          <xdr:cNvPr id="381" name="Rectángulo 380">
            <a:extLst>
              <a:ext uri="{FF2B5EF4-FFF2-40B4-BE49-F238E27FC236}">
                <a16:creationId xmlns:a16="http://schemas.microsoft.com/office/drawing/2014/main" id="{00000000-0008-0000-0100-00007D010000}"/>
              </a:ext>
            </a:extLst>
          </xdr:cNvPr>
          <xdr:cNvSpPr/>
        </xdr:nvSpPr>
        <xdr:spPr>
          <a:xfrm>
            <a:off x="0" y="0"/>
            <a:ext cx="923925" cy="619125"/>
          </a:xfrm>
          <a:prstGeom prst="rect">
            <a:avLst/>
          </a:prstGeom>
          <a:solidFill>
            <a:prstClr val="white"/>
          </a:solidFill>
        </xdr:spPr>
      </xdr:sp>
      <xdr:pic>
        <xdr:nvPicPr>
          <xdr:cNvPr id="382" name="Imagen 381">
            <a:extLst>
              <a:ext uri="{FF2B5EF4-FFF2-40B4-BE49-F238E27FC236}">
                <a16:creationId xmlns:a16="http://schemas.microsoft.com/office/drawing/2014/main" id="{00000000-0008-0000-0100-00007E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8075" y="37125"/>
            <a:ext cx="888276" cy="58231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27598</xdr:colOff>
      <xdr:row>97</xdr:row>
      <xdr:rowOff>47136</xdr:rowOff>
    </xdr:from>
    <xdr:to>
      <xdr:col>4</xdr:col>
      <xdr:colOff>123483</xdr:colOff>
      <xdr:row>103</xdr:row>
      <xdr:rowOff>169154</xdr:rowOff>
    </xdr:to>
    <xdr:grpSp>
      <xdr:nvGrpSpPr>
        <xdr:cNvPr id="385" name="Lienzo 1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GrpSpPr/>
      </xdr:nvGrpSpPr>
      <xdr:grpSpPr>
        <a:xfrm>
          <a:off x="320968" y="14249400"/>
          <a:ext cx="842645" cy="0"/>
          <a:chOff x="0" y="0"/>
          <a:chExt cx="864235" cy="1238885"/>
        </a:xfrm>
      </xdr:grpSpPr>
      <xdr:sp macro="" textlink="">
        <xdr:nvSpPr>
          <xdr:cNvPr id="386" name="Rectángulo 385">
            <a:extLst>
              <a:ext uri="{FF2B5EF4-FFF2-40B4-BE49-F238E27FC236}">
                <a16:creationId xmlns:a16="http://schemas.microsoft.com/office/drawing/2014/main" id="{00000000-0008-0000-0100-000082010000}"/>
              </a:ext>
            </a:extLst>
          </xdr:cNvPr>
          <xdr:cNvSpPr/>
        </xdr:nvSpPr>
        <xdr:spPr>
          <a:xfrm>
            <a:off x="0" y="0"/>
            <a:ext cx="864235" cy="1238885"/>
          </a:xfrm>
          <a:prstGeom prst="rect">
            <a:avLst/>
          </a:prstGeom>
          <a:solidFill>
            <a:prstClr val="white"/>
          </a:solidFill>
        </xdr:spPr>
      </xdr:sp>
      <xdr:pic>
        <xdr:nvPicPr>
          <xdr:cNvPr id="387" name="Imagen 386">
            <a:extLst>
              <a:ext uri="{FF2B5EF4-FFF2-40B4-BE49-F238E27FC236}">
                <a16:creationId xmlns:a16="http://schemas.microsoft.com/office/drawing/2014/main" id="{00000000-0008-0000-0100-000083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t="3503"/>
          <a:stretch/>
        </xdr:blipFill>
        <xdr:spPr>
          <a:xfrm>
            <a:off x="0" y="0"/>
            <a:ext cx="828494" cy="12031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105</xdr:row>
      <xdr:rowOff>175847</xdr:rowOff>
    </xdr:from>
    <xdr:to>
      <xdr:col>4</xdr:col>
      <xdr:colOff>210038</xdr:colOff>
      <xdr:row>108</xdr:row>
      <xdr:rowOff>156308</xdr:rowOff>
    </xdr:to>
    <xdr:grpSp>
      <xdr:nvGrpSpPr>
        <xdr:cNvPr id="388" name="Lienzo 1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GrpSpPr/>
      </xdr:nvGrpSpPr>
      <xdr:grpSpPr>
        <a:xfrm>
          <a:off x="0" y="14602412"/>
          <a:ext cx="1244453" cy="529101"/>
          <a:chOff x="0" y="0"/>
          <a:chExt cx="1205865" cy="683895"/>
        </a:xfrm>
      </xdr:grpSpPr>
      <xdr:sp macro="" textlink="">
        <xdr:nvSpPr>
          <xdr:cNvPr id="389" name="Rectángulo 388">
            <a:extLst>
              <a:ext uri="{FF2B5EF4-FFF2-40B4-BE49-F238E27FC236}">
                <a16:creationId xmlns:a16="http://schemas.microsoft.com/office/drawing/2014/main" id="{00000000-0008-0000-0100-000085010000}"/>
              </a:ext>
            </a:extLst>
          </xdr:cNvPr>
          <xdr:cNvSpPr/>
        </xdr:nvSpPr>
        <xdr:spPr>
          <a:xfrm>
            <a:off x="0" y="0"/>
            <a:ext cx="1205865" cy="683895"/>
          </a:xfrm>
          <a:prstGeom prst="rect">
            <a:avLst/>
          </a:prstGeom>
          <a:solidFill>
            <a:prstClr val="white"/>
          </a:solidFill>
        </xdr:spPr>
      </xdr:sp>
      <xdr:pic>
        <xdr:nvPicPr>
          <xdr:cNvPr id="390" name="Imagen 389">
            <a:extLst>
              <a:ext uri="{FF2B5EF4-FFF2-40B4-BE49-F238E27FC236}">
                <a16:creationId xmlns:a16="http://schemas.microsoft.com/office/drawing/2014/main" id="{00000000-0008-0000-0100-000086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0" y="1"/>
            <a:ext cx="1170228" cy="58131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112346</xdr:colOff>
      <xdr:row>60</xdr:row>
      <xdr:rowOff>83038</xdr:rowOff>
    </xdr:from>
    <xdr:to>
      <xdr:col>4</xdr:col>
      <xdr:colOff>102821</xdr:colOff>
      <xdr:row>64</xdr:row>
      <xdr:rowOff>0</xdr:rowOff>
    </xdr:to>
    <xdr:grpSp>
      <xdr:nvGrpSpPr>
        <xdr:cNvPr id="391" name="Lienzo 1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GrpSpPr/>
      </xdr:nvGrpSpPr>
      <xdr:grpSpPr>
        <a:xfrm>
          <a:off x="407621" y="9952843"/>
          <a:ext cx="729615" cy="658007"/>
          <a:chOff x="0" y="0"/>
          <a:chExt cx="752475" cy="741680"/>
        </a:xfrm>
      </xdr:grpSpPr>
      <xdr:sp macro="" textlink="">
        <xdr:nvSpPr>
          <xdr:cNvPr id="392" name="Rectángulo 391">
            <a:extLst>
              <a:ext uri="{FF2B5EF4-FFF2-40B4-BE49-F238E27FC236}">
                <a16:creationId xmlns:a16="http://schemas.microsoft.com/office/drawing/2014/main" id="{00000000-0008-0000-0100-000088010000}"/>
              </a:ext>
            </a:extLst>
          </xdr:cNvPr>
          <xdr:cNvSpPr/>
        </xdr:nvSpPr>
        <xdr:spPr>
          <a:xfrm>
            <a:off x="0" y="0"/>
            <a:ext cx="752475" cy="741680"/>
          </a:xfrm>
          <a:prstGeom prst="rect">
            <a:avLst/>
          </a:prstGeom>
          <a:solidFill>
            <a:prstClr val="white"/>
          </a:solidFill>
        </xdr:spPr>
      </xdr:sp>
      <xdr:pic>
        <xdr:nvPicPr>
          <xdr:cNvPr id="393" name="Imagen 392">
            <a:extLst>
              <a:ext uri="{FF2B5EF4-FFF2-40B4-BE49-F238E27FC236}">
                <a16:creationId xmlns:a16="http://schemas.microsoft.com/office/drawing/2014/main" id="{00000000-0008-0000-0100-000089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55004"/>
          <a:stretch/>
        </xdr:blipFill>
        <xdr:spPr>
          <a:xfrm>
            <a:off x="9" y="0"/>
            <a:ext cx="714786" cy="70576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9769</xdr:colOff>
      <xdr:row>87</xdr:row>
      <xdr:rowOff>78154</xdr:rowOff>
    </xdr:from>
    <xdr:to>
      <xdr:col>6</xdr:col>
      <xdr:colOff>249116</xdr:colOff>
      <xdr:row>91</xdr:row>
      <xdr:rowOff>122116</xdr:rowOff>
    </xdr:to>
    <xdr:grpSp>
      <xdr:nvGrpSpPr>
        <xdr:cNvPr id="384" name="Lienzo 1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GrpSpPr/>
      </xdr:nvGrpSpPr>
      <xdr:grpSpPr>
        <a:xfrm>
          <a:off x="802249" y="13887450"/>
          <a:ext cx="976582" cy="0"/>
          <a:chOff x="0" y="0"/>
          <a:chExt cx="978535" cy="733425"/>
        </a:xfrm>
      </xdr:grpSpPr>
      <xdr:sp macro="" textlink="">
        <xdr:nvSpPr>
          <xdr:cNvPr id="394" name="Rectángulo 393">
            <a:extLst>
              <a:ext uri="{FF2B5EF4-FFF2-40B4-BE49-F238E27FC236}">
                <a16:creationId xmlns:a16="http://schemas.microsoft.com/office/drawing/2014/main" id="{00000000-0008-0000-0100-00008A010000}"/>
              </a:ext>
            </a:extLst>
          </xdr:cNvPr>
          <xdr:cNvSpPr/>
        </xdr:nvSpPr>
        <xdr:spPr>
          <a:xfrm>
            <a:off x="0" y="0"/>
            <a:ext cx="978535" cy="733425"/>
          </a:xfrm>
          <a:prstGeom prst="rect">
            <a:avLst/>
          </a:prstGeom>
          <a:solidFill>
            <a:prstClr val="white"/>
          </a:solidFill>
        </xdr:spPr>
      </xdr:sp>
      <xdr:pic>
        <xdr:nvPicPr>
          <xdr:cNvPr id="395" name="Imagen 394">
            <a:extLst>
              <a:ext uri="{FF2B5EF4-FFF2-40B4-BE49-F238E27FC236}">
                <a16:creationId xmlns:a16="http://schemas.microsoft.com/office/drawing/2014/main" id="{00000000-0008-0000-0100-00008B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0" y="0"/>
            <a:ext cx="942974" cy="69783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29308</xdr:colOff>
      <xdr:row>85</xdr:row>
      <xdr:rowOff>43963</xdr:rowOff>
    </xdr:from>
    <xdr:to>
      <xdr:col>3</xdr:col>
      <xdr:colOff>180731</xdr:colOff>
      <xdr:row>89</xdr:row>
      <xdr:rowOff>48848</xdr:rowOff>
    </xdr:to>
    <xdr:grpSp>
      <xdr:nvGrpSpPr>
        <xdr:cNvPr id="396" name="Lienzo 1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GrpSpPr/>
      </xdr:nvGrpSpPr>
      <xdr:grpSpPr>
        <a:xfrm>
          <a:off x="322678" y="13887450"/>
          <a:ext cx="646723" cy="0"/>
          <a:chOff x="0" y="0"/>
          <a:chExt cx="778510" cy="902335"/>
        </a:xfrm>
      </xdr:grpSpPr>
      <xdr:sp macro="" textlink="">
        <xdr:nvSpPr>
          <xdr:cNvPr id="397" name="Rectángulo 396">
            <a:extLst>
              <a:ext uri="{FF2B5EF4-FFF2-40B4-BE49-F238E27FC236}">
                <a16:creationId xmlns:a16="http://schemas.microsoft.com/office/drawing/2014/main" id="{00000000-0008-0000-0100-00008D010000}"/>
              </a:ext>
            </a:extLst>
          </xdr:cNvPr>
          <xdr:cNvSpPr/>
        </xdr:nvSpPr>
        <xdr:spPr>
          <a:xfrm>
            <a:off x="0" y="0"/>
            <a:ext cx="778510" cy="902335"/>
          </a:xfrm>
          <a:prstGeom prst="rect">
            <a:avLst/>
          </a:prstGeom>
          <a:solidFill>
            <a:prstClr val="white"/>
          </a:solidFill>
        </xdr:spPr>
      </xdr:sp>
      <xdr:pic>
        <xdr:nvPicPr>
          <xdr:cNvPr id="398" name="Imagen 397">
            <a:extLst>
              <a:ext uri="{FF2B5EF4-FFF2-40B4-BE49-F238E27FC236}">
                <a16:creationId xmlns:a16="http://schemas.microsoft.com/office/drawing/2014/main" id="{00000000-0008-0000-0100-00008E010000}"/>
              </a:ext>
            </a:extLst>
          </xdr:cNvPr>
          <xdr:cNvPicPr/>
        </xdr:nvPicPr>
        <xdr:blipFill rotWithShape="1">
          <a:blip xmlns:r="http://schemas.openxmlformats.org/officeDocument/2006/relationships" r:embed="rId8"/>
          <a:srcRect b="7526"/>
          <a:stretch/>
        </xdr:blipFill>
        <xdr:spPr bwMode="auto">
          <a:xfrm>
            <a:off x="0" y="6"/>
            <a:ext cx="742950" cy="866769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twoCellAnchor>
    <xdr:from>
      <xdr:col>1</xdr:col>
      <xdr:colOff>0</xdr:colOff>
      <xdr:row>40</xdr:row>
      <xdr:rowOff>43962</xdr:rowOff>
    </xdr:from>
    <xdr:to>
      <xdr:col>3</xdr:col>
      <xdr:colOff>151423</xdr:colOff>
      <xdr:row>44</xdr:row>
      <xdr:rowOff>48847</xdr:rowOff>
    </xdr:to>
    <xdr:grpSp>
      <xdr:nvGrpSpPr>
        <xdr:cNvPr id="402" name="Lienzo 1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GrpSpPr/>
      </xdr:nvGrpSpPr>
      <xdr:grpSpPr>
        <a:xfrm>
          <a:off x="295275" y="7703967"/>
          <a:ext cx="646723" cy="747835"/>
          <a:chOff x="0" y="0"/>
          <a:chExt cx="778510" cy="902335"/>
        </a:xfrm>
      </xdr:grpSpPr>
      <xdr:sp macro="" textlink="">
        <xdr:nvSpPr>
          <xdr:cNvPr id="403" name="Rectángulo 402">
            <a:extLst>
              <a:ext uri="{FF2B5EF4-FFF2-40B4-BE49-F238E27FC236}">
                <a16:creationId xmlns:a16="http://schemas.microsoft.com/office/drawing/2014/main" id="{00000000-0008-0000-0100-000093010000}"/>
              </a:ext>
            </a:extLst>
          </xdr:cNvPr>
          <xdr:cNvSpPr/>
        </xdr:nvSpPr>
        <xdr:spPr>
          <a:xfrm>
            <a:off x="0" y="0"/>
            <a:ext cx="778510" cy="902335"/>
          </a:xfrm>
          <a:prstGeom prst="rect">
            <a:avLst/>
          </a:prstGeom>
          <a:solidFill>
            <a:prstClr val="white"/>
          </a:solidFill>
        </xdr:spPr>
      </xdr:sp>
      <xdr:pic>
        <xdr:nvPicPr>
          <xdr:cNvPr id="404" name="Imagen 403">
            <a:extLst>
              <a:ext uri="{FF2B5EF4-FFF2-40B4-BE49-F238E27FC236}">
                <a16:creationId xmlns:a16="http://schemas.microsoft.com/office/drawing/2014/main" id="{00000000-0008-0000-0100-000094010000}"/>
              </a:ext>
            </a:extLst>
          </xdr:cNvPr>
          <xdr:cNvPicPr/>
        </xdr:nvPicPr>
        <xdr:blipFill rotWithShape="1">
          <a:blip xmlns:r="http://schemas.openxmlformats.org/officeDocument/2006/relationships" r:embed="rId8"/>
          <a:srcRect b="7526"/>
          <a:stretch/>
        </xdr:blipFill>
        <xdr:spPr bwMode="auto">
          <a:xfrm>
            <a:off x="0" y="6"/>
            <a:ext cx="742950" cy="866769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twoCellAnchor>
    <xdr:from>
      <xdr:col>2</xdr:col>
      <xdr:colOff>234461</xdr:colOff>
      <xdr:row>42</xdr:row>
      <xdr:rowOff>78153</xdr:rowOff>
    </xdr:from>
    <xdr:to>
      <xdr:col>6</xdr:col>
      <xdr:colOff>219808</xdr:colOff>
      <xdr:row>46</xdr:row>
      <xdr:rowOff>122115</xdr:rowOff>
    </xdr:to>
    <xdr:grpSp>
      <xdr:nvGrpSpPr>
        <xdr:cNvPr id="399" name="Lienzo 1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GrpSpPr/>
      </xdr:nvGrpSpPr>
      <xdr:grpSpPr>
        <a:xfrm>
          <a:off x="779291" y="8117253"/>
          <a:ext cx="972137" cy="788817"/>
          <a:chOff x="0" y="0"/>
          <a:chExt cx="978535" cy="733425"/>
        </a:xfrm>
      </xdr:grpSpPr>
      <xdr:sp macro="" textlink="">
        <xdr:nvSpPr>
          <xdr:cNvPr id="400" name="Rectángulo 399">
            <a:extLst>
              <a:ext uri="{FF2B5EF4-FFF2-40B4-BE49-F238E27FC236}">
                <a16:creationId xmlns:a16="http://schemas.microsoft.com/office/drawing/2014/main" id="{00000000-0008-0000-0100-000090010000}"/>
              </a:ext>
            </a:extLst>
          </xdr:cNvPr>
          <xdr:cNvSpPr/>
        </xdr:nvSpPr>
        <xdr:spPr>
          <a:xfrm>
            <a:off x="0" y="0"/>
            <a:ext cx="978535" cy="733425"/>
          </a:xfrm>
          <a:prstGeom prst="rect">
            <a:avLst/>
          </a:prstGeom>
          <a:solidFill>
            <a:prstClr val="white"/>
          </a:solidFill>
        </xdr:spPr>
      </xdr:sp>
      <xdr:pic>
        <xdr:nvPicPr>
          <xdr:cNvPr id="401" name="Imagen 400">
            <a:extLst>
              <a:ext uri="{FF2B5EF4-FFF2-40B4-BE49-F238E27FC236}">
                <a16:creationId xmlns:a16="http://schemas.microsoft.com/office/drawing/2014/main" id="{00000000-0008-0000-0100-000091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0" y="0"/>
            <a:ext cx="942974" cy="69783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34394</xdr:colOff>
      <xdr:row>53</xdr:row>
      <xdr:rowOff>176699</xdr:rowOff>
    </xdr:from>
    <xdr:to>
      <xdr:col>5</xdr:col>
      <xdr:colOff>170962</xdr:colOff>
      <xdr:row>56</xdr:row>
      <xdr:rowOff>97692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stCxn id="33" idx="1"/>
        </xdr:cNvCxnSpPr>
      </xdr:nvCxnSpPr>
      <xdr:spPr>
        <a:xfrm>
          <a:off x="796394" y="10580930"/>
          <a:ext cx="644568" cy="4778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124558</xdr:colOff>
      <xdr:row>111</xdr:row>
      <xdr:rowOff>51289</xdr:rowOff>
    </xdr:from>
    <xdr:to>
      <xdr:col>3</xdr:col>
      <xdr:colOff>85383</xdr:colOff>
      <xdr:row>114</xdr:row>
      <xdr:rowOff>178044</xdr:rowOff>
    </xdr:to>
    <xdr:grpSp>
      <xdr:nvGrpSpPr>
        <xdr:cNvPr id="369" name="Lienzo 1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GrpSpPr/>
      </xdr:nvGrpSpPr>
      <xdr:grpSpPr>
        <a:xfrm>
          <a:off x="421738" y="15571324"/>
          <a:ext cx="456125" cy="662060"/>
          <a:chOff x="0" y="0"/>
          <a:chExt cx="476885" cy="679450"/>
        </a:xfrm>
      </xdr:grpSpPr>
      <xdr:sp macro="" textlink="">
        <xdr:nvSpPr>
          <xdr:cNvPr id="370" name="Rectángulo 369">
            <a:extLst>
              <a:ext uri="{FF2B5EF4-FFF2-40B4-BE49-F238E27FC236}">
                <a16:creationId xmlns:a16="http://schemas.microsoft.com/office/drawing/2014/main" id="{00000000-0008-0000-0100-000072010000}"/>
              </a:ext>
            </a:extLst>
          </xdr:cNvPr>
          <xdr:cNvSpPr/>
        </xdr:nvSpPr>
        <xdr:spPr>
          <a:xfrm>
            <a:off x="0" y="0"/>
            <a:ext cx="476885" cy="679450"/>
          </a:xfrm>
          <a:prstGeom prst="rect">
            <a:avLst/>
          </a:prstGeom>
          <a:solidFill>
            <a:prstClr val="white"/>
          </a:solidFill>
        </xdr:spPr>
      </xdr:sp>
      <xdr:pic>
        <xdr:nvPicPr>
          <xdr:cNvPr id="371" name="Imagen 370">
            <a:extLst>
              <a:ext uri="{FF2B5EF4-FFF2-40B4-BE49-F238E27FC236}">
                <a16:creationId xmlns:a16="http://schemas.microsoft.com/office/drawing/2014/main" id="{00000000-0008-0000-0100-000073010000}"/>
              </a:ext>
            </a:extLst>
          </xdr:cNvPr>
          <xdr:cNvPicPr/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0" y="0"/>
            <a:ext cx="441325" cy="644035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26670</xdr:colOff>
      <xdr:row>34</xdr:row>
      <xdr:rowOff>0</xdr:rowOff>
    </xdr:from>
    <xdr:to>
      <xdr:col>4</xdr:col>
      <xdr:colOff>95249</xdr:colOff>
      <xdr:row>38</xdr:row>
      <xdr:rowOff>15535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E967C91-C814-46CA-A611-FAE53AC88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1970" y="6438900"/>
          <a:ext cx="567689" cy="743245"/>
        </a:xfrm>
        <a:prstGeom prst="rect">
          <a:avLst/>
        </a:prstGeom>
      </xdr:spPr>
    </xdr:pic>
    <xdr:clientData/>
  </xdr:twoCellAnchor>
  <xdr:twoCellAnchor>
    <xdr:from>
      <xdr:col>1</xdr:col>
      <xdr:colOff>112346</xdr:colOff>
      <xdr:row>68</xdr:row>
      <xdr:rowOff>84943</xdr:rowOff>
    </xdr:from>
    <xdr:to>
      <xdr:col>4</xdr:col>
      <xdr:colOff>99011</xdr:colOff>
      <xdr:row>72</xdr:row>
      <xdr:rowOff>0</xdr:rowOff>
    </xdr:to>
    <xdr:grpSp>
      <xdr:nvGrpSpPr>
        <xdr:cNvPr id="9" name="Lienzo 1">
          <a:extLst>
            <a:ext uri="{FF2B5EF4-FFF2-40B4-BE49-F238E27FC236}">
              <a16:creationId xmlns:a16="http://schemas.microsoft.com/office/drawing/2014/main" id="{7367EEEB-9673-45C3-87EA-2AA6ABF996C8}"/>
            </a:ext>
          </a:extLst>
        </xdr:cNvPr>
        <xdr:cNvGrpSpPr/>
      </xdr:nvGrpSpPr>
      <xdr:grpSpPr>
        <a:xfrm>
          <a:off x="407621" y="11421598"/>
          <a:ext cx="725805" cy="656102"/>
          <a:chOff x="0" y="0"/>
          <a:chExt cx="752475" cy="741680"/>
        </a:xfrm>
      </xdr:grpSpPr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48A64D43-7194-066A-DDF8-7A903EADFCFF}"/>
              </a:ext>
            </a:extLst>
          </xdr:cNvPr>
          <xdr:cNvSpPr/>
        </xdr:nvSpPr>
        <xdr:spPr>
          <a:xfrm>
            <a:off x="0" y="0"/>
            <a:ext cx="752475" cy="741680"/>
          </a:xfrm>
          <a:prstGeom prst="rect">
            <a:avLst/>
          </a:prstGeom>
          <a:solidFill>
            <a:prstClr val="white"/>
          </a:solidFill>
        </xdr:spPr>
      </xdr:sp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AC0CFD6E-868F-F12F-F5F7-80DBEC914D5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55004"/>
          <a:stretch/>
        </xdr:blipFill>
        <xdr:spPr>
          <a:xfrm>
            <a:off x="9" y="0"/>
            <a:ext cx="714786" cy="70576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275239</xdr:colOff>
      <xdr:row>9</xdr:row>
      <xdr:rowOff>154055</xdr:rowOff>
    </xdr:from>
    <xdr:ext cx="1075377" cy="1129371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275239" y="1794012"/>
          <a:ext cx="1075377" cy="1129371"/>
        </a:xfrm>
        <a:prstGeom prst="rect">
          <a:avLst/>
        </a:prstGeom>
      </xdr:spPr>
    </xdr:pic>
    <xdr:clientData/>
  </xdr:oneCellAnchor>
  <xdr:twoCellAnchor editAs="oneCell">
    <xdr:from>
      <xdr:col>0</xdr:col>
      <xdr:colOff>19051</xdr:colOff>
      <xdr:row>21</xdr:row>
      <xdr:rowOff>0</xdr:rowOff>
    </xdr:from>
    <xdr:to>
      <xdr:col>1</xdr:col>
      <xdr:colOff>302858</xdr:colOff>
      <xdr:row>30</xdr:row>
      <xdr:rowOff>172004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1" y="2352675"/>
          <a:ext cx="1284420" cy="17899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69850</xdr:rowOff>
    </xdr:from>
    <xdr:to>
      <xdr:col>1</xdr:col>
      <xdr:colOff>397714</xdr:colOff>
      <xdr:row>44</xdr:row>
      <xdr:rowOff>56509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673600"/>
          <a:ext cx="1395152" cy="2012309"/>
        </a:xfrm>
        <a:prstGeom prst="rect">
          <a:avLst/>
        </a:prstGeom>
      </xdr:spPr>
    </xdr:pic>
    <xdr:clientData/>
  </xdr:twoCellAnchor>
  <xdr:twoCellAnchor>
    <xdr:from>
      <xdr:col>2</xdr:col>
      <xdr:colOff>44451</xdr:colOff>
      <xdr:row>48</xdr:row>
      <xdr:rowOff>152400</xdr:rowOff>
    </xdr:from>
    <xdr:to>
      <xdr:col>2</xdr:col>
      <xdr:colOff>1219201</xdr:colOff>
      <xdr:row>57</xdr:row>
      <xdr:rowOff>28575</xdr:rowOff>
    </xdr:to>
    <xdr:grpSp>
      <xdr:nvGrpSpPr>
        <xdr:cNvPr id="69" name="Grupo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pSpPr/>
      </xdr:nvGrpSpPr>
      <xdr:grpSpPr>
        <a:xfrm>
          <a:off x="2746974" y="8892988"/>
          <a:ext cx="1172845" cy="1487917"/>
          <a:chOff x="8100394" y="6742993"/>
          <a:chExt cx="1427099" cy="1791396"/>
        </a:xfrm>
      </xdr:grpSpPr>
      <xdr:grpSp>
        <xdr:nvGrpSpPr>
          <xdr:cNvPr id="70" name="Grupo 69">
            <a:extLst>
              <a:ext uri="{FF2B5EF4-FFF2-40B4-BE49-F238E27FC236}">
                <a16:creationId xmlns:a16="http://schemas.microsoft.com/office/drawing/2014/main" id="{00000000-0008-0000-0200-000046000000}"/>
              </a:ext>
            </a:extLst>
          </xdr:cNvPr>
          <xdr:cNvGrpSpPr/>
        </xdr:nvGrpSpPr>
        <xdr:grpSpPr>
          <a:xfrm>
            <a:off x="8110895" y="7864115"/>
            <a:ext cx="1380686" cy="479577"/>
            <a:chOff x="452527" y="7245625"/>
            <a:chExt cx="1376963" cy="484071"/>
          </a:xfrm>
        </xdr:grpSpPr>
        <xdr:sp macro="" textlink="">
          <xdr:nvSpPr>
            <xdr:cNvPr id="118" name="Cubo 117">
              <a:extLst>
                <a:ext uri="{FF2B5EF4-FFF2-40B4-BE49-F238E27FC236}">
                  <a16:creationId xmlns:a16="http://schemas.microsoft.com/office/drawing/2014/main" id="{00000000-0008-0000-0200-000076000000}"/>
                </a:ext>
              </a:extLst>
            </xdr:cNvPr>
            <xdr:cNvSpPr/>
          </xdr:nvSpPr>
          <xdr:spPr>
            <a:xfrm>
              <a:off x="452527" y="7457822"/>
              <a:ext cx="1376963" cy="271874"/>
            </a:xfrm>
            <a:prstGeom prst="cube">
              <a:avLst>
                <a:gd name="adj" fmla="val 82300"/>
              </a:avLst>
            </a:prstGeom>
            <a:solidFill>
              <a:schemeClr val="bg2">
                <a:lumMod val="9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19" name="Cilindro 118">
              <a:extLst>
                <a:ext uri="{FF2B5EF4-FFF2-40B4-BE49-F238E27FC236}">
                  <a16:creationId xmlns:a16="http://schemas.microsoft.com/office/drawing/2014/main" id="{00000000-0008-0000-0200-000077000000}"/>
                </a:ext>
              </a:extLst>
            </xdr:cNvPr>
            <xdr:cNvSpPr/>
          </xdr:nvSpPr>
          <xdr:spPr>
            <a:xfrm>
              <a:off x="683259" y="730123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20" name="Cilindro 119">
              <a:extLst>
                <a:ext uri="{FF2B5EF4-FFF2-40B4-BE49-F238E27FC236}">
                  <a16:creationId xmlns:a16="http://schemas.microsoft.com/office/drawing/2014/main" id="{00000000-0008-0000-0200-000078000000}"/>
                </a:ext>
              </a:extLst>
            </xdr:cNvPr>
            <xdr:cNvSpPr/>
          </xdr:nvSpPr>
          <xdr:spPr>
            <a:xfrm>
              <a:off x="686324" y="724816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21" name="Cilindro 120">
              <a:extLst>
                <a:ext uri="{FF2B5EF4-FFF2-40B4-BE49-F238E27FC236}">
                  <a16:creationId xmlns:a16="http://schemas.microsoft.com/office/drawing/2014/main" id="{00000000-0008-0000-0200-000079000000}"/>
                </a:ext>
              </a:extLst>
            </xdr:cNvPr>
            <xdr:cNvSpPr/>
          </xdr:nvSpPr>
          <xdr:spPr>
            <a:xfrm>
              <a:off x="557529" y="743458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22" name="Cilindro 121">
              <a:extLst>
                <a:ext uri="{FF2B5EF4-FFF2-40B4-BE49-F238E27FC236}">
                  <a16:creationId xmlns:a16="http://schemas.microsoft.com/office/drawing/2014/main" id="{00000000-0008-0000-0200-00007A000000}"/>
                </a:ext>
              </a:extLst>
            </xdr:cNvPr>
            <xdr:cNvSpPr/>
          </xdr:nvSpPr>
          <xdr:spPr>
            <a:xfrm>
              <a:off x="560594" y="738151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23" name="Cilindro 122">
              <a:extLst>
                <a:ext uri="{FF2B5EF4-FFF2-40B4-BE49-F238E27FC236}">
                  <a16:creationId xmlns:a16="http://schemas.microsoft.com/office/drawing/2014/main" id="{00000000-0008-0000-0200-00007B000000}"/>
                </a:ext>
              </a:extLst>
            </xdr:cNvPr>
            <xdr:cNvSpPr/>
          </xdr:nvSpPr>
          <xdr:spPr>
            <a:xfrm>
              <a:off x="1023619" y="729869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24" name="Cilindro 123">
              <a:extLst>
                <a:ext uri="{FF2B5EF4-FFF2-40B4-BE49-F238E27FC236}">
                  <a16:creationId xmlns:a16="http://schemas.microsoft.com/office/drawing/2014/main" id="{00000000-0008-0000-0200-00007C000000}"/>
                </a:ext>
              </a:extLst>
            </xdr:cNvPr>
            <xdr:cNvSpPr/>
          </xdr:nvSpPr>
          <xdr:spPr>
            <a:xfrm>
              <a:off x="1026684" y="724562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25" name="Cilindro 124">
              <a:extLst>
                <a:ext uri="{FF2B5EF4-FFF2-40B4-BE49-F238E27FC236}">
                  <a16:creationId xmlns:a16="http://schemas.microsoft.com/office/drawing/2014/main" id="{00000000-0008-0000-0200-00007D000000}"/>
                </a:ext>
              </a:extLst>
            </xdr:cNvPr>
            <xdr:cNvSpPr/>
          </xdr:nvSpPr>
          <xdr:spPr>
            <a:xfrm>
              <a:off x="897889" y="743204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26" name="Cilindro 125">
              <a:extLst>
                <a:ext uri="{FF2B5EF4-FFF2-40B4-BE49-F238E27FC236}">
                  <a16:creationId xmlns:a16="http://schemas.microsoft.com/office/drawing/2014/main" id="{00000000-0008-0000-0200-00007E000000}"/>
                </a:ext>
              </a:extLst>
            </xdr:cNvPr>
            <xdr:cNvSpPr/>
          </xdr:nvSpPr>
          <xdr:spPr>
            <a:xfrm>
              <a:off x="900954" y="737897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27" name="Cilindro 126">
              <a:extLst>
                <a:ext uri="{FF2B5EF4-FFF2-40B4-BE49-F238E27FC236}">
                  <a16:creationId xmlns:a16="http://schemas.microsoft.com/office/drawing/2014/main" id="{00000000-0008-0000-0200-00007F000000}"/>
                </a:ext>
              </a:extLst>
            </xdr:cNvPr>
            <xdr:cNvSpPr/>
          </xdr:nvSpPr>
          <xdr:spPr>
            <a:xfrm>
              <a:off x="1394459" y="729869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28" name="Cilindro 127">
              <a:extLst>
                <a:ext uri="{FF2B5EF4-FFF2-40B4-BE49-F238E27FC236}">
                  <a16:creationId xmlns:a16="http://schemas.microsoft.com/office/drawing/2014/main" id="{00000000-0008-0000-0200-000080000000}"/>
                </a:ext>
              </a:extLst>
            </xdr:cNvPr>
            <xdr:cNvSpPr/>
          </xdr:nvSpPr>
          <xdr:spPr>
            <a:xfrm>
              <a:off x="1397524" y="724562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29" name="Cilindro 128">
              <a:extLst>
                <a:ext uri="{FF2B5EF4-FFF2-40B4-BE49-F238E27FC236}">
                  <a16:creationId xmlns:a16="http://schemas.microsoft.com/office/drawing/2014/main" id="{00000000-0008-0000-0200-000081000000}"/>
                </a:ext>
              </a:extLst>
            </xdr:cNvPr>
            <xdr:cNvSpPr/>
          </xdr:nvSpPr>
          <xdr:spPr>
            <a:xfrm>
              <a:off x="1268729" y="743204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30" name="Cilindro 129">
              <a:extLst>
                <a:ext uri="{FF2B5EF4-FFF2-40B4-BE49-F238E27FC236}">
                  <a16:creationId xmlns:a16="http://schemas.microsoft.com/office/drawing/2014/main" id="{00000000-0008-0000-0200-000082000000}"/>
                </a:ext>
              </a:extLst>
            </xdr:cNvPr>
            <xdr:cNvSpPr/>
          </xdr:nvSpPr>
          <xdr:spPr>
            <a:xfrm>
              <a:off x="1271794" y="737897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grpSp>
        <xdr:nvGrpSpPr>
          <xdr:cNvPr id="71" name="Grupo 70">
            <a:extLst>
              <a:ext uri="{FF2B5EF4-FFF2-40B4-BE49-F238E27FC236}">
                <a16:creationId xmlns:a16="http://schemas.microsoft.com/office/drawing/2014/main" id="{00000000-0008-0000-0200-000047000000}"/>
              </a:ext>
            </a:extLst>
          </xdr:cNvPr>
          <xdr:cNvGrpSpPr/>
        </xdr:nvGrpSpPr>
        <xdr:grpSpPr>
          <a:xfrm>
            <a:off x="8119785" y="7474909"/>
            <a:ext cx="1371161" cy="479577"/>
            <a:chOff x="452527" y="7245625"/>
            <a:chExt cx="1376963" cy="484071"/>
          </a:xfrm>
        </xdr:grpSpPr>
        <xdr:sp macro="" textlink="">
          <xdr:nvSpPr>
            <xdr:cNvPr id="105" name="Cubo 104">
              <a:extLst>
                <a:ext uri="{FF2B5EF4-FFF2-40B4-BE49-F238E27FC236}">
                  <a16:creationId xmlns:a16="http://schemas.microsoft.com/office/drawing/2014/main" id="{00000000-0008-0000-0200-000069000000}"/>
                </a:ext>
              </a:extLst>
            </xdr:cNvPr>
            <xdr:cNvSpPr/>
          </xdr:nvSpPr>
          <xdr:spPr>
            <a:xfrm>
              <a:off x="452527" y="7457822"/>
              <a:ext cx="1376963" cy="271874"/>
            </a:xfrm>
            <a:prstGeom prst="cube">
              <a:avLst>
                <a:gd name="adj" fmla="val 82300"/>
              </a:avLst>
            </a:prstGeom>
            <a:solidFill>
              <a:schemeClr val="bg2">
                <a:lumMod val="9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06" name="Cilindro 105">
              <a:extLst>
                <a:ext uri="{FF2B5EF4-FFF2-40B4-BE49-F238E27FC236}">
                  <a16:creationId xmlns:a16="http://schemas.microsoft.com/office/drawing/2014/main" id="{00000000-0008-0000-0200-00006A000000}"/>
                </a:ext>
              </a:extLst>
            </xdr:cNvPr>
            <xdr:cNvSpPr/>
          </xdr:nvSpPr>
          <xdr:spPr>
            <a:xfrm>
              <a:off x="683259" y="730123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07" name="Cilindro 106">
              <a:extLst>
                <a:ext uri="{FF2B5EF4-FFF2-40B4-BE49-F238E27FC236}">
                  <a16:creationId xmlns:a16="http://schemas.microsoft.com/office/drawing/2014/main" id="{00000000-0008-0000-0200-00006B000000}"/>
                </a:ext>
              </a:extLst>
            </xdr:cNvPr>
            <xdr:cNvSpPr/>
          </xdr:nvSpPr>
          <xdr:spPr>
            <a:xfrm>
              <a:off x="686324" y="724816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08" name="Cilindro 107">
              <a:extLst>
                <a:ext uri="{FF2B5EF4-FFF2-40B4-BE49-F238E27FC236}">
                  <a16:creationId xmlns:a16="http://schemas.microsoft.com/office/drawing/2014/main" id="{00000000-0008-0000-0200-00006C000000}"/>
                </a:ext>
              </a:extLst>
            </xdr:cNvPr>
            <xdr:cNvSpPr/>
          </xdr:nvSpPr>
          <xdr:spPr>
            <a:xfrm>
              <a:off x="557529" y="743458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09" name="Cilindro 108">
              <a:extLst>
                <a:ext uri="{FF2B5EF4-FFF2-40B4-BE49-F238E27FC236}">
                  <a16:creationId xmlns:a16="http://schemas.microsoft.com/office/drawing/2014/main" id="{00000000-0008-0000-0200-00006D000000}"/>
                </a:ext>
              </a:extLst>
            </xdr:cNvPr>
            <xdr:cNvSpPr/>
          </xdr:nvSpPr>
          <xdr:spPr>
            <a:xfrm>
              <a:off x="560594" y="738151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10" name="Cilindro 109">
              <a:extLst>
                <a:ext uri="{FF2B5EF4-FFF2-40B4-BE49-F238E27FC236}">
                  <a16:creationId xmlns:a16="http://schemas.microsoft.com/office/drawing/2014/main" id="{00000000-0008-0000-0200-00006E000000}"/>
                </a:ext>
              </a:extLst>
            </xdr:cNvPr>
            <xdr:cNvSpPr/>
          </xdr:nvSpPr>
          <xdr:spPr>
            <a:xfrm>
              <a:off x="1023619" y="729869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11" name="Cilindro 110">
              <a:extLst>
                <a:ext uri="{FF2B5EF4-FFF2-40B4-BE49-F238E27FC236}">
                  <a16:creationId xmlns:a16="http://schemas.microsoft.com/office/drawing/2014/main" id="{00000000-0008-0000-0200-00006F000000}"/>
                </a:ext>
              </a:extLst>
            </xdr:cNvPr>
            <xdr:cNvSpPr/>
          </xdr:nvSpPr>
          <xdr:spPr>
            <a:xfrm>
              <a:off x="1026684" y="724562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12" name="Cilindro 111">
              <a:extLst>
                <a:ext uri="{FF2B5EF4-FFF2-40B4-BE49-F238E27FC236}">
                  <a16:creationId xmlns:a16="http://schemas.microsoft.com/office/drawing/2014/main" id="{00000000-0008-0000-0200-000070000000}"/>
                </a:ext>
              </a:extLst>
            </xdr:cNvPr>
            <xdr:cNvSpPr/>
          </xdr:nvSpPr>
          <xdr:spPr>
            <a:xfrm>
              <a:off x="897889" y="743204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13" name="Cilindro 112">
              <a:extLst>
                <a:ext uri="{FF2B5EF4-FFF2-40B4-BE49-F238E27FC236}">
                  <a16:creationId xmlns:a16="http://schemas.microsoft.com/office/drawing/2014/main" id="{00000000-0008-0000-0200-000071000000}"/>
                </a:ext>
              </a:extLst>
            </xdr:cNvPr>
            <xdr:cNvSpPr/>
          </xdr:nvSpPr>
          <xdr:spPr>
            <a:xfrm>
              <a:off x="900954" y="737897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14" name="Cilindro 113">
              <a:extLst>
                <a:ext uri="{FF2B5EF4-FFF2-40B4-BE49-F238E27FC236}">
                  <a16:creationId xmlns:a16="http://schemas.microsoft.com/office/drawing/2014/main" id="{00000000-0008-0000-0200-000072000000}"/>
                </a:ext>
              </a:extLst>
            </xdr:cNvPr>
            <xdr:cNvSpPr/>
          </xdr:nvSpPr>
          <xdr:spPr>
            <a:xfrm>
              <a:off x="1394459" y="729869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15" name="Cilindro 114">
              <a:extLst>
                <a:ext uri="{FF2B5EF4-FFF2-40B4-BE49-F238E27FC236}">
                  <a16:creationId xmlns:a16="http://schemas.microsoft.com/office/drawing/2014/main" id="{00000000-0008-0000-0200-000073000000}"/>
                </a:ext>
              </a:extLst>
            </xdr:cNvPr>
            <xdr:cNvSpPr/>
          </xdr:nvSpPr>
          <xdr:spPr>
            <a:xfrm>
              <a:off x="1397524" y="724562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16" name="Cilindro 115">
              <a:extLst>
                <a:ext uri="{FF2B5EF4-FFF2-40B4-BE49-F238E27FC236}">
                  <a16:creationId xmlns:a16="http://schemas.microsoft.com/office/drawing/2014/main" id="{00000000-0008-0000-0200-000074000000}"/>
                </a:ext>
              </a:extLst>
            </xdr:cNvPr>
            <xdr:cNvSpPr/>
          </xdr:nvSpPr>
          <xdr:spPr>
            <a:xfrm>
              <a:off x="1268729" y="743204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17" name="Cilindro 116">
              <a:extLst>
                <a:ext uri="{FF2B5EF4-FFF2-40B4-BE49-F238E27FC236}">
                  <a16:creationId xmlns:a16="http://schemas.microsoft.com/office/drawing/2014/main" id="{00000000-0008-0000-0200-000075000000}"/>
                </a:ext>
              </a:extLst>
            </xdr:cNvPr>
            <xdr:cNvSpPr/>
          </xdr:nvSpPr>
          <xdr:spPr>
            <a:xfrm>
              <a:off x="1271794" y="737897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grpSp>
        <xdr:nvGrpSpPr>
          <xdr:cNvPr id="72" name="Grupo 71">
            <a:extLst>
              <a:ext uri="{FF2B5EF4-FFF2-40B4-BE49-F238E27FC236}">
                <a16:creationId xmlns:a16="http://schemas.microsoft.com/office/drawing/2014/main" id="{00000000-0008-0000-0200-000048000000}"/>
              </a:ext>
            </a:extLst>
          </xdr:cNvPr>
          <xdr:cNvGrpSpPr/>
        </xdr:nvGrpSpPr>
        <xdr:grpSpPr>
          <a:xfrm>
            <a:off x="8121690" y="7169523"/>
            <a:ext cx="1367986" cy="447827"/>
            <a:chOff x="452527" y="7245625"/>
            <a:chExt cx="1376963" cy="484071"/>
          </a:xfrm>
        </xdr:grpSpPr>
        <xdr:sp macro="" textlink="">
          <xdr:nvSpPr>
            <xdr:cNvPr id="92" name="Cubo 91">
              <a:extLst>
                <a:ext uri="{FF2B5EF4-FFF2-40B4-BE49-F238E27FC236}">
                  <a16:creationId xmlns:a16="http://schemas.microsoft.com/office/drawing/2014/main" id="{00000000-0008-0000-0200-00005C000000}"/>
                </a:ext>
              </a:extLst>
            </xdr:cNvPr>
            <xdr:cNvSpPr/>
          </xdr:nvSpPr>
          <xdr:spPr>
            <a:xfrm>
              <a:off x="452527" y="7457822"/>
              <a:ext cx="1376963" cy="271874"/>
            </a:xfrm>
            <a:prstGeom prst="cube">
              <a:avLst>
                <a:gd name="adj" fmla="val 82300"/>
              </a:avLst>
            </a:prstGeom>
            <a:solidFill>
              <a:schemeClr val="bg2">
                <a:lumMod val="9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93" name="Cilindro 92">
              <a:extLst>
                <a:ext uri="{FF2B5EF4-FFF2-40B4-BE49-F238E27FC236}">
                  <a16:creationId xmlns:a16="http://schemas.microsoft.com/office/drawing/2014/main" id="{00000000-0008-0000-0200-00005D000000}"/>
                </a:ext>
              </a:extLst>
            </xdr:cNvPr>
            <xdr:cNvSpPr/>
          </xdr:nvSpPr>
          <xdr:spPr>
            <a:xfrm>
              <a:off x="683259" y="730123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94" name="Cilindro 93">
              <a:extLst>
                <a:ext uri="{FF2B5EF4-FFF2-40B4-BE49-F238E27FC236}">
                  <a16:creationId xmlns:a16="http://schemas.microsoft.com/office/drawing/2014/main" id="{00000000-0008-0000-0200-00005E000000}"/>
                </a:ext>
              </a:extLst>
            </xdr:cNvPr>
            <xdr:cNvSpPr/>
          </xdr:nvSpPr>
          <xdr:spPr>
            <a:xfrm>
              <a:off x="686324" y="724816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95" name="Cilindro 94">
              <a:extLst>
                <a:ext uri="{FF2B5EF4-FFF2-40B4-BE49-F238E27FC236}">
                  <a16:creationId xmlns:a16="http://schemas.microsoft.com/office/drawing/2014/main" id="{00000000-0008-0000-0200-00005F000000}"/>
                </a:ext>
              </a:extLst>
            </xdr:cNvPr>
            <xdr:cNvSpPr/>
          </xdr:nvSpPr>
          <xdr:spPr>
            <a:xfrm>
              <a:off x="557529" y="743458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96" name="Cilindro 95">
              <a:extLst>
                <a:ext uri="{FF2B5EF4-FFF2-40B4-BE49-F238E27FC236}">
                  <a16:creationId xmlns:a16="http://schemas.microsoft.com/office/drawing/2014/main" id="{00000000-0008-0000-0200-000060000000}"/>
                </a:ext>
              </a:extLst>
            </xdr:cNvPr>
            <xdr:cNvSpPr/>
          </xdr:nvSpPr>
          <xdr:spPr>
            <a:xfrm>
              <a:off x="560594" y="738151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97" name="Cilindro 96">
              <a:extLst>
                <a:ext uri="{FF2B5EF4-FFF2-40B4-BE49-F238E27FC236}">
                  <a16:creationId xmlns:a16="http://schemas.microsoft.com/office/drawing/2014/main" id="{00000000-0008-0000-0200-000061000000}"/>
                </a:ext>
              </a:extLst>
            </xdr:cNvPr>
            <xdr:cNvSpPr/>
          </xdr:nvSpPr>
          <xdr:spPr>
            <a:xfrm>
              <a:off x="1023619" y="729869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98" name="Cilindro 97">
              <a:extLst>
                <a:ext uri="{FF2B5EF4-FFF2-40B4-BE49-F238E27FC236}">
                  <a16:creationId xmlns:a16="http://schemas.microsoft.com/office/drawing/2014/main" id="{00000000-0008-0000-0200-000062000000}"/>
                </a:ext>
              </a:extLst>
            </xdr:cNvPr>
            <xdr:cNvSpPr/>
          </xdr:nvSpPr>
          <xdr:spPr>
            <a:xfrm>
              <a:off x="1026684" y="724562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99" name="Cilindro 98">
              <a:extLst>
                <a:ext uri="{FF2B5EF4-FFF2-40B4-BE49-F238E27FC236}">
                  <a16:creationId xmlns:a16="http://schemas.microsoft.com/office/drawing/2014/main" id="{00000000-0008-0000-0200-000063000000}"/>
                </a:ext>
              </a:extLst>
            </xdr:cNvPr>
            <xdr:cNvSpPr/>
          </xdr:nvSpPr>
          <xdr:spPr>
            <a:xfrm>
              <a:off x="897889" y="743204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00" name="Cilindro 99">
              <a:extLst>
                <a:ext uri="{FF2B5EF4-FFF2-40B4-BE49-F238E27FC236}">
                  <a16:creationId xmlns:a16="http://schemas.microsoft.com/office/drawing/2014/main" id="{00000000-0008-0000-0200-000064000000}"/>
                </a:ext>
              </a:extLst>
            </xdr:cNvPr>
            <xdr:cNvSpPr/>
          </xdr:nvSpPr>
          <xdr:spPr>
            <a:xfrm>
              <a:off x="900954" y="737897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01" name="Cilindro 100">
              <a:extLst>
                <a:ext uri="{FF2B5EF4-FFF2-40B4-BE49-F238E27FC236}">
                  <a16:creationId xmlns:a16="http://schemas.microsoft.com/office/drawing/2014/main" id="{00000000-0008-0000-0200-000065000000}"/>
                </a:ext>
              </a:extLst>
            </xdr:cNvPr>
            <xdr:cNvSpPr/>
          </xdr:nvSpPr>
          <xdr:spPr>
            <a:xfrm>
              <a:off x="1394459" y="729869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02" name="Cilindro 101">
              <a:extLst>
                <a:ext uri="{FF2B5EF4-FFF2-40B4-BE49-F238E27FC236}">
                  <a16:creationId xmlns:a16="http://schemas.microsoft.com/office/drawing/2014/main" id="{00000000-0008-0000-0200-000066000000}"/>
                </a:ext>
              </a:extLst>
            </xdr:cNvPr>
            <xdr:cNvSpPr/>
          </xdr:nvSpPr>
          <xdr:spPr>
            <a:xfrm>
              <a:off x="1397524" y="724562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03" name="Cilindro 102">
              <a:extLst>
                <a:ext uri="{FF2B5EF4-FFF2-40B4-BE49-F238E27FC236}">
                  <a16:creationId xmlns:a16="http://schemas.microsoft.com/office/drawing/2014/main" id="{00000000-0008-0000-0200-000067000000}"/>
                </a:ext>
              </a:extLst>
            </xdr:cNvPr>
            <xdr:cNvSpPr/>
          </xdr:nvSpPr>
          <xdr:spPr>
            <a:xfrm>
              <a:off x="1268729" y="743204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04" name="Cilindro 103">
              <a:extLst>
                <a:ext uri="{FF2B5EF4-FFF2-40B4-BE49-F238E27FC236}">
                  <a16:creationId xmlns:a16="http://schemas.microsoft.com/office/drawing/2014/main" id="{00000000-0008-0000-0200-000068000000}"/>
                </a:ext>
              </a:extLst>
            </xdr:cNvPr>
            <xdr:cNvSpPr/>
          </xdr:nvSpPr>
          <xdr:spPr>
            <a:xfrm>
              <a:off x="1271794" y="737897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grpSp>
        <xdr:nvGrpSpPr>
          <xdr:cNvPr id="73" name="Grupo 72">
            <a:extLst>
              <a:ext uri="{FF2B5EF4-FFF2-40B4-BE49-F238E27FC236}">
                <a16:creationId xmlns:a16="http://schemas.microsoft.com/office/drawing/2014/main" id="{00000000-0008-0000-0200-000049000000}"/>
              </a:ext>
            </a:extLst>
          </xdr:cNvPr>
          <xdr:cNvGrpSpPr/>
        </xdr:nvGrpSpPr>
        <xdr:grpSpPr>
          <a:xfrm>
            <a:off x="8099465" y="6742216"/>
            <a:ext cx="1371161" cy="479578"/>
            <a:chOff x="452527" y="7245625"/>
            <a:chExt cx="1376963" cy="484071"/>
          </a:xfrm>
        </xdr:grpSpPr>
        <xdr:sp macro="" textlink="">
          <xdr:nvSpPr>
            <xdr:cNvPr id="79" name="Cubo 78">
              <a:extLst>
                <a:ext uri="{FF2B5EF4-FFF2-40B4-BE49-F238E27FC236}">
                  <a16:creationId xmlns:a16="http://schemas.microsoft.com/office/drawing/2014/main" id="{00000000-0008-0000-0200-00004F000000}"/>
                </a:ext>
              </a:extLst>
            </xdr:cNvPr>
            <xdr:cNvSpPr/>
          </xdr:nvSpPr>
          <xdr:spPr>
            <a:xfrm>
              <a:off x="452527" y="7457822"/>
              <a:ext cx="1376963" cy="271874"/>
            </a:xfrm>
            <a:prstGeom prst="cube">
              <a:avLst>
                <a:gd name="adj" fmla="val 82300"/>
              </a:avLst>
            </a:prstGeom>
            <a:solidFill>
              <a:schemeClr val="bg2">
                <a:lumMod val="9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0" name="Cilindro 79">
              <a:extLst>
                <a:ext uri="{FF2B5EF4-FFF2-40B4-BE49-F238E27FC236}">
                  <a16:creationId xmlns:a16="http://schemas.microsoft.com/office/drawing/2014/main" id="{00000000-0008-0000-0200-000050000000}"/>
                </a:ext>
              </a:extLst>
            </xdr:cNvPr>
            <xdr:cNvSpPr/>
          </xdr:nvSpPr>
          <xdr:spPr>
            <a:xfrm>
              <a:off x="683259" y="730123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1" name="Cilindro 80">
              <a:extLst>
                <a:ext uri="{FF2B5EF4-FFF2-40B4-BE49-F238E27FC236}">
                  <a16:creationId xmlns:a16="http://schemas.microsoft.com/office/drawing/2014/main" id="{00000000-0008-0000-0200-000051000000}"/>
                </a:ext>
              </a:extLst>
            </xdr:cNvPr>
            <xdr:cNvSpPr/>
          </xdr:nvSpPr>
          <xdr:spPr>
            <a:xfrm>
              <a:off x="686324" y="724816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2" name="Cilindro 81">
              <a:extLst>
                <a:ext uri="{FF2B5EF4-FFF2-40B4-BE49-F238E27FC236}">
                  <a16:creationId xmlns:a16="http://schemas.microsoft.com/office/drawing/2014/main" id="{00000000-0008-0000-0200-000052000000}"/>
                </a:ext>
              </a:extLst>
            </xdr:cNvPr>
            <xdr:cNvSpPr/>
          </xdr:nvSpPr>
          <xdr:spPr>
            <a:xfrm>
              <a:off x="557529" y="743458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3" name="Cilindro 82">
              <a:extLst>
                <a:ext uri="{FF2B5EF4-FFF2-40B4-BE49-F238E27FC236}">
                  <a16:creationId xmlns:a16="http://schemas.microsoft.com/office/drawing/2014/main" id="{00000000-0008-0000-0200-000053000000}"/>
                </a:ext>
              </a:extLst>
            </xdr:cNvPr>
            <xdr:cNvSpPr/>
          </xdr:nvSpPr>
          <xdr:spPr>
            <a:xfrm>
              <a:off x="560594" y="738151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4" name="Cilindro 83">
              <a:extLst>
                <a:ext uri="{FF2B5EF4-FFF2-40B4-BE49-F238E27FC236}">
                  <a16:creationId xmlns:a16="http://schemas.microsoft.com/office/drawing/2014/main" id="{00000000-0008-0000-0200-000054000000}"/>
                </a:ext>
              </a:extLst>
            </xdr:cNvPr>
            <xdr:cNvSpPr/>
          </xdr:nvSpPr>
          <xdr:spPr>
            <a:xfrm>
              <a:off x="1023619" y="729869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5" name="Cilindro 84">
              <a:extLst>
                <a:ext uri="{FF2B5EF4-FFF2-40B4-BE49-F238E27FC236}">
                  <a16:creationId xmlns:a16="http://schemas.microsoft.com/office/drawing/2014/main" id="{00000000-0008-0000-0200-000055000000}"/>
                </a:ext>
              </a:extLst>
            </xdr:cNvPr>
            <xdr:cNvSpPr/>
          </xdr:nvSpPr>
          <xdr:spPr>
            <a:xfrm>
              <a:off x="1026684" y="724562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6" name="Cilindro 85">
              <a:extLst>
                <a:ext uri="{FF2B5EF4-FFF2-40B4-BE49-F238E27FC236}">
                  <a16:creationId xmlns:a16="http://schemas.microsoft.com/office/drawing/2014/main" id="{00000000-0008-0000-0200-000056000000}"/>
                </a:ext>
              </a:extLst>
            </xdr:cNvPr>
            <xdr:cNvSpPr/>
          </xdr:nvSpPr>
          <xdr:spPr>
            <a:xfrm>
              <a:off x="897889" y="743204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7" name="Cilindro 86">
              <a:extLst>
                <a:ext uri="{FF2B5EF4-FFF2-40B4-BE49-F238E27FC236}">
                  <a16:creationId xmlns:a16="http://schemas.microsoft.com/office/drawing/2014/main" id="{00000000-0008-0000-0200-000057000000}"/>
                </a:ext>
              </a:extLst>
            </xdr:cNvPr>
            <xdr:cNvSpPr/>
          </xdr:nvSpPr>
          <xdr:spPr>
            <a:xfrm>
              <a:off x="900954" y="737897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8" name="Cilindro 87">
              <a:extLst>
                <a:ext uri="{FF2B5EF4-FFF2-40B4-BE49-F238E27FC236}">
                  <a16:creationId xmlns:a16="http://schemas.microsoft.com/office/drawing/2014/main" id="{00000000-0008-0000-0200-000058000000}"/>
                </a:ext>
              </a:extLst>
            </xdr:cNvPr>
            <xdr:cNvSpPr/>
          </xdr:nvSpPr>
          <xdr:spPr>
            <a:xfrm>
              <a:off x="1394459" y="729869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9" name="Cilindro 88">
              <a:extLst>
                <a:ext uri="{FF2B5EF4-FFF2-40B4-BE49-F238E27FC236}">
                  <a16:creationId xmlns:a16="http://schemas.microsoft.com/office/drawing/2014/main" id="{00000000-0008-0000-0200-000059000000}"/>
                </a:ext>
              </a:extLst>
            </xdr:cNvPr>
            <xdr:cNvSpPr/>
          </xdr:nvSpPr>
          <xdr:spPr>
            <a:xfrm>
              <a:off x="1397524" y="724562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90" name="Cilindro 89">
              <a:extLst>
                <a:ext uri="{FF2B5EF4-FFF2-40B4-BE49-F238E27FC236}">
                  <a16:creationId xmlns:a16="http://schemas.microsoft.com/office/drawing/2014/main" id="{00000000-0008-0000-0200-00005A000000}"/>
                </a:ext>
              </a:extLst>
            </xdr:cNvPr>
            <xdr:cNvSpPr/>
          </xdr:nvSpPr>
          <xdr:spPr>
            <a:xfrm>
              <a:off x="1268729" y="7432040"/>
              <a:ext cx="260351" cy="216194"/>
            </a:xfrm>
            <a:prstGeom prst="can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91" name="Cilindro 90">
              <a:extLst>
                <a:ext uri="{FF2B5EF4-FFF2-40B4-BE49-F238E27FC236}">
                  <a16:creationId xmlns:a16="http://schemas.microsoft.com/office/drawing/2014/main" id="{00000000-0008-0000-0200-00005B000000}"/>
                </a:ext>
              </a:extLst>
            </xdr:cNvPr>
            <xdr:cNvSpPr/>
          </xdr:nvSpPr>
          <xdr:spPr>
            <a:xfrm>
              <a:off x="1271794" y="7378975"/>
              <a:ext cx="260351" cy="111890"/>
            </a:xfrm>
            <a:prstGeom prst="can">
              <a:avLst>
                <a:gd name="adj" fmla="val 50000"/>
              </a:avLst>
            </a:prstGeom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grpSp>
        <xdr:nvGrpSpPr>
          <xdr:cNvPr id="74" name="Grupo 73">
            <a:extLst>
              <a:ext uri="{FF2B5EF4-FFF2-40B4-BE49-F238E27FC236}">
                <a16:creationId xmlns:a16="http://schemas.microsoft.com/office/drawing/2014/main" id="{00000000-0008-0000-0200-00004A000000}"/>
              </a:ext>
            </a:extLst>
          </xdr:cNvPr>
          <xdr:cNvGrpSpPr/>
        </xdr:nvGrpSpPr>
        <xdr:grpSpPr>
          <a:xfrm>
            <a:off x="8097219" y="6739818"/>
            <a:ext cx="1433449" cy="1794571"/>
            <a:chOff x="452333" y="7244644"/>
            <a:chExt cx="1427772" cy="1844149"/>
          </a:xfrm>
        </xdr:grpSpPr>
        <xdr:sp macro="" textlink="">
          <xdr:nvSpPr>
            <xdr:cNvPr id="75" name="Cubo 74">
              <a:extLst>
                <a:ext uri="{FF2B5EF4-FFF2-40B4-BE49-F238E27FC236}">
                  <a16:creationId xmlns:a16="http://schemas.microsoft.com/office/drawing/2014/main" id="{00000000-0008-0000-0200-00004B000000}"/>
                </a:ext>
              </a:extLst>
            </xdr:cNvPr>
            <xdr:cNvSpPr/>
          </xdr:nvSpPr>
          <xdr:spPr>
            <a:xfrm>
              <a:off x="452333" y="7244644"/>
              <a:ext cx="1397674" cy="1662841"/>
            </a:xfrm>
            <a:prstGeom prst="cube">
              <a:avLst>
                <a:gd name="adj" fmla="val 16887"/>
              </a:avLst>
            </a:prstGeom>
            <a:noFill/>
            <a:ln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76" name="Cilindro 75">
              <a:extLst>
                <a:ext uri="{FF2B5EF4-FFF2-40B4-BE49-F238E27FC236}">
                  <a16:creationId xmlns:a16="http://schemas.microsoft.com/office/drawing/2014/main" id="{00000000-0008-0000-0200-00004C000000}"/>
                </a:ext>
              </a:extLst>
            </xdr:cNvPr>
            <xdr:cNvSpPr/>
          </xdr:nvSpPr>
          <xdr:spPr>
            <a:xfrm rot="16200000">
              <a:off x="450049" y="8953422"/>
              <a:ext cx="165638" cy="105103"/>
            </a:xfrm>
            <a:prstGeom prst="can">
              <a:avLst>
                <a:gd name="adj" fmla="val 50000"/>
              </a:avLst>
            </a:prstGeom>
            <a:solidFill>
              <a:schemeClr val="tx1">
                <a:lumMod val="50000"/>
                <a:lumOff val="5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77" name="Cilindro 76">
              <a:extLst>
                <a:ext uri="{FF2B5EF4-FFF2-40B4-BE49-F238E27FC236}">
                  <a16:creationId xmlns:a16="http://schemas.microsoft.com/office/drawing/2014/main" id="{00000000-0008-0000-0200-00004D000000}"/>
                </a:ext>
              </a:extLst>
            </xdr:cNvPr>
            <xdr:cNvSpPr/>
          </xdr:nvSpPr>
          <xdr:spPr>
            <a:xfrm rot="16200000">
              <a:off x="1743650" y="8760219"/>
              <a:ext cx="167807" cy="105103"/>
            </a:xfrm>
            <a:prstGeom prst="can">
              <a:avLst>
                <a:gd name="adj" fmla="val 50000"/>
              </a:avLst>
            </a:prstGeom>
            <a:solidFill>
              <a:schemeClr val="tx1">
                <a:lumMod val="50000"/>
                <a:lumOff val="5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78" name="Cilindro 77">
              <a:extLst>
                <a:ext uri="{FF2B5EF4-FFF2-40B4-BE49-F238E27FC236}">
                  <a16:creationId xmlns:a16="http://schemas.microsoft.com/office/drawing/2014/main" id="{00000000-0008-0000-0200-00004E000000}"/>
                </a:ext>
              </a:extLst>
            </xdr:cNvPr>
            <xdr:cNvSpPr/>
          </xdr:nvSpPr>
          <xdr:spPr>
            <a:xfrm rot="16200000">
              <a:off x="1500647" y="8948465"/>
              <a:ext cx="165638" cy="105103"/>
            </a:xfrm>
            <a:prstGeom prst="can">
              <a:avLst>
                <a:gd name="adj" fmla="val 50000"/>
              </a:avLst>
            </a:prstGeom>
            <a:solidFill>
              <a:schemeClr val="tx1">
                <a:lumMod val="50000"/>
                <a:lumOff val="50000"/>
              </a:schemeClr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</xdr:grpSp>
    <xdr:clientData/>
  </xdr:twoCellAnchor>
  <xdr:twoCellAnchor editAs="oneCell">
    <xdr:from>
      <xdr:col>0</xdr:col>
      <xdr:colOff>35718</xdr:colOff>
      <xdr:row>45</xdr:row>
      <xdr:rowOff>8674</xdr:rowOff>
    </xdr:from>
    <xdr:to>
      <xdr:col>1</xdr:col>
      <xdr:colOff>341618</xdr:colOff>
      <xdr:row>56</xdr:row>
      <xdr:rowOff>21509</xdr:rowOff>
    </xdr:to>
    <xdr:pic>
      <xdr:nvPicPr>
        <xdr:cNvPr id="133" name="Imagen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18" y="6616643"/>
          <a:ext cx="1309688" cy="1983080"/>
        </a:xfrm>
        <a:prstGeom prst="rect">
          <a:avLst/>
        </a:prstGeom>
      </xdr:spPr>
    </xdr:pic>
    <xdr:clientData/>
  </xdr:twoCellAnchor>
  <xdr:twoCellAnchor editAs="oneCell">
    <xdr:from>
      <xdr:col>0</xdr:col>
      <xdr:colOff>68384</xdr:colOff>
      <xdr:row>58</xdr:row>
      <xdr:rowOff>9770</xdr:rowOff>
    </xdr:from>
    <xdr:to>
      <xdr:col>0</xdr:col>
      <xdr:colOff>817880</xdr:colOff>
      <xdr:row>64</xdr:row>
      <xdr:rowOff>39078</xdr:rowOff>
    </xdr:to>
    <xdr:pic>
      <xdr:nvPicPr>
        <xdr:cNvPr id="131" name="Imagen 130" descr="TARRO CONSERVA HERMETICO 4 L. FIDO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287" t="5964" r="21483" b="6075"/>
        <a:stretch/>
      </xdr:blipFill>
      <xdr:spPr bwMode="auto">
        <a:xfrm>
          <a:off x="68384" y="9290539"/>
          <a:ext cx="757116" cy="1152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78153</xdr:rowOff>
    </xdr:from>
    <xdr:to>
      <xdr:col>1</xdr:col>
      <xdr:colOff>246858</xdr:colOff>
      <xdr:row>80</xdr:row>
      <xdr:rowOff>1463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667999"/>
          <a:ext cx="1250646" cy="27060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C65A-8A8D-4BD6-BC46-40DCD3659C94}">
  <sheetPr>
    <outlinePr summaryBelow="0"/>
  </sheetPr>
  <dimension ref="A1:Y129"/>
  <sheetViews>
    <sheetView tabSelected="1" topLeftCell="B8" zoomScaleNormal="100" workbookViewId="0">
      <selection activeCell="R20" sqref="R20"/>
    </sheetView>
  </sheetViews>
  <sheetFormatPr baseColWidth="10" defaultRowHeight="14.4" outlineLevelRow="1" x14ac:dyDescent="0.3"/>
  <cols>
    <col min="1" max="1" width="4.33203125" customWidth="1"/>
    <col min="2" max="8" width="3.6640625" customWidth="1"/>
    <col min="10" max="10" width="12.33203125" bestFit="1" customWidth="1"/>
    <col min="11" max="11" width="10.6640625" customWidth="1"/>
    <col min="12" max="12" width="9.6640625" bestFit="1" customWidth="1"/>
    <col min="13" max="13" width="11.109375" bestFit="1" customWidth="1"/>
    <col min="14" max="14" width="1.33203125" customWidth="1"/>
    <col min="19" max="19" width="10.88671875" customWidth="1"/>
    <col min="20" max="20" width="10.44140625" bestFit="1" customWidth="1"/>
    <col min="21" max="21" width="13" bestFit="1" customWidth="1"/>
    <col min="22" max="22" width="11.6640625" customWidth="1"/>
    <col min="23" max="23" width="11.44140625" customWidth="1"/>
    <col min="24" max="24" width="14.21875" customWidth="1"/>
  </cols>
  <sheetData>
    <row r="1" spans="1:24" x14ac:dyDescent="0.3">
      <c r="A1" t="s">
        <v>196</v>
      </c>
      <c r="I1" t="s">
        <v>48</v>
      </c>
      <c r="K1" s="6">
        <v>4.5</v>
      </c>
      <c r="M1" s="11" t="s">
        <v>38</v>
      </c>
    </row>
    <row r="2" spans="1:24" x14ac:dyDescent="0.3">
      <c r="I2" t="s">
        <v>49</v>
      </c>
      <c r="K2" s="6">
        <v>40</v>
      </c>
      <c r="L2" s="5"/>
      <c r="M2" s="6" t="s">
        <v>35</v>
      </c>
    </row>
    <row r="3" spans="1:24" ht="15.6" x14ac:dyDescent="0.35">
      <c r="I3" s="5" t="s">
        <v>90</v>
      </c>
      <c r="K3" s="6">
        <v>35</v>
      </c>
      <c r="L3" s="5">
        <f>+K3*K1</f>
        <v>157.5</v>
      </c>
      <c r="M3" s="5"/>
    </row>
    <row r="4" spans="1:24" ht="15.6" x14ac:dyDescent="0.35">
      <c r="I4" s="5" t="s">
        <v>238</v>
      </c>
      <c r="K4" s="11">
        <f>+K3*K10</f>
        <v>315</v>
      </c>
      <c r="L4" s="5"/>
      <c r="M4" s="5"/>
      <c r="U4" s="102"/>
      <c r="V4" s="104" t="s">
        <v>319</v>
      </c>
      <c r="W4" s="104"/>
      <c r="X4" s="103"/>
    </row>
    <row r="5" spans="1:24" ht="28.8" x14ac:dyDescent="0.3">
      <c r="I5" s="18" t="s">
        <v>4</v>
      </c>
      <c r="J5" s="19"/>
      <c r="K5" s="19"/>
      <c r="L5" s="19"/>
      <c r="M5" s="19"/>
      <c r="U5" s="105" t="s">
        <v>318</v>
      </c>
      <c r="V5" s="109" t="s">
        <v>320</v>
      </c>
      <c r="W5" s="109" t="s">
        <v>322</v>
      </c>
      <c r="X5" s="109" t="s">
        <v>323</v>
      </c>
    </row>
    <row r="6" spans="1:24" ht="16.5" customHeight="1" outlineLevel="1" x14ac:dyDescent="0.3">
      <c r="A6" t="s">
        <v>85</v>
      </c>
      <c r="D6" t="s">
        <v>154</v>
      </c>
      <c r="G6" t="s">
        <v>152</v>
      </c>
      <c r="Q6" s="105" t="s">
        <v>295</v>
      </c>
      <c r="R6" s="105" t="s">
        <v>314</v>
      </c>
      <c r="S6" s="105" t="s">
        <v>306</v>
      </c>
      <c r="T6" s="105" t="s">
        <v>313</v>
      </c>
      <c r="U6" s="105" t="s">
        <v>315</v>
      </c>
      <c r="V6" s="107">
        <f>350/24</f>
        <v>14.583333333333334</v>
      </c>
      <c r="W6" s="107">
        <f>400/24</f>
        <v>16.666666666666668</v>
      </c>
      <c r="X6" s="107">
        <f>510/24</f>
        <v>21.25</v>
      </c>
    </row>
    <row r="7" spans="1:24" outlineLevel="1" x14ac:dyDescent="0.3">
      <c r="A7" s="87">
        <v>24</v>
      </c>
      <c r="B7" s="4" t="s">
        <v>3</v>
      </c>
      <c r="C7" s="110"/>
      <c r="D7" s="110"/>
      <c r="E7" s="110"/>
      <c r="F7" s="110"/>
      <c r="G7" s="6">
        <v>7</v>
      </c>
      <c r="I7" s="20" t="s">
        <v>5</v>
      </c>
      <c r="Q7" s="105">
        <v>5</v>
      </c>
      <c r="R7" s="105">
        <f>+J10*Q7</f>
        <v>840</v>
      </c>
      <c r="S7" s="105">
        <f>+R7/12</f>
        <v>70</v>
      </c>
      <c r="T7" s="105">
        <f>+S7*0.15</f>
        <v>10.5</v>
      </c>
      <c r="U7" s="105" t="s">
        <v>316</v>
      </c>
      <c r="V7" s="107">
        <f>400/24</f>
        <v>16.666666666666668</v>
      </c>
      <c r="W7" s="107">
        <f>525/24</f>
        <v>21.875</v>
      </c>
      <c r="X7" s="107">
        <f>650/24</f>
        <v>27.083333333333332</v>
      </c>
    </row>
    <row r="8" spans="1:24" ht="16.8" outlineLevel="1" x14ac:dyDescent="0.35">
      <c r="A8" s="77">
        <v>1</v>
      </c>
      <c r="B8" s="4" t="s">
        <v>3</v>
      </c>
      <c r="C8" s="110"/>
      <c r="D8" s="110"/>
      <c r="E8" s="110"/>
      <c r="F8" s="110"/>
      <c r="I8" s="8" t="s">
        <v>36</v>
      </c>
      <c r="J8" s="8" t="s">
        <v>19</v>
      </c>
      <c r="K8" s="8" t="s">
        <v>7</v>
      </c>
      <c r="L8" s="16" t="s">
        <v>91</v>
      </c>
      <c r="M8" s="16" t="s">
        <v>59</v>
      </c>
      <c r="O8" s="16" t="s">
        <v>185</v>
      </c>
      <c r="Q8" s="105">
        <v>7</v>
      </c>
      <c r="R8" s="105">
        <f>+J10*Q8</f>
        <v>1176</v>
      </c>
      <c r="S8" s="105">
        <f>+R8/12</f>
        <v>98</v>
      </c>
      <c r="T8" s="105">
        <f>+S8*0.15</f>
        <v>14.7</v>
      </c>
      <c r="U8" s="105" t="s">
        <v>317</v>
      </c>
      <c r="V8" s="107">
        <f>600/24</f>
        <v>25</v>
      </c>
      <c r="W8" s="107">
        <f>625/24</f>
        <v>26.041666666666668</v>
      </c>
      <c r="X8" s="107">
        <f>800/24</f>
        <v>33.333333333333336</v>
      </c>
    </row>
    <row r="9" spans="1:24" ht="16.8" outlineLevel="1" x14ac:dyDescent="0.35">
      <c r="C9" s="110"/>
      <c r="D9" s="110"/>
      <c r="E9" s="110"/>
      <c r="F9" s="110"/>
      <c r="I9" s="8" t="s">
        <v>6</v>
      </c>
      <c r="J9" s="8" t="s">
        <v>6</v>
      </c>
      <c r="K9" s="8" t="s">
        <v>50</v>
      </c>
      <c r="L9" s="17" t="s">
        <v>92</v>
      </c>
      <c r="M9" s="17" t="s">
        <v>92</v>
      </c>
      <c r="O9" s="17" t="s">
        <v>215</v>
      </c>
      <c r="Q9" s="105">
        <v>9</v>
      </c>
      <c r="R9" s="105">
        <f>+J10*Q9</f>
        <v>1512</v>
      </c>
      <c r="S9" s="105">
        <f>+R9/12</f>
        <v>126</v>
      </c>
      <c r="T9" s="102">
        <f>+S9*0.15</f>
        <v>18.899999999999999</v>
      </c>
      <c r="U9" s="105" t="s">
        <v>321</v>
      </c>
      <c r="V9" s="107">
        <f>1120/24</f>
        <v>46.666666666666664</v>
      </c>
      <c r="W9" s="107">
        <f>1350/24</f>
        <v>56.25</v>
      </c>
      <c r="X9" s="107">
        <f>1710/24</f>
        <v>71.25</v>
      </c>
    </row>
    <row r="10" spans="1:24" outlineLevel="1" x14ac:dyDescent="0.3">
      <c r="C10" s="110"/>
      <c r="D10" s="110"/>
      <c r="E10" s="110"/>
      <c r="F10" s="110"/>
      <c r="I10" s="35">
        <f>+G12*A13*G13</f>
        <v>259.2</v>
      </c>
      <c r="J10" s="35">
        <f>+A7*A8*G7</f>
        <v>168</v>
      </c>
      <c r="K10" s="10">
        <v>9</v>
      </c>
      <c r="L10" s="47">
        <f>+K10*J10</f>
        <v>1512</v>
      </c>
      <c r="M10" s="47">
        <f>+K3*K10*J10/1000</f>
        <v>52.92</v>
      </c>
      <c r="O10" s="35">
        <f>M10*K1</f>
        <v>238.14000000000001</v>
      </c>
    </row>
    <row r="11" spans="1:24" outlineLevel="1" x14ac:dyDescent="0.3">
      <c r="C11" s="110"/>
      <c r="D11" s="110"/>
      <c r="E11" s="110"/>
      <c r="F11" s="110"/>
      <c r="J11">
        <f>+J10/I10</f>
        <v>0.64814814814814814</v>
      </c>
    </row>
    <row r="12" spans="1:24" outlineLevel="1" x14ac:dyDescent="0.3">
      <c r="C12" s="110"/>
      <c r="D12" s="110"/>
      <c r="E12" s="110"/>
      <c r="F12" s="110"/>
      <c r="G12" s="87">
        <v>27</v>
      </c>
      <c r="H12" t="s">
        <v>3</v>
      </c>
      <c r="I12" s="20" t="s">
        <v>11</v>
      </c>
      <c r="Q12" t="s">
        <v>296</v>
      </c>
      <c r="R12" s="2">
        <f>+O10</f>
        <v>238.14000000000001</v>
      </c>
      <c r="S12" t="s">
        <v>303</v>
      </c>
    </row>
    <row r="13" spans="1:24" ht="15.6" outlineLevel="1" x14ac:dyDescent="0.35">
      <c r="A13" s="77">
        <v>9.6</v>
      </c>
      <c r="B13" s="4" t="s">
        <v>3</v>
      </c>
      <c r="C13" s="110"/>
      <c r="D13" s="110"/>
      <c r="E13" s="110"/>
      <c r="F13" s="110"/>
      <c r="G13" s="4">
        <v>1</v>
      </c>
      <c r="I13" s="16" t="s">
        <v>8</v>
      </c>
      <c r="J13" s="16" t="s">
        <v>9</v>
      </c>
      <c r="K13" s="16" t="s">
        <v>93</v>
      </c>
      <c r="L13" s="16" t="s">
        <v>60</v>
      </c>
      <c r="M13" s="16" t="s">
        <v>59</v>
      </c>
      <c r="O13" s="16" t="s">
        <v>228</v>
      </c>
      <c r="Q13" s="108" t="s">
        <v>297</v>
      </c>
      <c r="R13">
        <v>4.2</v>
      </c>
      <c r="S13" t="s">
        <v>299</v>
      </c>
    </row>
    <row r="14" spans="1:24" outlineLevel="1" x14ac:dyDescent="0.3">
      <c r="C14" s="5"/>
      <c r="D14" t="s">
        <v>153</v>
      </c>
      <c r="I14" s="17"/>
      <c r="J14" s="17" t="s">
        <v>155</v>
      </c>
      <c r="K14" s="17" t="s">
        <v>10</v>
      </c>
      <c r="L14" s="29" t="s">
        <v>94</v>
      </c>
      <c r="M14" s="17" t="s">
        <v>118</v>
      </c>
      <c r="O14" s="17" t="s">
        <v>223</v>
      </c>
      <c r="Q14" t="s">
        <v>298</v>
      </c>
      <c r="R14">
        <v>335</v>
      </c>
      <c r="S14" t="s">
        <v>300</v>
      </c>
    </row>
    <row r="15" spans="1:24" outlineLevel="1" x14ac:dyDescent="0.3">
      <c r="C15" s="5"/>
      <c r="D15" s="5"/>
      <c r="E15" s="5"/>
      <c r="F15" s="5"/>
      <c r="I15" s="10">
        <v>12</v>
      </c>
      <c r="J15" s="10">
        <v>6</v>
      </c>
      <c r="K15" s="9">
        <f>+J15*I15</f>
        <v>72</v>
      </c>
      <c r="L15" s="100">
        <f>ROUNDDOWN(52/K15*2,1)/2</f>
        <v>0.7</v>
      </c>
      <c r="M15" s="47">
        <f>+M10*K15</f>
        <v>3810.2400000000002</v>
      </c>
      <c r="O15" s="47">
        <f>+K1*M15</f>
        <v>17146.080000000002</v>
      </c>
      <c r="Q15" t="s">
        <v>302</v>
      </c>
      <c r="R15">
        <v>4</v>
      </c>
      <c r="V15">
        <v>144</v>
      </c>
      <c r="W15">
        <f>12.6*60</f>
        <v>756</v>
      </c>
      <c r="X15">
        <f>+V15/W15</f>
        <v>0.19047619047619047</v>
      </c>
    </row>
    <row r="16" spans="1:24" outlineLevel="1" x14ac:dyDescent="0.3">
      <c r="C16" s="5"/>
      <c r="D16" s="5"/>
      <c r="E16" s="5"/>
      <c r="F16" s="5"/>
      <c r="I16" t="s">
        <v>162</v>
      </c>
      <c r="L16" s="31">
        <v>5</v>
      </c>
      <c r="M16" t="s">
        <v>282</v>
      </c>
      <c r="Q16" t="s">
        <v>301</v>
      </c>
      <c r="R16">
        <f>+R12*20*R13+R12*R14</f>
        <v>99780.66</v>
      </c>
      <c r="V16">
        <f>+X15*W16</f>
        <v>49.371428571428567</v>
      </c>
      <c r="W16">
        <f>9.6*27</f>
        <v>259.2</v>
      </c>
    </row>
    <row r="17" spans="1:19" x14ac:dyDescent="0.3">
      <c r="C17" s="5"/>
      <c r="D17" s="5"/>
      <c r="E17" s="5"/>
      <c r="F17" s="5"/>
      <c r="L17" s="86"/>
      <c r="Q17" t="s">
        <v>304</v>
      </c>
      <c r="R17">
        <f>+R16/R15/3600</f>
        <v>6.9292125000000002</v>
      </c>
    </row>
    <row r="18" spans="1:19" x14ac:dyDescent="0.3">
      <c r="C18" s="5"/>
      <c r="D18" s="5"/>
      <c r="E18" s="5"/>
      <c r="F18" s="5"/>
      <c r="I18" s="18" t="s">
        <v>194</v>
      </c>
      <c r="J18" s="19"/>
      <c r="K18" s="19"/>
      <c r="L18" s="19"/>
      <c r="M18" s="19"/>
    </row>
    <row r="19" spans="1:19" outlineLevel="1" x14ac:dyDescent="0.3">
      <c r="C19" s="5"/>
      <c r="D19" s="5"/>
      <c r="E19" s="5"/>
      <c r="F19" s="5"/>
      <c r="I19" s="72" t="s">
        <v>157</v>
      </c>
    </row>
    <row r="20" spans="1:19" ht="15.6" outlineLevel="1" x14ac:dyDescent="0.35">
      <c r="C20" s="5"/>
      <c r="D20" s="5"/>
      <c r="E20" s="5"/>
      <c r="F20" s="5"/>
      <c r="I20" s="16" t="s">
        <v>159</v>
      </c>
      <c r="J20" s="16" t="s">
        <v>175</v>
      </c>
      <c r="K20" s="8" t="s">
        <v>7</v>
      </c>
      <c r="L20" s="73" t="s">
        <v>163</v>
      </c>
      <c r="M20" s="74" t="s">
        <v>165</v>
      </c>
      <c r="O20" s="74" t="s">
        <v>273</v>
      </c>
    </row>
    <row r="21" spans="1:19" ht="16.8" outlineLevel="1" x14ac:dyDescent="0.35">
      <c r="C21" s="5"/>
      <c r="D21" s="5"/>
      <c r="E21" s="5"/>
      <c r="F21" s="5"/>
      <c r="I21" s="17" t="s">
        <v>160</v>
      </c>
      <c r="J21" s="29" t="s">
        <v>161</v>
      </c>
      <c r="K21" s="8" t="s">
        <v>50</v>
      </c>
      <c r="L21" s="17" t="s">
        <v>164</v>
      </c>
      <c r="M21" s="8" t="s">
        <v>171</v>
      </c>
      <c r="O21" s="8" t="s">
        <v>179</v>
      </c>
    </row>
    <row r="22" spans="1:19" outlineLevel="1" x14ac:dyDescent="0.3">
      <c r="I22" s="10">
        <v>60</v>
      </c>
      <c r="J22" s="10">
        <v>2</v>
      </c>
      <c r="K22" s="10">
        <v>1</v>
      </c>
      <c r="L22" s="35">
        <f>ROUNDUP(L10/I22/L16*J22/10,0)*10</f>
        <v>20</v>
      </c>
      <c r="M22" s="47">
        <f>+L22/K22</f>
        <v>20</v>
      </c>
      <c r="O22">
        <f>+M22*12/8</f>
        <v>30</v>
      </c>
    </row>
    <row r="23" spans="1:19" outlineLevel="1" x14ac:dyDescent="0.3">
      <c r="A23">
        <v>6</v>
      </c>
      <c r="B23" t="s">
        <v>166</v>
      </c>
      <c r="C23" s="5">
        <v>12</v>
      </c>
      <c r="D23" s="5" t="s">
        <v>167</v>
      </c>
      <c r="E23" s="5">
        <f>+A23*C23</f>
        <v>72</v>
      </c>
      <c r="F23" s="92" t="s">
        <v>168</v>
      </c>
    </row>
    <row r="24" spans="1:19" outlineLevel="1" x14ac:dyDescent="0.3">
      <c r="A24" s="110"/>
      <c r="B24" s="110"/>
      <c r="C24" s="110"/>
      <c r="D24" s="110"/>
      <c r="E24" s="110"/>
      <c r="F24" s="5"/>
      <c r="I24" s="72" t="s">
        <v>172</v>
      </c>
      <c r="P24">
        <v>1200</v>
      </c>
      <c r="Q24" t="s">
        <v>308</v>
      </c>
    </row>
    <row r="25" spans="1:19" outlineLevel="1" x14ac:dyDescent="0.3">
      <c r="A25" s="110"/>
      <c r="B25" s="110"/>
      <c r="C25" s="110"/>
      <c r="D25" s="110"/>
      <c r="E25" s="110"/>
      <c r="F25" s="5"/>
      <c r="I25" s="16" t="s">
        <v>159</v>
      </c>
      <c r="J25" s="16" t="s">
        <v>175</v>
      </c>
      <c r="K25" s="73" t="s">
        <v>158</v>
      </c>
      <c r="L25" s="73" t="s">
        <v>55</v>
      </c>
      <c r="M25" s="74" t="s">
        <v>311</v>
      </c>
      <c r="P25" s="2">
        <f>+(10+7/8)*0.0254*100</f>
        <v>27.622499999999999</v>
      </c>
      <c r="Q25" t="s">
        <v>188</v>
      </c>
      <c r="R25">
        <v>4</v>
      </c>
      <c r="S25" t="s">
        <v>307</v>
      </c>
    </row>
    <row r="26" spans="1:19" outlineLevel="1" x14ac:dyDescent="0.3">
      <c r="A26" s="110"/>
      <c r="B26" s="110"/>
      <c r="C26" s="110"/>
      <c r="D26" s="110"/>
      <c r="E26" s="110"/>
      <c r="F26" s="5"/>
      <c r="I26" s="17" t="s">
        <v>170</v>
      </c>
      <c r="J26" s="29" t="s">
        <v>174</v>
      </c>
      <c r="K26" s="17" t="s">
        <v>310</v>
      </c>
      <c r="L26" s="17"/>
      <c r="M26" s="8" t="s">
        <v>312</v>
      </c>
      <c r="P26" s="2">
        <f>+(21.25)*0.0254*100</f>
        <v>53.974999999999994</v>
      </c>
      <c r="Q26" t="s">
        <v>188</v>
      </c>
      <c r="R26">
        <v>3</v>
      </c>
      <c r="S26" t="s">
        <v>309</v>
      </c>
    </row>
    <row r="27" spans="1:19" outlineLevel="1" x14ac:dyDescent="0.3">
      <c r="A27" s="110"/>
      <c r="B27" s="110"/>
      <c r="C27" s="110"/>
      <c r="D27" s="110"/>
      <c r="E27" s="110"/>
      <c r="F27" s="5"/>
      <c r="I27" s="10">
        <f>+E23</f>
        <v>72</v>
      </c>
      <c r="J27" s="10">
        <v>2</v>
      </c>
      <c r="K27" s="76">
        <f>+I27*R25*R26</f>
        <v>864</v>
      </c>
      <c r="L27" s="35">
        <f>+L10/K27</f>
        <v>1.75</v>
      </c>
      <c r="M27" s="47">
        <f>+K27*2-L10</f>
        <v>216</v>
      </c>
    </row>
    <row r="28" spans="1:19" outlineLevel="1" x14ac:dyDescent="0.3">
      <c r="A28" s="75" t="s">
        <v>169</v>
      </c>
      <c r="C28" s="5"/>
      <c r="D28" s="5"/>
      <c r="E28" s="5"/>
      <c r="F28" s="5"/>
    </row>
    <row r="29" spans="1:19" outlineLevel="1" x14ac:dyDescent="0.3">
      <c r="A29" s="75"/>
      <c r="C29" s="5"/>
      <c r="D29" s="5"/>
      <c r="E29" s="5"/>
      <c r="F29" s="5"/>
      <c r="I29" s="72" t="s">
        <v>173</v>
      </c>
    </row>
    <row r="30" spans="1:19" ht="15.6" outlineLevel="1" x14ac:dyDescent="0.35">
      <c r="A30" s="75"/>
      <c r="B30" s="110"/>
      <c r="C30" s="110"/>
      <c r="D30" s="110"/>
      <c r="E30" s="110"/>
      <c r="F30" s="5"/>
      <c r="I30" s="16" t="s">
        <v>180</v>
      </c>
      <c r="J30" s="16" t="s">
        <v>175</v>
      </c>
      <c r="K30" s="8" t="s">
        <v>7</v>
      </c>
      <c r="L30" s="73" t="s">
        <v>163</v>
      </c>
      <c r="M30" s="74" t="s">
        <v>165</v>
      </c>
      <c r="O30" s="74" t="s">
        <v>273</v>
      </c>
    </row>
    <row r="31" spans="1:19" ht="16.8" outlineLevel="1" x14ac:dyDescent="0.35">
      <c r="A31" s="75"/>
      <c r="B31" s="110"/>
      <c r="C31" s="110"/>
      <c r="D31" s="110"/>
      <c r="E31" s="110"/>
      <c r="F31" s="5"/>
      <c r="I31" s="17" t="s">
        <v>177</v>
      </c>
      <c r="J31" s="29" t="s">
        <v>176</v>
      </c>
      <c r="K31" s="8" t="s">
        <v>50</v>
      </c>
      <c r="L31" s="17" t="s">
        <v>178</v>
      </c>
      <c r="M31" s="8" t="s">
        <v>179</v>
      </c>
      <c r="O31" s="8" t="s">
        <v>179</v>
      </c>
    </row>
    <row r="32" spans="1:19" outlineLevel="1" x14ac:dyDescent="0.3">
      <c r="A32" s="75"/>
      <c r="B32" s="110"/>
      <c r="C32" s="110"/>
      <c r="D32" s="110"/>
      <c r="E32" s="110"/>
      <c r="F32" s="5"/>
      <c r="I32" s="10">
        <v>1</v>
      </c>
      <c r="J32" s="10">
        <v>2</v>
      </c>
      <c r="K32" s="10">
        <v>20</v>
      </c>
      <c r="L32" s="35">
        <f>ROUNDUP(L10/L16*J32/10,0)*10</f>
        <v>610</v>
      </c>
      <c r="M32" s="47">
        <f>+L32/K32/I32</f>
        <v>30.5</v>
      </c>
      <c r="O32">
        <f>+M32*12/8</f>
        <v>45.75</v>
      </c>
      <c r="Q32">
        <v>3000</v>
      </c>
      <c r="R32" t="s">
        <v>279</v>
      </c>
    </row>
    <row r="33" spans="1:25" outlineLevel="1" x14ac:dyDescent="0.3">
      <c r="A33" s="75"/>
      <c r="C33" s="5"/>
      <c r="D33" s="5"/>
      <c r="E33" s="5"/>
      <c r="F33" s="5"/>
      <c r="Q33">
        <v>3000</v>
      </c>
      <c r="R33" t="s">
        <v>279</v>
      </c>
    </row>
    <row r="34" spans="1:25" x14ac:dyDescent="0.3">
      <c r="A34" s="75"/>
      <c r="C34" s="5"/>
      <c r="D34" s="5"/>
      <c r="E34" s="5"/>
      <c r="F34" s="5"/>
      <c r="Q34">
        <f>+Q33/60</f>
        <v>50</v>
      </c>
      <c r="R34" t="s">
        <v>280</v>
      </c>
    </row>
    <row r="35" spans="1:25" x14ac:dyDescent="0.3">
      <c r="A35" s="75"/>
      <c r="C35" s="5"/>
      <c r="D35" s="5"/>
      <c r="E35" s="5"/>
      <c r="F35" s="5"/>
      <c r="I35" s="18" t="s">
        <v>274</v>
      </c>
      <c r="J35" s="19"/>
      <c r="K35" s="19"/>
      <c r="L35" s="19"/>
      <c r="M35" s="19"/>
      <c r="Q35">
        <f>+Q34/8</f>
        <v>6.25</v>
      </c>
      <c r="R35" t="s">
        <v>281</v>
      </c>
    </row>
    <row r="36" spans="1:25" outlineLevel="1" x14ac:dyDescent="0.3">
      <c r="A36" s="75"/>
      <c r="C36" s="5"/>
      <c r="D36" s="5"/>
      <c r="E36" s="5"/>
      <c r="F36" s="5"/>
      <c r="I36" s="27"/>
      <c r="J36" s="16"/>
      <c r="K36" s="27"/>
      <c r="L36" s="27" t="s">
        <v>15</v>
      </c>
    </row>
    <row r="37" spans="1:25" outlineLevel="1" x14ac:dyDescent="0.3">
      <c r="A37" s="75"/>
      <c r="C37" s="5"/>
      <c r="D37" s="5"/>
      <c r="E37" s="5"/>
      <c r="F37" s="5"/>
      <c r="I37" s="28" t="s">
        <v>275</v>
      </c>
      <c r="J37" s="29"/>
      <c r="K37" s="30" t="s">
        <v>14</v>
      </c>
      <c r="L37" s="5" t="s">
        <v>276</v>
      </c>
    </row>
    <row r="38" spans="1:25" outlineLevel="1" x14ac:dyDescent="0.3">
      <c r="A38" s="75"/>
      <c r="C38" s="5"/>
      <c r="D38" s="5"/>
      <c r="E38" s="5"/>
      <c r="F38" s="5"/>
      <c r="I38" s="10">
        <v>18</v>
      </c>
      <c r="J38" s="9">
        <f>+J43</f>
        <v>238.14000000000001</v>
      </c>
      <c r="K38" s="10">
        <v>2</v>
      </c>
      <c r="L38" s="31">
        <f>+J38/I38/8/K38</f>
        <v>0.82687500000000003</v>
      </c>
      <c r="M38" s="32">
        <f>ROUNDUP(L38,0)</f>
        <v>1</v>
      </c>
      <c r="P38">
        <f>8*9</f>
        <v>72</v>
      </c>
    </row>
    <row r="39" spans="1:25" x14ac:dyDescent="0.3">
      <c r="A39" s="75"/>
      <c r="C39" s="5"/>
      <c r="D39" s="5"/>
      <c r="E39" s="5"/>
      <c r="F39" s="5"/>
    </row>
    <row r="40" spans="1:25" x14ac:dyDescent="0.3">
      <c r="A40" s="75"/>
      <c r="C40" s="5"/>
      <c r="D40" s="5"/>
      <c r="E40" s="5"/>
      <c r="F40" s="5"/>
      <c r="I40" s="18" t="s">
        <v>181</v>
      </c>
      <c r="J40" s="19"/>
      <c r="K40" s="19"/>
      <c r="L40" s="19"/>
      <c r="M40" s="19"/>
    </row>
    <row r="41" spans="1:25" ht="15.6" outlineLevel="1" x14ac:dyDescent="0.35">
      <c r="A41" s="75"/>
      <c r="B41" s="110"/>
      <c r="C41" s="110"/>
      <c r="D41" s="110"/>
      <c r="E41" s="110"/>
      <c r="F41" s="110"/>
      <c r="G41" s="110"/>
      <c r="I41" s="27" t="s">
        <v>182</v>
      </c>
      <c r="J41" s="16" t="s">
        <v>185</v>
      </c>
      <c r="K41" s="27"/>
      <c r="L41" s="27" t="s">
        <v>15</v>
      </c>
      <c r="S41">
        <f>2*8.6*2.7</f>
        <v>46.44</v>
      </c>
    </row>
    <row r="42" spans="1:25" outlineLevel="1" x14ac:dyDescent="0.3">
      <c r="A42" s="75"/>
      <c r="B42" s="110"/>
      <c r="C42" s="110"/>
      <c r="D42" s="110"/>
      <c r="E42" s="110"/>
      <c r="F42" s="110"/>
      <c r="G42" s="110"/>
      <c r="I42" s="28" t="s">
        <v>183</v>
      </c>
      <c r="J42" s="17" t="s">
        <v>92</v>
      </c>
      <c r="K42" s="30" t="s">
        <v>14</v>
      </c>
      <c r="L42" s="5" t="s">
        <v>184</v>
      </c>
    </row>
    <row r="43" spans="1:25" outlineLevel="1" x14ac:dyDescent="0.3">
      <c r="A43" s="75"/>
      <c r="B43" s="110"/>
      <c r="C43" s="110"/>
      <c r="D43" s="110"/>
      <c r="E43" s="110"/>
      <c r="F43" s="110"/>
      <c r="G43" s="110"/>
      <c r="I43" s="10">
        <v>68</v>
      </c>
      <c r="J43" s="9">
        <f>+M10*K1</f>
        <v>238.14000000000001</v>
      </c>
      <c r="K43" s="10">
        <v>1</v>
      </c>
      <c r="L43" s="31">
        <f>+J43/I43/8/K43</f>
        <v>0.43775735294117651</v>
      </c>
      <c r="M43" s="32">
        <f>ROUNDUP(L43,0)</f>
        <v>1</v>
      </c>
    </row>
    <row r="44" spans="1:25" outlineLevel="1" x14ac:dyDescent="0.3">
      <c r="A44" s="75"/>
      <c r="B44" s="110"/>
      <c r="C44" s="110"/>
      <c r="D44" s="110"/>
      <c r="E44" s="110"/>
      <c r="F44" s="110"/>
      <c r="G44" s="110"/>
    </row>
    <row r="45" spans="1:25" ht="15.6" outlineLevel="1" x14ac:dyDescent="0.35">
      <c r="A45" s="75"/>
      <c r="B45" s="110"/>
      <c r="C45" s="110"/>
      <c r="D45" s="110"/>
      <c r="E45" s="110"/>
      <c r="F45" s="110"/>
      <c r="G45" s="110"/>
      <c r="I45" s="27" t="s">
        <v>186</v>
      </c>
      <c r="J45" s="16" t="s">
        <v>185</v>
      </c>
      <c r="K45" s="27"/>
      <c r="L45" s="27" t="s">
        <v>15</v>
      </c>
    </row>
    <row r="46" spans="1:25" outlineLevel="1" x14ac:dyDescent="0.3">
      <c r="A46" s="75"/>
      <c r="B46" s="110"/>
      <c r="C46" s="110"/>
      <c r="D46" s="110"/>
      <c r="E46" s="110"/>
      <c r="F46" s="110"/>
      <c r="G46" s="110"/>
      <c r="I46" s="28" t="s">
        <v>183</v>
      </c>
      <c r="J46" s="17" t="s">
        <v>92</v>
      </c>
      <c r="K46" s="30" t="s">
        <v>14</v>
      </c>
      <c r="L46" s="5" t="s">
        <v>184</v>
      </c>
    </row>
    <row r="47" spans="1:25" outlineLevel="1" x14ac:dyDescent="0.3">
      <c r="A47" s="75"/>
      <c r="B47" s="110"/>
      <c r="C47" s="110"/>
      <c r="D47" s="110"/>
      <c r="E47" s="110"/>
      <c r="F47" s="110"/>
      <c r="G47" s="110"/>
      <c r="I47" s="10">
        <v>60</v>
      </c>
      <c r="J47" s="9">
        <f>+M10*K1</f>
        <v>238.14000000000001</v>
      </c>
      <c r="K47" s="10">
        <v>1</v>
      </c>
      <c r="L47" s="31">
        <f>+J47/I47/8/K47</f>
        <v>0.49612500000000004</v>
      </c>
      <c r="M47" s="32">
        <f>ROUNDUP(L47,0)</f>
        <v>1</v>
      </c>
      <c r="V47">
        <v>1.7</v>
      </c>
      <c r="W47">
        <v>0.9</v>
      </c>
      <c r="X47">
        <v>1.3</v>
      </c>
      <c r="Y47">
        <f>+X47*W47*V47</f>
        <v>1.9890000000000001</v>
      </c>
    </row>
    <row r="49" spans="1:25" collapsed="1" x14ac:dyDescent="0.3">
      <c r="I49" s="18" t="s">
        <v>187</v>
      </c>
      <c r="J49" s="19"/>
      <c r="K49" s="19"/>
      <c r="L49" s="19"/>
      <c r="M49" s="19"/>
    </row>
    <row r="50" spans="1:25" hidden="1" outlineLevel="1" x14ac:dyDescent="0.3">
      <c r="A50" s="77">
        <v>0.6</v>
      </c>
      <c r="B50" s="110"/>
      <c r="C50" s="110"/>
      <c r="D50" s="110"/>
      <c r="E50" s="110"/>
      <c r="F50" s="110"/>
      <c r="G50" s="77">
        <v>1</v>
      </c>
    </row>
    <row r="51" spans="1:25" hidden="1" outlineLevel="1" x14ac:dyDescent="0.3">
      <c r="A51" t="s">
        <v>3</v>
      </c>
      <c r="B51" s="110"/>
      <c r="C51" s="110"/>
      <c r="D51" s="110"/>
      <c r="E51" s="110"/>
      <c r="F51" s="110"/>
      <c r="G51" t="s">
        <v>3</v>
      </c>
      <c r="I51" t="s">
        <v>58</v>
      </c>
      <c r="K51" t="s">
        <v>54</v>
      </c>
      <c r="M51" s="5" t="s">
        <v>55</v>
      </c>
    </row>
    <row r="52" spans="1:25" ht="15.6" hidden="1" outlineLevel="1" x14ac:dyDescent="0.35">
      <c r="B52" s="110"/>
      <c r="C52" s="110"/>
      <c r="D52" s="110"/>
      <c r="E52" s="110"/>
      <c r="F52" s="110"/>
      <c r="I52" s="5" t="s">
        <v>24</v>
      </c>
      <c r="J52" s="5" t="s">
        <v>87</v>
      </c>
      <c r="K52" s="5" t="s">
        <v>16</v>
      </c>
      <c r="L52" s="5" t="s">
        <v>18</v>
      </c>
      <c r="M52" s="5" t="s">
        <v>39</v>
      </c>
    </row>
    <row r="53" spans="1:25" hidden="1" outlineLevel="1" x14ac:dyDescent="0.3">
      <c r="A53" s="78">
        <v>2.1</v>
      </c>
      <c r="B53" s="110"/>
      <c r="C53" s="110"/>
      <c r="D53" s="110"/>
      <c r="E53" s="110"/>
      <c r="F53" s="110"/>
      <c r="I53" s="11">
        <f>+G57*G54*A55</f>
        <v>72</v>
      </c>
      <c r="J53" s="11">
        <f>+I53*K3/1000</f>
        <v>2.52</v>
      </c>
      <c r="K53" s="6">
        <v>1</v>
      </c>
      <c r="L53" s="11">
        <f>+M10/K53</f>
        <v>52.92</v>
      </c>
      <c r="M53" s="12">
        <f>+J10*K10/K53/I53</f>
        <v>21</v>
      </c>
    </row>
    <row r="54" spans="1:25" hidden="1" outlineLevel="1" x14ac:dyDescent="0.3">
      <c r="A54" s="5" t="s">
        <v>3</v>
      </c>
      <c r="B54" s="110"/>
      <c r="C54" s="110"/>
      <c r="D54" s="110"/>
      <c r="E54" s="110"/>
      <c r="F54" s="110"/>
      <c r="G54" s="6">
        <v>4</v>
      </c>
    </row>
    <row r="55" spans="1:25" hidden="1" outlineLevel="1" x14ac:dyDescent="0.3">
      <c r="A55" s="7">
        <v>3</v>
      </c>
      <c r="B55" s="110"/>
      <c r="C55" s="110"/>
      <c r="D55" s="110"/>
      <c r="E55" s="110"/>
      <c r="F55" s="110"/>
    </row>
    <row r="56" spans="1:25" hidden="1" outlineLevel="1" x14ac:dyDescent="0.3">
      <c r="A56" s="22" t="s">
        <v>37</v>
      </c>
      <c r="B56" s="110"/>
      <c r="C56" s="110"/>
      <c r="D56" s="110"/>
      <c r="E56" s="110"/>
      <c r="F56" s="110"/>
    </row>
    <row r="57" spans="1:25" hidden="1" outlineLevel="1" x14ac:dyDescent="0.3">
      <c r="B57" s="110"/>
      <c r="C57" s="110"/>
      <c r="D57" s="110"/>
      <c r="E57" s="110"/>
      <c r="F57" s="110"/>
      <c r="G57" s="79">
        <v>6</v>
      </c>
    </row>
    <row r="58" spans="1:25" x14ac:dyDescent="0.3">
      <c r="B58" s="5"/>
      <c r="C58" s="5"/>
      <c r="D58" s="5"/>
      <c r="E58" s="5"/>
      <c r="F58" s="5"/>
    </row>
    <row r="59" spans="1:25" x14ac:dyDescent="0.3">
      <c r="I59" s="18" t="s">
        <v>189</v>
      </c>
      <c r="J59" s="19"/>
      <c r="K59" s="19"/>
      <c r="L59" s="19"/>
      <c r="M59" s="19"/>
      <c r="S59" t="s">
        <v>292</v>
      </c>
      <c r="T59">
        <v>45</v>
      </c>
      <c r="U59" t="s">
        <v>293</v>
      </c>
      <c r="V59">
        <f>+T59*5</f>
        <v>225</v>
      </c>
    </row>
    <row r="60" spans="1:25" outlineLevel="1" x14ac:dyDescent="0.3">
      <c r="A60" s="77">
        <v>0.68</v>
      </c>
      <c r="C60" s="77">
        <v>0.52</v>
      </c>
      <c r="D60" t="s">
        <v>3</v>
      </c>
      <c r="F60" s="5"/>
      <c r="G60" s="5"/>
      <c r="H60" s="5"/>
    </row>
    <row r="61" spans="1:25" outlineLevel="1" x14ac:dyDescent="0.3">
      <c r="A61" t="s">
        <v>3</v>
      </c>
      <c r="B61" s="110"/>
      <c r="C61" s="110"/>
      <c r="D61" s="110"/>
      <c r="E61" s="110"/>
      <c r="F61" s="85">
        <v>1.2</v>
      </c>
      <c r="G61" s="5" t="s">
        <v>188</v>
      </c>
      <c r="H61" s="5"/>
      <c r="S61" s="105" t="s">
        <v>288</v>
      </c>
      <c r="T61" s="106">
        <f>+O10</f>
        <v>238.14000000000001</v>
      </c>
      <c r="U61" s="105" t="s">
        <v>285</v>
      </c>
    </row>
    <row r="62" spans="1:25" outlineLevel="1" x14ac:dyDescent="0.3">
      <c r="B62" s="110"/>
      <c r="C62" s="110"/>
      <c r="D62" s="110"/>
      <c r="E62" s="110"/>
      <c r="F62" s="5"/>
      <c r="G62" s="5"/>
      <c r="H62" s="5"/>
      <c r="I62" t="s">
        <v>58</v>
      </c>
      <c r="K62" t="s">
        <v>54</v>
      </c>
      <c r="M62" s="5" t="s">
        <v>55</v>
      </c>
      <c r="S62" s="105" t="s">
        <v>284</v>
      </c>
      <c r="T62" s="104">
        <v>990</v>
      </c>
      <c r="U62" s="103"/>
      <c r="V62" s="102">
        <v>770</v>
      </c>
      <c r="W62" s="104"/>
      <c r="X62" s="105">
        <v>570</v>
      </c>
    </row>
    <row r="63" spans="1:25" ht="15.6" outlineLevel="1" x14ac:dyDescent="0.35">
      <c r="A63" s="85">
        <v>2</v>
      </c>
      <c r="B63" s="110"/>
      <c r="C63" s="110"/>
      <c r="D63" s="110"/>
      <c r="E63" s="110"/>
      <c r="I63" s="91" t="s">
        <v>201</v>
      </c>
      <c r="J63" s="5" t="s">
        <v>111</v>
      </c>
      <c r="K63" s="5" t="s">
        <v>16</v>
      </c>
      <c r="L63" s="5" t="s">
        <v>18</v>
      </c>
      <c r="M63" s="5" t="s">
        <v>39</v>
      </c>
      <c r="S63" t="s">
        <v>289</v>
      </c>
      <c r="T63">
        <f>0.6*0.4</f>
        <v>0.24</v>
      </c>
      <c r="V63">
        <f>0.6*0.4</f>
        <v>0.24</v>
      </c>
      <c r="X63" s="105">
        <f>0.6*0.47</f>
        <v>0.28199999999999997</v>
      </c>
    </row>
    <row r="64" spans="1:25" outlineLevel="1" x14ac:dyDescent="0.3">
      <c r="A64" s="5" t="s">
        <v>3</v>
      </c>
      <c r="B64" s="110"/>
      <c r="C64" s="110"/>
      <c r="D64" s="110"/>
      <c r="E64" s="110"/>
      <c r="F64" s="80"/>
      <c r="I64" s="81">
        <f>+K2*F61/100*A60*C60*K1</f>
        <v>0.76377600000000012</v>
      </c>
      <c r="J64" s="81">
        <f>+K2*F61/100*A60*C60</f>
        <v>0.16972800000000002</v>
      </c>
      <c r="K64" s="6">
        <v>1</v>
      </c>
      <c r="L64" s="11">
        <f>+M10/K64</f>
        <v>52.92</v>
      </c>
      <c r="M64" s="12">
        <f>+L64/J64/A65</f>
        <v>15.589649321266966</v>
      </c>
      <c r="O64">
        <f>0.18*20</f>
        <v>3.5999999999999996</v>
      </c>
      <c r="S64" t="s">
        <v>291</v>
      </c>
      <c r="T64">
        <v>26</v>
      </c>
      <c r="V64">
        <v>26</v>
      </c>
      <c r="X64" s="105">
        <v>40</v>
      </c>
      <c r="Y64" t="s">
        <v>305</v>
      </c>
    </row>
    <row r="65" spans="1:24" outlineLevel="1" x14ac:dyDescent="0.3">
      <c r="A65" s="7">
        <v>20</v>
      </c>
      <c r="B65" s="22" t="s">
        <v>37</v>
      </c>
      <c r="G65" s="5"/>
      <c r="M65" s="5"/>
      <c r="N65" s="5"/>
      <c r="O65">
        <f>+O64*1000/40</f>
        <v>89.999999999999986</v>
      </c>
      <c r="P65">
        <f>+O65/20</f>
        <v>4.4999999999999991</v>
      </c>
      <c r="S65" t="s">
        <v>290</v>
      </c>
      <c r="T65">
        <v>72</v>
      </c>
      <c r="V65">
        <v>48</v>
      </c>
      <c r="X65" s="105">
        <v>104</v>
      </c>
    </row>
    <row r="66" spans="1:24" outlineLevel="1" x14ac:dyDescent="0.3">
      <c r="A66" s="7"/>
      <c r="B66" s="22"/>
      <c r="G66" s="5"/>
      <c r="M66" s="5"/>
      <c r="N66" s="5"/>
      <c r="S66" t="s">
        <v>294</v>
      </c>
      <c r="T66">
        <f>+T65*T64*T63</f>
        <v>449.28</v>
      </c>
      <c r="V66">
        <f>+V65*V64*V63</f>
        <v>299.52</v>
      </c>
      <c r="X66" s="105">
        <f>+X65*X64*X63</f>
        <v>1173.1199999999999</v>
      </c>
    </row>
    <row r="67" spans="1:24" outlineLevel="1" x14ac:dyDescent="0.3">
      <c r="I67" s="18" t="s">
        <v>283</v>
      </c>
      <c r="J67" s="19"/>
      <c r="K67" s="19"/>
      <c r="L67" s="19"/>
      <c r="M67" s="19"/>
      <c r="S67" s="105" t="s">
        <v>287</v>
      </c>
      <c r="T67" s="105">
        <v>250</v>
      </c>
      <c r="U67" s="106">
        <f>+T67*2/3</f>
        <v>166.66666666666666</v>
      </c>
      <c r="V67" s="105">
        <v>150</v>
      </c>
      <c r="W67" s="102">
        <f>+V67*2/3</f>
        <v>100</v>
      </c>
      <c r="X67" s="105">
        <f>+X66*V59/1000</f>
        <v>263.952</v>
      </c>
    </row>
    <row r="68" spans="1:24" outlineLevel="1" x14ac:dyDescent="0.3">
      <c r="A68" s="77">
        <v>0.6</v>
      </c>
      <c r="C68" s="77">
        <v>0.4</v>
      </c>
      <c r="D68" t="s">
        <v>3</v>
      </c>
      <c r="F68" s="5"/>
      <c r="G68" s="5"/>
      <c r="H68" s="5"/>
      <c r="S68" s="105" t="s">
        <v>286</v>
      </c>
      <c r="T68" s="107">
        <f>+T61/T67</f>
        <v>0.95256000000000007</v>
      </c>
      <c r="U68" s="107">
        <f>+T61/U67</f>
        <v>1.4288400000000001</v>
      </c>
      <c r="V68" s="107">
        <f>+T61/V67</f>
        <v>1.5876000000000001</v>
      </c>
      <c r="W68" s="102">
        <f>+T61/W67</f>
        <v>2.3814000000000002</v>
      </c>
      <c r="X68" s="105"/>
    </row>
    <row r="69" spans="1:24" outlineLevel="1" x14ac:dyDescent="0.3">
      <c r="A69" t="s">
        <v>3</v>
      </c>
      <c r="B69" s="110"/>
      <c r="C69" s="110"/>
      <c r="D69" s="110"/>
      <c r="E69" s="110"/>
      <c r="F69" s="85">
        <v>3.7</v>
      </c>
      <c r="G69" s="5" t="s">
        <v>188</v>
      </c>
      <c r="H69" s="5"/>
    </row>
    <row r="70" spans="1:24" outlineLevel="1" x14ac:dyDescent="0.3">
      <c r="B70" s="110"/>
      <c r="C70" s="110"/>
      <c r="D70" s="110"/>
      <c r="E70" s="110"/>
      <c r="F70" s="5"/>
      <c r="G70" s="5"/>
      <c r="H70" s="5"/>
      <c r="I70" t="s">
        <v>58</v>
      </c>
      <c r="K70" t="s">
        <v>54</v>
      </c>
      <c r="M70" s="5" t="s">
        <v>55</v>
      </c>
    </row>
    <row r="71" spans="1:24" ht="15.6" outlineLevel="1" x14ac:dyDescent="0.35">
      <c r="A71" s="101">
        <v>12</v>
      </c>
      <c r="B71" s="110"/>
      <c r="C71" s="110"/>
      <c r="D71" s="110"/>
      <c r="E71" s="110"/>
      <c r="I71" s="91" t="s">
        <v>201</v>
      </c>
      <c r="J71" s="5" t="s">
        <v>111</v>
      </c>
      <c r="K71" s="5" t="s">
        <v>16</v>
      </c>
      <c r="L71" s="5" t="s">
        <v>18</v>
      </c>
      <c r="M71" s="5" t="s">
        <v>39</v>
      </c>
    </row>
    <row r="72" spans="1:24" outlineLevel="1" x14ac:dyDescent="0.3">
      <c r="A72" s="5"/>
      <c r="B72" s="110"/>
      <c r="C72" s="110"/>
      <c r="D72" s="110"/>
      <c r="E72" s="110"/>
      <c r="F72" s="80"/>
      <c r="I72" s="81">
        <f>+K2*F69/100*A68*C68*K1</f>
        <v>1.5984</v>
      </c>
      <c r="J72" s="81">
        <f>+K3*F69/100*A68*C68</f>
        <v>0.31079999999999997</v>
      </c>
      <c r="K72" s="6">
        <v>1</v>
      </c>
      <c r="L72" s="11">
        <f>+M18/K72</f>
        <v>0</v>
      </c>
      <c r="M72" s="12">
        <f>+L72/J72/A73</f>
        <v>0</v>
      </c>
    </row>
    <row r="73" spans="1:24" x14ac:dyDescent="0.3">
      <c r="A73" s="7">
        <v>7</v>
      </c>
      <c r="B73" s="22"/>
      <c r="G73" s="5"/>
      <c r="M73" s="5"/>
      <c r="N73" s="5"/>
      <c r="P73" s="5">
        <f>4*P65</f>
        <v>17.999999999999996</v>
      </c>
    </row>
    <row r="74" spans="1:24" x14ac:dyDescent="0.3">
      <c r="B74" s="5"/>
      <c r="C74" s="5"/>
      <c r="D74" s="5"/>
      <c r="E74" s="5"/>
      <c r="F74" s="5"/>
      <c r="I74" s="18" t="s">
        <v>195</v>
      </c>
      <c r="J74" s="19"/>
      <c r="K74" s="19"/>
      <c r="L74" s="19"/>
      <c r="M74" s="19"/>
      <c r="P74">
        <f>50*20</f>
        <v>1000</v>
      </c>
    </row>
    <row r="75" spans="1:24" outlineLevel="1" x14ac:dyDescent="0.3">
      <c r="G75" s="5" t="s">
        <v>53</v>
      </c>
      <c r="I75" s="22" t="s">
        <v>20</v>
      </c>
      <c r="J75" t="s">
        <v>21</v>
      </c>
      <c r="K75" t="s">
        <v>23</v>
      </c>
      <c r="L75" t="s">
        <v>21</v>
      </c>
      <c r="M75" s="45" t="s">
        <v>113</v>
      </c>
      <c r="P75">
        <f>+P74/4</f>
        <v>250</v>
      </c>
    </row>
    <row r="76" spans="1:24" outlineLevel="1" x14ac:dyDescent="0.3">
      <c r="G76" s="6">
        <f>14*4</f>
        <v>56</v>
      </c>
      <c r="I76" t="s">
        <v>12</v>
      </c>
      <c r="J76" t="s">
        <v>22</v>
      </c>
      <c r="L76" t="s">
        <v>2</v>
      </c>
      <c r="M76" t="s">
        <v>114</v>
      </c>
    </row>
    <row r="77" spans="1:24" outlineLevel="1" x14ac:dyDescent="0.3">
      <c r="G77" s="5" t="s">
        <v>2</v>
      </c>
      <c r="I77" s="4">
        <v>2</v>
      </c>
      <c r="J77" s="3">
        <f>I77*K64/L16</f>
        <v>0.4</v>
      </c>
      <c r="K77" s="4">
        <v>1</v>
      </c>
      <c r="L77" s="3">
        <f>+G76*J77</f>
        <v>22.400000000000002</v>
      </c>
      <c r="M77" s="3">
        <f>+G76</f>
        <v>56</v>
      </c>
    </row>
    <row r="78" spans="1:24" outlineLevel="1" x14ac:dyDescent="0.3">
      <c r="F78" s="5"/>
      <c r="I78" t="s">
        <v>235</v>
      </c>
      <c r="K78" t="s">
        <v>236</v>
      </c>
    </row>
    <row r="80" spans="1:24" collapsed="1" x14ac:dyDescent="0.3">
      <c r="I80" s="18" t="s">
        <v>26</v>
      </c>
      <c r="J80" s="19"/>
      <c r="K80" s="19"/>
      <c r="L80" s="19"/>
      <c r="M80" s="19"/>
    </row>
    <row r="81" spans="1:13" hidden="1" outlineLevel="1" x14ac:dyDescent="0.3">
      <c r="J81" s="5" t="s">
        <v>57</v>
      </c>
      <c r="K81" s="5" t="s">
        <v>227</v>
      </c>
      <c r="L81" s="5"/>
    </row>
    <row r="82" spans="1:13" hidden="1" outlineLevel="1" x14ac:dyDescent="0.3">
      <c r="I82" s="22" t="s">
        <v>52</v>
      </c>
      <c r="J82" s="26" t="s">
        <v>56</v>
      </c>
      <c r="K82" s="26" t="s">
        <v>56</v>
      </c>
      <c r="L82" s="5" t="s">
        <v>14</v>
      </c>
      <c r="M82" s="5" t="s">
        <v>89</v>
      </c>
    </row>
    <row r="83" spans="1:13" hidden="1" outlineLevel="1" x14ac:dyDescent="0.3">
      <c r="I83" s="10">
        <v>25</v>
      </c>
      <c r="J83" s="11">
        <f>8*60/I83</f>
        <v>19.2</v>
      </c>
      <c r="K83" s="3">
        <f>+J83*K3</f>
        <v>672</v>
      </c>
      <c r="L83" s="10">
        <v>6</v>
      </c>
      <c r="M83" s="12">
        <f>+J10*K10/J83/L83</f>
        <v>13.125</v>
      </c>
    </row>
    <row r="84" spans="1:13" x14ac:dyDescent="0.3">
      <c r="L84" s="40"/>
    </row>
    <row r="85" spans="1:13" collapsed="1" x14ac:dyDescent="0.3">
      <c r="A85" s="75"/>
      <c r="C85" s="5"/>
      <c r="D85" s="5"/>
      <c r="E85" s="5"/>
      <c r="F85" s="5"/>
      <c r="I85" s="18" t="s">
        <v>190</v>
      </c>
      <c r="J85" s="19"/>
      <c r="K85" s="19"/>
      <c r="L85" s="19"/>
      <c r="M85" s="19"/>
    </row>
    <row r="86" spans="1:13" ht="15.6" hidden="1" outlineLevel="1" x14ac:dyDescent="0.35">
      <c r="A86" s="75"/>
      <c r="B86" s="110"/>
      <c r="C86" s="110"/>
      <c r="D86" s="110"/>
      <c r="E86" s="110"/>
      <c r="F86" s="110"/>
      <c r="G86" s="110"/>
      <c r="I86" s="27" t="s">
        <v>182</v>
      </c>
      <c r="J86" s="16" t="s">
        <v>192</v>
      </c>
      <c r="K86" s="27"/>
      <c r="L86" s="27" t="s">
        <v>15</v>
      </c>
    </row>
    <row r="87" spans="1:13" hidden="1" outlineLevel="1" x14ac:dyDescent="0.3">
      <c r="A87" s="75"/>
      <c r="B87" s="110"/>
      <c r="C87" s="110"/>
      <c r="D87" s="110"/>
      <c r="E87" s="110"/>
      <c r="F87" s="110"/>
      <c r="G87" s="110"/>
      <c r="I87" s="28" t="s">
        <v>183</v>
      </c>
      <c r="J87" s="17" t="s">
        <v>92</v>
      </c>
      <c r="K87" s="30" t="s">
        <v>14</v>
      </c>
      <c r="L87" s="5" t="s">
        <v>184</v>
      </c>
    </row>
    <row r="88" spans="1:13" hidden="1" outlineLevel="1" x14ac:dyDescent="0.3">
      <c r="A88" s="75"/>
      <c r="B88" s="110"/>
      <c r="C88" s="110"/>
      <c r="D88" s="110"/>
      <c r="E88" s="110"/>
      <c r="F88" s="110"/>
      <c r="G88" s="110"/>
      <c r="I88" s="89">
        <f>68/4.5</f>
        <v>15.111111111111111</v>
      </c>
      <c r="J88" s="9">
        <f>+M10</f>
        <v>52.92</v>
      </c>
      <c r="K88" s="10">
        <v>1</v>
      </c>
      <c r="L88" s="31">
        <f>+J88/I88/8/K88</f>
        <v>0.43775735294117651</v>
      </c>
      <c r="M88" s="32">
        <f>ROUNDUP(L88,0)</f>
        <v>1</v>
      </c>
    </row>
    <row r="89" spans="1:13" hidden="1" outlineLevel="1" x14ac:dyDescent="0.3">
      <c r="A89" s="75"/>
      <c r="B89" s="110"/>
      <c r="C89" s="110"/>
      <c r="D89" s="110"/>
      <c r="E89" s="110"/>
      <c r="F89" s="110"/>
      <c r="G89" s="110"/>
    </row>
    <row r="90" spans="1:13" ht="15.6" hidden="1" outlineLevel="1" x14ac:dyDescent="0.35">
      <c r="A90" s="75"/>
      <c r="B90" s="110"/>
      <c r="C90" s="110"/>
      <c r="D90" s="110"/>
      <c r="E90" s="110"/>
      <c r="F90" s="110"/>
      <c r="G90" s="110"/>
      <c r="I90" s="27" t="s">
        <v>186</v>
      </c>
      <c r="J90" s="16" t="s">
        <v>192</v>
      </c>
      <c r="K90" s="27"/>
      <c r="L90" s="27" t="s">
        <v>15</v>
      </c>
    </row>
    <row r="91" spans="1:13" hidden="1" outlineLevel="1" x14ac:dyDescent="0.3">
      <c r="A91" s="75"/>
      <c r="B91" s="110"/>
      <c r="C91" s="110"/>
      <c r="D91" s="110"/>
      <c r="E91" s="110"/>
      <c r="F91" s="110"/>
      <c r="G91" s="110"/>
      <c r="I91" s="28" t="s">
        <v>191</v>
      </c>
      <c r="J91" s="17" t="s">
        <v>92</v>
      </c>
      <c r="K91" s="30" t="s">
        <v>14</v>
      </c>
      <c r="L91" s="5" t="s">
        <v>184</v>
      </c>
    </row>
    <row r="92" spans="1:13" hidden="1" outlineLevel="1" x14ac:dyDescent="0.3">
      <c r="A92" s="75"/>
      <c r="B92" s="110"/>
      <c r="C92" s="110"/>
      <c r="D92" s="110"/>
      <c r="E92" s="110"/>
      <c r="F92" s="110"/>
      <c r="G92" s="110"/>
      <c r="I92" s="10">
        <v>5</v>
      </c>
      <c r="J92" s="9">
        <f>+M10</f>
        <v>52.92</v>
      </c>
      <c r="K92" s="10">
        <v>2</v>
      </c>
      <c r="L92" s="31">
        <f>+J92/I92/8/K92</f>
        <v>0.66149999999999998</v>
      </c>
      <c r="M92" s="32">
        <f>ROUNDUP(L92,0)</f>
        <v>1</v>
      </c>
    </row>
    <row r="93" spans="1:13" x14ac:dyDescent="0.3">
      <c r="A93" s="75"/>
      <c r="C93" s="5"/>
      <c r="D93" s="5"/>
      <c r="E93" s="5"/>
      <c r="F93" s="5"/>
      <c r="I93" s="5"/>
      <c r="J93" s="5"/>
      <c r="K93" s="5"/>
      <c r="L93" s="86"/>
      <c r="M93" s="40"/>
    </row>
    <row r="94" spans="1:13" collapsed="1" x14ac:dyDescent="0.3">
      <c r="I94" s="18" t="s">
        <v>25</v>
      </c>
      <c r="J94" s="19"/>
      <c r="K94" s="19"/>
      <c r="L94" s="19"/>
      <c r="M94" s="19"/>
    </row>
    <row r="95" spans="1:13" hidden="1" outlineLevel="1" x14ac:dyDescent="0.3">
      <c r="D95" s="36">
        <v>5</v>
      </c>
      <c r="E95" t="s">
        <v>71</v>
      </c>
    </row>
    <row r="96" spans="1:13" hidden="1" outlineLevel="1" x14ac:dyDescent="0.3">
      <c r="D96" s="82">
        <v>4.7</v>
      </c>
      <c r="E96" t="s">
        <v>72</v>
      </c>
      <c r="I96" t="s">
        <v>67</v>
      </c>
    </row>
    <row r="97" spans="1:13" hidden="1" outlineLevel="1" x14ac:dyDescent="0.3">
      <c r="D97" s="83">
        <f>+D96*K2</f>
        <v>188</v>
      </c>
      <c r="E97" s="84" t="s">
        <v>88</v>
      </c>
      <c r="I97" s="5" t="s">
        <v>68</v>
      </c>
      <c r="J97" s="5" t="s">
        <v>1</v>
      </c>
      <c r="L97" s="33"/>
    </row>
    <row r="98" spans="1:13" hidden="1" outlineLevel="1" x14ac:dyDescent="0.3">
      <c r="A98" s="77">
        <v>0.6</v>
      </c>
      <c r="B98" s="111"/>
      <c r="C98" s="111"/>
      <c r="D98" s="111"/>
      <c r="E98" s="111"/>
      <c r="I98" s="11">
        <f>+F107*G107*A103</f>
        <v>162</v>
      </c>
      <c r="J98" s="11">
        <f>+I98*D96*K2/1000</f>
        <v>30.456</v>
      </c>
    </row>
    <row r="99" spans="1:13" hidden="1" outlineLevel="1" x14ac:dyDescent="0.3">
      <c r="A99" t="s">
        <v>3</v>
      </c>
      <c r="B99" s="111"/>
      <c r="C99" s="111"/>
      <c r="D99" s="111"/>
      <c r="E99" s="111"/>
      <c r="G99" s="77">
        <v>1.5</v>
      </c>
    </row>
    <row r="100" spans="1:13" hidden="1" outlineLevel="1" x14ac:dyDescent="0.3">
      <c r="B100" s="111"/>
      <c r="C100" s="111"/>
      <c r="D100" s="111"/>
      <c r="E100" s="111"/>
      <c r="G100" t="s">
        <v>3</v>
      </c>
      <c r="I100" s="27" t="s">
        <v>27</v>
      </c>
      <c r="J100" s="27"/>
      <c r="K100" s="90" t="s">
        <v>29</v>
      </c>
      <c r="L100" s="27"/>
      <c r="M100" s="27" t="s">
        <v>104</v>
      </c>
    </row>
    <row r="101" spans="1:13" hidden="1" outlineLevel="1" x14ac:dyDescent="0.3">
      <c r="A101" s="85">
        <v>2</v>
      </c>
      <c r="B101" s="111"/>
      <c r="C101" s="111"/>
      <c r="D101" s="111"/>
      <c r="E101" s="111"/>
      <c r="I101" s="17" t="s">
        <v>12</v>
      </c>
      <c r="J101" s="17" t="s">
        <v>28</v>
      </c>
      <c r="K101" s="17" t="s">
        <v>0</v>
      </c>
      <c r="L101" s="17" t="s">
        <v>86</v>
      </c>
      <c r="M101" s="17"/>
    </row>
    <row r="102" spans="1:13" hidden="1" outlineLevel="1" x14ac:dyDescent="0.3">
      <c r="A102" s="5" t="s">
        <v>3</v>
      </c>
      <c r="B102" s="111"/>
      <c r="C102" s="111"/>
      <c r="D102" s="111"/>
      <c r="E102" s="111"/>
      <c r="I102" s="6">
        <v>2</v>
      </c>
      <c r="J102" s="25">
        <f>+M10*I102/L15/J98</f>
        <v>4.9645390070921991</v>
      </c>
      <c r="K102" s="25">
        <f>+J102*A98*G99</f>
        <v>4.4680851063829792</v>
      </c>
      <c r="L102" s="25">
        <f>+K102*3/2</f>
        <v>6.7021276595744688</v>
      </c>
      <c r="M102" s="44">
        <f>+M10/D97*1000*I102/L15</f>
        <v>804.25531914893622</v>
      </c>
    </row>
    <row r="103" spans="1:13" hidden="1" outlineLevel="1" x14ac:dyDescent="0.3">
      <c r="A103" s="7">
        <v>6</v>
      </c>
      <c r="B103" s="111"/>
      <c r="C103" s="111"/>
      <c r="D103" s="111"/>
      <c r="E103" s="111"/>
      <c r="I103" s="5"/>
      <c r="J103" s="46"/>
      <c r="K103" s="40"/>
      <c r="L103" s="40"/>
    </row>
    <row r="104" spans="1:13" hidden="1" outlineLevel="1" x14ac:dyDescent="0.3">
      <c r="A104" s="22" t="s">
        <v>37</v>
      </c>
      <c r="B104" s="111"/>
      <c r="C104" s="111"/>
      <c r="D104" s="111"/>
      <c r="E104" s="111"/>
      <c r="I104" s="5"/>
      <c r="J104" s="40"/>
      <c r="K104" s="40"/>
      <c r="L104" s="40"/>
    </row>
    <row r="105" spans="1:13" x14ac:dyDescent="0.3">
      <c r="I105" s="5"/>
      <c r="J105" s="40"/>
      <c r="K105" s="40"/>
      <c r="L105" s="40"/>
    </row>
    <row r="106" spans="1:13" x14ac:dyDescent="0.3">
      <c r="I106" s="18" t="s">
        <v>112</v>
      </c>
      <c r="J106" s="19"/>
      <c r="K106" s="19"/>
      <c r="L106" s="19"/>
      <c r="M106" s="19"/>
    </row>
    <row r="107" spans="1:13" outlineLevel="1" x14ac:dyDescent="0.3">
      <c r="A107" s="110"/>
      <c r="B107" s="110"/>
      <c r="C107" s="110"/>
      <c r="D107" s="110"/>
      <c r="E107" s="110"/>
      <c r="F107" s="6">
        <v>9</v>
      </c>
      <c r="G107" s="4">
        <v>3</v>
      </c>
      <c r="I107" s="5"/>
      <c r="J107" s="40"/>
      <c r="K107" s="40"/>
      <c r="L107" s="40"/>
    </row>
    <row r="108" spans="1:13" outlineLevel="1" x14ac:dyDescent="0.3">
      <c r="A108" s="110"/>
      <c r="B108" s="110"/>
      <c r="C108" s="110"/>
      <c r="D108" s="110"/>
      <c r="E108" s="110"/>
      <c r="F108" s="5" t="s">
        <v>51</v>
      </c>
      <c r="G108" s="21" t="s">
        <v>51</v>
      </c>
      <c r="I108" s="5" t="s">
        <v>193</v>
      </c>
      <c r="J108" s="5" t="s">
        <v>115</v>
      </c>
      <c r="K108" t="s">
        <v>116</v>
      </c>
      <c r="L108" s="40" t="s">
        <v>14</v>
      </c>
      <c r="M108" s="40" t="s">
        <v>117</v>
      </c>
    </row>
    <row r="109" spans="1:13" outlineLevel="1" x14ac:dyDescent="0.3">
      <c r="A109" s="110"/>
      <c r="B109" s="110"/>
      <c r="C109" s="110"/>
      <c r="D109" s="110"/>
      <c r="E109" s="110"/>
      <c r="I109" s="25">
        <f>+F107*G107</f>
        <v>27</v>
      </c>
      <c r="J109" s="25">
        <f>+M10/J98*I98</f>
        <v>281.48936170212767</v>
      </c>
      <c r="K109" s="6">
        <v>60</v>
      </c>
      <c r="L109" s="6">
        <v>1</v>
      </c>
      <c r="M109" s="25">
        <f>+J109/I109*K109/60/8/L109</f>
        <v>1.3031914893617023</v>
      </c>
    </row>
    <row r="111" spans="1:13" x14ac:dyDescent="0.3">
      <c r="I111" s="18" t="s">
        <v>30</v>
      </c>
      <c r="J111" s="19"/>
      <c r="K111" s="19"/>
      <c r="L111" s="19"/>
      <c r="M111" s="19"/>
    </row>
    <row r="112" spans="1:13" outlineLevel="1" x14ac:dyDescent="0.3">
      <c r="B112" s="110"/>
      <c r="C112" s="110"/>
      <c r="D112" s="110"/>
      <c r="G112" s="5"/>
      <c r="H112" s="21"/>
      <c r="I112" s="27"/>
      <c r="J112" s="27" t="s">
        <v>13</v>
      </c>
      <c r="K112" s="27" t="s">
        <v>69</v>
      </c>
      <c r="L112" s="27"/>
      <c r="M112" s="27" t="s">
        <v>15</v>
      </c>
    </row>
    <row r="113" spans="2:14" outlineLevel="1" x14ac:dyDescent="0.3">
      <c r="B113" s="110"/>
      <c r="C113" s="110"/>
      <c r="D113" s="110"/>
      <c r="G113" s="5"/>
      <c r="H113" s="21"/>
      <c r="I113" s="17" t="s">
        <v>31</v>
      </c>
      <c r="J113" s="17" t="s">
        <v>32</v>
      </c>
      <c r="K113" s="17" t="s">
        <v>70</v>
      </c>
      <c r="L113" s="17" t="s">
        <v>14</v>
      </c>
      <c r="M113" s="5" t="s">
        <v>89</v>
      </c>
    </row>
    <row r="114" spans="2:14" outlineLevel="1" x14ac:dyDescent="0.3">
      <c r="B114" s="110"/>
      <c r="C114" s="110"/>
      <c r="D114" s="110"/>
      <c r="G114" s="5"/>
      <c r="H114" s="21"/>
      <c r="I114" s="10">
        <v>500</v>
      </c>
      <c r="J114" s="10">
        <v>1</v>
      </c>
      <c r="K114" s="9">
        <f>8*60/J114</f>
        <v>480</v>
      </c>
      <c r="L114" s="10">
        <v>1</v>
      </c>
      <c r="M114" s="31">
        <f>+M10/I114*1000/K114/L114</f>
        <v>0.2205</v>
      </c>
    </row>
    <row r="115" spans="2:14" outlineLevel="1" x14ac:dyDescent="0.3">
      <c r="B115" s="110"/>
      <c r="C115" s="110"/>
      <c r="D115" s="110"/>
      <c r="G115" s="5"/>
      <c r="H115" s="21"/>
      <c r="I115" s="5"/>
      <c r="J115" s="5"/>
      <c r="K115" s="5"/>
      <c r="L115" s="5"/>
      <c r="M115" s="86"/>
    </row>
    <row r="116" spans="2:14" x14ac:dyDescent="0.3">
      <c r="G116" s="5"/>
      <c r="H116" s="21"/>
    </row>
    <row r="117" spans="2:14" x14ac:dyDescent="0.3">
      <c r="G117" s="5"/>
      <c r="H117" s="21"/>
      <c r="I117" s="18" t="s">
        <v>33</v>
      </c>
      <c r="J117" s="19"/>
      <c r="K117" s="19"/>
      <c r="L117" s="19"/>
      <c r="M117" s="19"/>
      <c r="N117" s="2">
        <f>ROUNDUP(M114,0)</f>
        <v>1</v>
      </c>
    </row>
    <row r="118" spans="2:14" outlineLevel="1" x14ac:dyDescent="0.3">
      <c r="G118" s="5"/>
      <c r="H118" s="21"/>
      <c r="I118" s="16" t="s">
        <v>34</v>
      </c>
      <c r="J118" s="16" t="s">
        <v>17</v>
      </c>
      <c r="K118" s="16" t="s">
        <v>43</v>
      </c>
      <c r="L118" s="16" t="s">
        <v>17</v>
      </c>
    </row>
    <row r="119" spans="2:14" outlineLevel="1" x14ac:dyDescent="0.3">
      <c r="G119" s="5"/>
      <c r="H119" s="21"/>
      <c r="I119" s="17" t="s">
        <v>40</v>
      </c>
      <c r="J119" s="17" t="s">
        <v>41</v>
      </c>
      <c r="K119" s="17" t="s">
        <v>198</v>
      </c>
      <c r="L119" s="17" t="s">
        <v>42</v>
      </c>
    </row>
    <row r="120" spans="2:14" outlineLevel="1" x14ac:dyDescent="0.3">
      <c r="F120" s="85">
        <v>1.2</v>
      </c>
      <c r="H120" s="21"/>
      <c r="I120" s="34">
        <v>0.65</v>
      </c>
      <c r="J120" s="35">
        <f>+F120*0.8*1.2*K2*I120</f>
        <v>29.951999999999998</v>
      </c>
      <c r="K120" s="35">
        <f>+M10/J120</f>
        <v>1.7668269230769234</v>
      </c>
      <c r="L120" s="10">
        <f>+G126*C129*G129</f>
        <v>9</v>
      </c>
    </row>
    <row r="121" spans="2:14" outlineLevel="1" x14ac:dyDescent="0.3">
      <c r="F121" s="5" t="s">
        <v>3</v>
      </c>
      <c r="G121" s="5"/>
    </row>
    <row r="122" spans="2:14" outlineLevel="1" x14ac:dyDescent="0.3">
      <c r="F122" s="5" t="s">
        <v>197</v>
      </c>
    </row>
    <row r="123" spans="2:14" outlineLevel="1" x14ac:dyDescent="0.3"/>
    <row r="124" spans="2:14" outlineLevel="1" x14ac:dyDescent="0.3">
      <c r="I124" s="88" t="s">
        <v>17</v>
      </c>
    </row>
    <row r="125" spans="2:14" outlineLevel="1" x14ac:dyDescent="0.3">
      <c r="I125" s="27" t="s">
        <v>199</v>
      </c>
      <c r="J125" s="16" t="s">
        <v>200</v>
      </c>
      <c r="K125" s="16"/>
      <c r="L125" s="14" t="s">
        <v>47</v>
      </c>
      <c r="M125" s="15" t="s">
        <v>46</v>
      </c>
    </row>
    <row r="126" spans="2:14" outlineLevel="1" x14ac:dyDescent="0.3">
      <c r="G126" s="7">
        <v>3</v>
      </c>
      <c r="H126" s="5"/>
      <c r="I126" s="17"/>
      <c r="J126" s="17"/>
      <c r="L126" s="13" t="s">
        <v>44</v>
      </c>
      <c r="M126" s="13" t="s">
        <v>45</v>
      </c>
    </row>
    <row r="127" spans="2:14" outlineLevel="1" x14ac:dyDescent="0.3">
      <c r="G127" s="22" t="s">
        <v>37</v>
      </c>
      <c r="H127" s="5"/>
      <c r="I127" s="35">
        <f>+L120/K120</f>
        <v>5.0938775510204071</v>
      </c>
      <c r="J127" s="35">
        <f>+I127*L16</f>
        <v>25.469387755102034</v>
      </c>
      <c r="L127" s="10">
        <f>23*2</f>
        <v>46</v>
      </c>
      <c r="M127" s="10">
        <f>11*2</f>
        <v>22</v>
      </c>
    </row>
    <row r="128" spans="2:14" outlineLevel="1" x14ac:dyDescent="0.3"/>
    <row r="129" spans="3:7" outlineLevel="1" x14ac:dyDescent="0.3">
      <c r="C129" s="23">
        <v>3</v>
      </c>
      <c r="D129" s="24" t="s">
        <v>42</v>
      </c>
      <c r="G129" s="4">
        <v>1</v>
      </c>
    </row>
  </sheetData>
  <mergeCells count="11">
    <mergeCell ref="C7:F13"/>
    <mergeCell ref="A24:E27"/>
    <mergeCell ref="B30:E32"/>
    <mergeCell ref="B98:E104"/>
    <mergeCell ref="B112:D115"/>
    <mergeCell ref="B86:G92"/>
    <mergeCell ref="B41:G47"/>
    <mergeCell ref="A107:E109"/>
    <mergeCell ref="B50:F57"/>
    <mergeCell ref="B61:E64"/>
    <mergeCell ref="B69:E7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5720-2B8E-4CC1-B9CA-F233717875DE}">
  <dimension ref="B3:I40"/>
  <sheetViews>
    <sheetView workbookViewId="0">
      <selection activeCell="G12" sqref="G12"/>
    </sheetView>
  </sheetViews>
  <sheetFormatPr baseColWidth="10" defaultRowHeight="14.4" x14ac:dyDescent="0.3"/>
  <cols>
    <col min="2" max="2" width="31.109375" customWidth="1"/>
    <col min="4" max="4" width="6.109375" bestFit="1" customWidth="1"/>
    <col min="5" max="5" width="5.33203125" bestFit="1" customWidth="1"/>
    <col min="6" max="6" width="10.33203125" bestFit="1" customWidth="1"/>
    <col min="9" max="9" width="12.6640625" bestFit="1" customWidth="1"/>
  </cols>
  <sheetData>
    <row r="3" spans="2:6" x14ac:dyDescent="0.3">
      <c r="D3" t="s">
        <v>257</v>
      </c>
      <c r="F3" t="s">
        <v>256</v>
      </c>
    </row>
    <row r="4" spans="2:6" x14ac:dyDescent="0.3">
      <c r="B4" t="s">
        <v>244</v>
      </c>
      <c r="D4">
        <v>9500</v>
      </c>
      <c r="E4" t="s">
        <v>0</v>
      </c>
      <c r="F4">
        <v>4000</v>
      </c>
    </row>
    <row r="5" spans="2:6" x14ac:dyDescent="0.3">
      <c r="B5" t="s">
        <v>245</v>
      </c>
      <c r="D5">
        <v>450</v>
      </c>
      <c r="E5" t="s">
        <v>246</v>
      </c>
      <c r="F5">
        <v>250</v>
      </c>
    </row>
    <row r="7" spans="2:6" x14ac:dyDescent="0.3">
      <c r="B7" t="s">
        <v>239</v>
      </c>
    </row>
    <row r="8" spans="2:6" x14ac:dyDescent="0.3">
      <c r="B8" t="s">
        <v>240</v>
      </c>
      <c r="C8">
        <v>3</v>
      </c>
      <c r="D8">
        <v>560</v>
      </c>
      <c r="E8" t="s">
        <v>0</v>
      </c>
      <c r="F8">
        <v>6</v>
      </c>
    </row>
    <row r="9" spans="2:6" x14ac:dyDescent="0.3">
      <c r="B9" t="s">
        <v>241</v>
      </c>
      <c r="C9">
        <v>1</v>
      </c>
      <c r="D9">
        <v>500</v>
      </c>
      <c r="E9" t="s">
        <v>0</v>
      </c>
    </row>
    <row r="10" spans="2:6" x14ac:dyDescent="0.3">
      <c r="B10" t="s">
        <v>242</v>
      </c>
      <c r="C10">
        <v>1</v>
      </c>
      <c r="D10">
        <v>250</v>
      </c>
      <c r="E10" t="s">
        <v>0</v>
      </c>
    </row>
    <row r="11" spans="2:6" x14ac:dyDescent="0.3">
      <c r="B11" t="s">
        <v>243</v>
      </c>
      <c r="C11">
        <v>1</v>
      </c>
      <c r="D11">
        <f>180 + 560</f>
        <v>740</v>
      </c>
      <c r="E11" t="s">
        <v>0</v>
      </c>
    </row>
    <row r="13" spans="2:6" x14ac:dyDescent="0.3">
      <c r="B13" t="s">
        <v>247</v>
      </c>
    </row>
    <row r="14" spans="2:6" x14ac:dyDescent="0.3">
      <c r="B14" t="s">
        <v>248</v>
      </c>
      <c r="D14">
        <v>280</v>
      </c>
      <c r="E14" t="s">
        <v>0</v>
      </c>
    </row>
    <row r="15" spans="2:6" x14ac:dyDescent="0.3">
      <c r="B15" t="s">
        <v>249</v>
      </c>
      <c r="D15">
        <v>150</v>
      </c>
    </row>
    <row r="16" spans="2:6" x14ac:dyDescent="0.3">
      <c r="B16" t="s">
        <v>250</v>
      </c>
      <c r="D16">
        <v>23</v>
      </c>
    </row>
    <row r="17" spans="2:7" x14ac:dyDescent="0.3">
      <c r="B17" t="s">
        <v>251</v>
      </c>
      <c r="D17">
        <v>380</v>
      </c>
    </row>
    <row r="19" spans="2:7" x14ac:dyDescent="0.3">
      <c r="B19" t="s">
        <v>252</v>
      </c>
    </row>
    <row r="20" spans="2:7" x14ac:dyDescent="0.3">
      <c r="B20" t="s">
        <v>253</v>
      </c>
      <c r="D20" t="s">
        <v>254</v>
      </c>
    </row>
    <row r="21" spans="2:7" x14ac:dyDescent="0.3">
      <c r="B21" t="s">
        <v>255</v>
      </c>
      <c r="D21">
        <f>3*5</f>
        <v>15</v>
      </c>
      <c r="F21">
        <v>30</v>
      </c>
    </row>
    <row r="27" spans="2:7" x14ac:dyDescent="0.3">
      <c r="B27" t="s">
        <v>258</v>
      </c>
      <c r="E27" t="s">
        <v>264</v>
      </c>
      <c r="F27" t="s">
        <v>263</v>
      </c>
      <c r="G27" t="s">
        <v>266</v>
      </c>
    </row>
    <row r="28" spans="2:7" x14ac:dyDescent="0.3">
      <c r="B28" t="s">
        <v>242</v>
      </c>
      <c r="C28">
        <v>22</v>
      </c>
      <c r="D28" t="s">
        <v>260</v>
      </c>
      <c r="E28" s="97">
        <v>1</v>
      </c>
      <c r="F28">
        <v>16</v>
      </c>
      <c r="G28">
        <f>+F28*E28*C28</f>
        <v>352</v>
      </c>
    </row>
    <row r="29" spans="2:7" x14ac:dyDescent="0.3">
      <c r="B29" t="s">
        <v>241</v>
      </c>
      <c r="C29">
        <v>42</v>
      </c>
      <c r="D29" t="s">
        <v>260</v>
      </c>
      <c r="E29" s="97">
        <v>1</v>
      </c>
      <c r="F29">
        <v>6</v>
      </c>
      <c r="G29">
        <f t="shared" ref="G29:G31" si="0">+F29*E29*C29</f>
        <v>252</v>
      </c>
    </row>
    <row r="30" spans="2:7" x14ac:dyDescent="0.3">
      <c r="B30" t="s">
        <v>261</v>
      </c>
      <c r="C30">
        <v>80</v>
      </c>
      <c r="D30" t="s">
        <v>260</v>
      </c>
      <c r="E30" s="97">
        <v>1</v>
      </c>
      <c r="F30">
        <v>12</v>
      </c>
      <c r="G30">
        <f t="shared" si="0"/>
        <v>960</v>
      </c>
    </row>
    <row r="31" spans="2:7" x14ac:dyDescent="0.3">
      <c r="B31" t="s">
        <v>262</v>
      </c>
      <c r="C31">
        <v>30</v>
      </c>
      <c r="D31" t="s">
        <v>260</v>
      </c>
      <c r="E31" s="97">
        <v>0.6</v>
      </c>
      <c r="F31">
        <v>12</v>
      </c>
      <c r="G31">
        <f t="shared" si="0"/>
        <v>215.99999999999997</v>
      </c>
    </row>
    <row r="34" spans="2:9" x14ac:dyDescent="0.3">
      <c r="B34" t="s">
        <v>265</v>
      </c>
      <c r="C34">
        <v>550</v>
      </c>
    </row>
    <row r="35" spans="2:9" x14ac:dyDescent="0.3">
      <c r="B35" t="s">
        <v>259</v>
      </c>
      <c r="C35">
        <v>350</v>
      </c>
      <c r="E35" s="98">
        <v>0.5</v>
      </c>
      <c r="F35">
        <v>8</v>
      </c>
      <c r="G35">
        <f t="shared" ref="G35" si="1">+F35*E35*C35</f>
        <v>1400</v>
      </c>
    </row>
    <row r="37" spans="2:9" x14ac:dyDescent="0.3">
      <c r="B37" t="s">
        <v>267</v>
      </c>
      <c r="C37">
        <f>+C31+C30+C29+C28+C35</f>
        <v>524</v>
      </c>
    </row>
    <row r="39" spans="2:9" x14ac:dyDescent="0.3">
      <c r="B39" t="s">
        <v>268</v>
      </c>
      <c r="G39">
        <f>+G35+G31+G30+G29+G28</f>
        <v>3180</v>
      </c>
      <c r="H39" t="s">
        <v>269</v>
      </c>
      <c r="I39" s="99">
        <f>+G39*360</f>
        <v>1144800</v>
      </c>
    </row>
    <row r="40" spans="2:9" x14ac:dyDescent="0.3">
      <c r="G40">
        <f>+G39*0.25</f>
        <v>795</v>
      </c>
      <c r="H40" t="s">
        <v>270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94EE-D189-4650-8CB4-B7F675EDCF50}">
  <dimension ref="A2:I149"/>
  <sheetViews>
    <sheetView topLeftCell="A56" zoomScale="85" zoomScaleNormal="85" workbookViewId="0">
      <selection activeCell="K110" sqref="K110"/>
    </sheetView>
  </sheetViews>
  <sheetFormatPr baseColWidth="10" defaultRowHeight="14.4" x14ac:dyDescent="0.3"/>
  <cols>
    <col min="1" max="1" width="14.33203125" customWidth="1"/>
    <col min="2" max="2" width="25" customWidth="1"/>
    <col min="3" max="3" width="29.5546875" bestFit="1" customWidth="1"/>
  </cols>
  <sheetData>
    <row r="2" spans="2:7" ht="16.2" x14ac:dyDescent="0.3">
      <c r="B2" s="94" t="s">
        <v>232</v>
      </c>
      <c r="C2" s="94"/>
    </row>
    <row r="3" spans="2:7" ht="16.2" x14ac:dyDescent="0.3">
      <c r="B3" s="94" t="s">
        <v>229</v>
      </c>
      <c r="C3" s="94">
        <v>1</v>
      </c>
    </row>
    <row r="4" spans="2:7" ht="16.2" x14ac:dyDescent="0.3">
      <c r="B4" s="94" t="s">
        <v>230</v>
      </c>
      <c r="C4" s="94">
        <v>2</v>
      </c>
    </row>
    <row r="5" spans="2:7" ht="16.2" x14ac:dyDescent="0.3">
      <c r="B5" s="94" t="s">
        <v>231</v>
      </c>
      <c r="C5" s="94">
        <v>3</v>
      </c>
    </row>
    <row r="10" spans="2:7" x14ac:dyDescent="0.3">
      <c r="C10" t="s">
        <v>49</v>
      </c>
      <c r="E10" s="6">
        <v>40</v>
      </c>
    </row>
    <row r="11" spans="2:7" x14ac:dyDescent="0.3">
      <c r="C11" t="s">
        <v>73</v>
      </c>
      <c r="D11">
        <v>25.4</v>
      </c>
      <c r="E11" t="s">
        <v>63</v>
      </c>
    </row>
    <row r="13" spans="2:7" x14ac:dyDescent="0.3">
      <c r="C13">
        <v>1</v>
      </c>
      <c r="D13" t="s">
        <v>61</v>
      </c>
      <c r="E13" s="1">
        <v>3.785412</v>
      </c>
      <c r="F13" t="s">
        <v>64</v>
      </c>
    </row>
    <row r="14" spans="2:7" x14ac:dyDescent="0.3">
      <c r="F14">
        <v>3.5</v>
      </c>
    </row>
    <row r="15" spans="2:7" x14ac:dyDescent="0.3">
      <c r="C15" s="33" t="s">
        <v>62</v>
      </c>
      <c r="F15">
        <f>+F14*40</f>
        <v>140</v>
      </c>
      <c r="G15" t="s">
        <v>65</v>
      </c>
    </row>
    <row r="16" spans="2:7" x14ac:dyDescent="0.3">
      <c r="C16">
        <v>6.5</v>
      </c>
      <c r="D16">
        <f>+C16*D11</f>
        <v>165.1</v>
      </c>
      <c r="E16" t="s">
        <v>63</v>
      </c>
    </row>
    <row r="17" spans="3:7" x14ac:dyDescent="0.3">
      <c r="C17">
        <v>8</v>
      </c>
      <c r="D17">
        <f>+C17*D11</f>
        <v>203.2</v>
      </c>
      <c r="E17" t="s">
        <v>63</v>
      </c>
    </row>
    <row r="25" spans="3:7" x14ac:dyDescent="0.3">
      <c r="D25" t="s">
        <v>83</v>
      </c>
      <c r="E25" t="s">
        <v>3</v>
      </c>
    </row>
    <row r="26" spans="3:7" x14ac:dyDescent="0.3">
      <c r="C26" s="38" t="s">
        <v>74</v>
      </c>
      <c r="D26" s="37">
        <v>31.89</v>
      </c>
      <c r="E26">
        <f>+D26*$D$11/1000</f>
        <v>0.810006</v>
      </c>
      <c r="F26">
        <f>+E26/4</f>
        <v>0.2025015</v>
      </c>
    </row>
    <row r="27" spans="3:7" x14ac:dyDescent="0.3">
      <c r="C27" s="38" t="s">
        <v>75</v>
      </c>
      <c r="D27" s="37">
        <v>59.125</v>
      </c>
      <c r="E27">
        <f t="shared" ref="E27:E29" si="0">+D27*$D$11/1000</f>
        <v>1.5017749999999999</v>
      </c>
    </row>
    <row r="28" spans="3:7" x14ac:dyDescent="0.3">
      <c r="C28" s="38" t="s">
        <v>76</v>
      </c>
      <c r="D28" s="37">
        <v>70.75</v>
      </c>
      <c r="E28">
        <f t="shared" si="0"/>
        <v>1.79705</v>
      </c>
      <c r="F28" t="s">
        <v>82</v>
      </c>
    </row>
    <row r="29" spans="3:7" x14ac:dyDescent="0.3">
      <c r="C29" s="38" t="s">
        <v>77</v>
      </c>
      <c r="D29" s="37">
        <v>96.75</v>
      </c>
      <c r="E29">
        <f t="shared" si="0"/>
        <v>2.4574499999999997</v>
      </c>
    </row>
    <row r="30" spans="3:7" x14ac:dyDescent="0.3">
      <c r="C30" s="38" t="s">
        <v>78</v>
      </c>
      <c r="D30" s="37">
        <v>7</v>
      </c>
      <c r="E30" t="s">
        <v>79</v>
      </c>
      <c r="F30" s="39">
        <f>+E27/(D30+1)</f>
        <v>0.18772187499999998</v>
      </c>
      <c r="G30" t="s">
        <v>3</v>
      </c>
    </row>
    <row r="31" spans="3:7" x14ac:dyDescent="0.3">
      <c r="C31" s="38" t="s">
        <v>80</v>
      </c>
      <c r="D31" t="s">
        <v>81</v>
      </c>
    </row>
    <row r="35" spans="3:7" x14ac:dyDescent="0.3">
      <c r="D35" t="s">
        <v>83</v>
      </c>
      <c r="E35" t="s">
        <v>3</v>
      </c>
    </row>
    <row r="36" spans="3:7" x14ac:dyDescent="0.3">
      <c r="C36" s="38" t="s">
        <v>74</v>
      </c>
      <c r="D36">
        <v>26</v>
      </c>
      <c r="E36">
        <f>+D36*$D$11/1000</f>
        <v>0.66039999999999999</v>
      </c>
      <c r="F36">
        <v>3</v>
      </c>
    </row>
    <row r="37" spans="3:7" x14ac:dyDescent="0.3">
      <c r="C37" s="38" t="s">
        <v>75</v>
      </c>
      <c r="D37">
        <v>60</v>
      </c>
      <c r="E37">
        <f t="shared" ref="E37:E38" si="1">+D37*$D$11/1000</f>
        <v>1.524</v>
      </c>
      <c r="F37">
        <v>7</v>
      </c>
    </row>
    <row r="38" spans="3:7" x14ac:dyDescent="0.3">
      <c r="C38" s="38" t="s">
        <v>76</v>
      </c>
      <c r="D38">
        <v>80</v>
      </c>
      <c r="E38">
        <f t="shared" si="1"/>
        <v>2.032</v>
      </c>
      <c r="F38">
        <v>4</v>
      </c>
    </row>
    <row r="39" spans="3:7" x14ac:dyDescent="0.3">
      <c r="F39">
        <f>+F36*F37*F38</f>
        <v>84</v>
      </c>
      <c r="G39" t="s">
        <v>84</v>
      </c>
    </row>
    <row r="46" spans="3:7" x14ac:dyDescent="0.3">
      <c r="D46">
        <f>600/D16</f>
        <v>3.634161114476075</v>
      </c>
      <c r="E46">
        <v>3</v>
      </c>
    </row>
    <row r="47" spans="3:7" x14ac:dyDescent="0.3">
      <c r="D47">
        <f>1400/D16</f>
        <v>8.4797092671108416</v>
      </c>
      <c r="E47">
        <v>8</v>
      </c>
    </row>
    <row r="48" spans="3:7" x14ac:dyDescent="0.3">
      <c r="D48">
        <f>2000/(+D17+125)</f>
        <v>6.0938452163315056</v>
      </c>
      <c r="E48">
        <v>6</v>
      </c>
    </row>
    <row r="49" spans="3:7" x14ac:dyDescent="0.3">
      <c r="E49">
        <f>+E48*E47*E46</f>
        <v>144</v>
      </c>
      <c r="F49">
        <f>+E49*F15/1000</f>
        <v>20.16</v>
      </c>
      <c r="G49" t="s">
        <v>66</v>
      </c>
    </row>
    <row r="57" spans="3:7" x14ac:dyDescent="0.3">
      <c r="F57">
        <f>+E36/E62*1000</f>
        <v>3.7737142857142856</v>
      </c>
      <c r="G57">
        <v>3</v>
      </c>
    </row>
    <row r="58" spans="3:7" x14ac:dyDescent="0.3">
      <c r="F58">
        <f>+E37/E62*1000</f>
        <v>8.7085714285714282</v>
      </c>
      <c r="G58">
        <v>10</v>
      </c>
    </row>
    <row r="59" spans="3:7" x14ac:dyDescent="0.3">
      <c r="F59">
        <f>+E38/E63*1000</f>
        <v>5.0297029702970297</v>
      </c>
      <c r="G59">
        <v>5</v>
      </c>
    </row>
    <row r="60" spans="3:7" x14ac:dyDescent="0.3">
      <c r="C60" s="41" t="s">
        <v>95</v>
      </c>
      <c r="G60">
        <f>+G59*G58*G57</f>
        <v>150</v>
      </c>
    </row>
    <row r="61" spans="3:7" x14ac:dyDescent="0.3">
      <c r="C61" s="42" t="s">
        <v>96</v>
      </c>
    </row>
    <row r="62" spans="3:7" x14ac:dyDescent="0.3">
      <c r="C62" s="42" t="s">
        <v>97</v>
      </c>
      <c r="E62">
        <v>175</v>
      </c>
    </row>
    <row r="63" spans="3:7" x14ac:dyDescent="0.3">
      <c r="C63" s="42" t="s">
        <v>98</v>
      </c>
      <c r="E63">
        <f>279+125</f>
        <v>404</v>
      </c>
    </row>
    <row r="64" spans="3:7" ht="18.600000000000001" x14ac:dyDescent="0.45">
      <c r="C64" t="s">
        <v>99</v>
      </c>
      <c r="F64" s="43" t="s">
        <v>100</v>
      </c>
    </row>
    <row r="70" spans="3:6" x14ac:dyDescent="0.3">
      <c r="E70">
        <v>522</v>
      </c>
      <c r="F70">
        <f>+E70+50</f>
        <v>572</v>
      </c>
    </row>
    <row r="71" spans="3:6" x14ac:dyDescent="0.3">
      <c r="C71" t="s">
        <v>101</v>
      </c>
      <c r="D71" t="s">
        <v>102</v>
      </c>
      <c r="E71">
        <v>685</v>
      </c>
      <c r="F71">
        <f>+E71+50</f>
        <v>735</v>
      </c>
    </row>
    <row r="72" spans="3:6" x14ac:dyDescent="0.3">
      <c r="C72">
        <v>69</v>
      </c>
      <c r="D72" t="s">
        <v>102</v>
      </c>
      <c r="E72">
        <f>+C72*25.4</f>
        <v>1752.6</v>
      </c>
      <c r="F72" t="s">
        <v>105</v>
      </c>
    </row>
    <row r="73" spans="3:6" x14ac:dyDescent="0.3">
      <c r="C73">
        <v>3</v>
      </c>
      <c r="D73" t="s">
        <v>108</v>
      </c>
      <c r="E73">
        <f>+E71*E70/1000000</f>
        <v>0.35757</v>
      </c>
      <c r="F73" t="s">
        <v>106</v>
      </c>
    </row>
    <row r="74" spans="3:6" x14ac:dyDescent="0.3">
      <c r="C74" t="s">
        <v>103</v>
      </c>
      <c r="D74">
        <f>3*20*25.4</f>
        <v>1524</v>
      </c>
    </row>
    <row r="75" spans="3:6" x14ac:dyDescent="0.3">
      <c r="D75">
        <f>+E72-D74</f>
        <v>228.59999999999991</v>
      </c>
    </row>
    <row r="77" spans="3:6" x14ac:dyDescent="0.3">
      <c r="C77">
        <v>40</v>
      </c>
      <c r="D77" t="s">
        <v>107</v>
      </c>
    </row>
    <row r="79" spans="3:6" x14ac:dyDescent="0.3">
      <c r="C79">
        <v>7.0000000000000007E-2</v>
      </c>
      <c r="D79" t="s">
        <v>110</v>
      </c>
      <c r="E79">
        <f>+C77*E73*C79</f>
        <v>1.001196</v>
      </c>
      <c r="F79" t="s">
        <v>109</v>
      </c>
    </row>
    <row r="82" spans="1:9" ht="15" thickBot="1" x14ac:dyDescent="0.35"/>
    <row r="83" spans="1:9" ht="15" thickBot="1" x14ac:dyDescent="0.35">
      <c r="A83" t="s">
        <v>119</v>
      </c>
      <c r="G83" s="48" t="s">
        <v>127</v>
      </c>
      <c r="H83" s="49">
        <v>0.453592</v>
      </c>
      <c r="I83" s="50" t="s">
        <v>128</v>
      </c>
    </row>
    <row r="84" spans="1:9" ht="15" thickBot="1" x14ac:dyDescent="0.35"/>
    <row r="85" spans="1:9" x14ac:dyDescent="0.3">
      <c r="A85" s="65"/>
      <c r="B85" s="66"/>
      <c r="C85" s="52" t="s">
        <v>123</v>
      </c>
      <c r="D85" s="53" t="s">
        <v>129</v>
      </c>
      <c r="E85" s="52" t="s">
        <v>124</v>
      </c>
      <c r="F85" s="53" t="s">
        <v>129</v>
      </c>
    </row>
    <row r="86" spans="1:9" x14ac:dyDescent="0.3">
      <c r="A86" s="67"/>
      <c r="B86" s="58"/>
      <c r="C86" s="54" t="s">
        <v>122</v>
      </c>
      <c r="D86" s="55" t="s">
        <v>121</v>
      </c>
      <c r="E86" s="54" t="s">
        <v>122</v>
      </c>
      <c r="F86" s="55" t="s">
        <v>121</v>
      </c>
    </row>
    <row r="87" spans="1:9" x14ac:dyDescent="0.3">
      <c r="A87" s="68" t="s">
        <v>120</v>
      </c>
      <c r="B87" s="58" t="s">
        <v>125</v>
      </c>
      <c r="C87" s="56">
        <f>66*$H$83</f>
        <v>29.937072000000001</v>
      </c>
      <c r="D87" s="57">
        <f>120*$H$83</f>
        <v>54.431039999999996</v>
      </c>
      <c r="E87" s="56">
        <f>30*$H$83</f>
        <v>13.607759999999999</v>
      </c>
      <c r="F87" s="57">
        <f>60*$H$83</f>
        <v>27.215519999999998</v>
      </c>
    </row>
    <row r="88" spans="1:9" x14ac:dyDescent="0.3">
      <c r="A88" s="69"/>
      <c r="B88" s="58" t="s">
        <v>126</v>
      </c>
      <c r="C88" s="56">
        <f>110*$H$83</f>
        <v>49.895119999999999</v>
      </c>
      <c r="D88" s="57">
        <f>260*$H$83</f>
        <v>117.93392</v>
      </c>
      <c r="E88" s="56">
        <f>70*$H$83</f>
        <v>31.751439999999999</v>
      </c>
      <c r="F88" s="57">
        <f>140*$H$83</f>
        <v>63.502879999999998</v>
      </c>
    </row>
    <row r="89" spans="1:9" x14ac:dyDescent="0.3">
      <c r="A89" s="70"/>
      <c r="B89" s="58" t="s">
        <v>130</v>
      </c>
      <c r="C89" s="56">
        <f>150*$H$83</f>
        <v>68.038799999999995</v>
      </c>
      <c r="D89" s="58"/>
      <c r="E89" s="63">
        <f>+C89*0.2</f>
        <v>13.607759999999999</v>
      </c>
      <c r="F89" s="58"/>
      <c r="I89" s="51" t="s">
        <v>131</v>
      </c>
    </row>
    <row r="90" spans="1:9" x14ac:dyDescent="0.3">
      <c r="A90" s="68" t="s">
        <v>132</v>
      </c>
      <c r="B90" s="58" t="s">
        <v>135</v>
      </c>
      <c r="C90" s="59"/>
      <c r="D90" s="57">
        <v>16</v>
      </c>
      <c r="E90" s="56"/>
      <c r="F90" s="57">
        <v>5</v>
      </c>
    </row>
    <row r="91" spans="1:9" x14ac:dyDescent="0.3">
      <c r="A91" s="69"/>
      <c r="B91" s="58" t="s">
        <v>136</v>
      </c>
      <c r="C91" s="59"/>
      <c r="D91" s="58">
        <v>11</v>
      </c>
      <c r="E91" s="59"/>
      <c r="F91" s="58">
        <v>3</v>
      </c>
    </row>
    <row r="92" spans="1:9" x14ac:dyDescent="0.3">
      <c r="A92" s="69"/>
      <c r="B92" s="58" t="s">
        <v>137</v>
      </c>
      <c r="C92" s="59"/>
      <c r="D92" s="58">
        <v>36</v>
      </c>
      <c r="E92" s="59"/>
      <c r="F92" s="58">
        <v>12</v>
      </c>
    </row>
    <row r="93" spans="1:9" x14ac:dyDescent="0.3">
      <c r="A93" s="69"/>
      <c r="B93" s="58" t="s">
        <v>138</v>
      </c>
      <c r="C93" s="59"/>
      <c r="D93" s="58">
        <v>56</v>
      </c>
      <c r="E93" s="59"/>
      <c r="F93" s="58"/>
    </row>
    <row r="94" spans="1:9" x14ac:dyDescent="0.3">
      <c r="A94" s="69"/>
      <c r="B94" s="58" t="s">
        <v>134</v>
      </c>
      <c r="C94" s="59"/>
      <c r="D94" s="60">
        <f>600*H83</f>
        <v>272.15519999999998</v>
      </c>
      <c r="E94" s="64"/>
      <c r="F94" s="60">
        <f>150*H83</f>
        <v>68.038799999999995</v>
      </c>
    </row>
    <row r="95" spans="1:9" x14ac:dyDescent="0.3">
      <c r="A95" s="70"/>
      <c r="B95" s="58" t="s">
        <v>133</v>
      </c>
      <c r="C95" s="56">
        <f>150*$H$83</f>
        <v>68.038799999999995</v>
      </c>
      <c r="D95" s="58"/>
      <c r="E95" s="63">
        <f>+C95*0.2</f>
        <v>13.607759999999999</v>
      </c>
      <c r="F95" s="58"/>
    </row>
    <row r="96" spans="1:9" x14ac:dyDescent="0.3">
      <c r="A96" s="68" t="s">
        <v>139</v>
      </c>
      <c r="B96" s="58" t="s">
        <v>141</v>
      </c>
      <c r="C96" s="59">
        <v>18</v>
      </c>
      <c r="D96" s="58">
        <v>22</v>
      </c>
      <c r="E96" s="59"/>
      <c r="F96" s="58">
        <v>5</v>
      </c>
    </row>
    <row r="97" spans="1:6" x14ac:dyDescent="0.3">
      <c r="A97" s="69"/>
      <c r="B97" s="58" t="s">
        <v>272</v>
      </c>
      <c r="C97" s="59"/>
      <c r="D97" s="58"/>
      <c r="E97" s="59"/>
      <c r="F97" s="58"/>
    </row>
    <row r="98" spans="1:6" x14ac:dyDescent="0.3">
      <c r="A98" s="69"/>
      <c r="B98" s="58" t="s">
        <v>142</v>
      </c>
      <c r="C98" s="59">
        <v>40</v>
      </c>
      <c r="D98" s="58">
        <v>45</v>
      </c>
      <c r="E98" s="59"/>
      <c r="F98" s="58">
        <v>12</v>
      </c>
    </row>
    <row r="99" spans="1:6" x14ac:dyDescent="0.3">
      <c r="A99" s="69"/>
      <c r="B99" s="58" t="s">
        <v>271</v>
      </c>
      <c r="C99" s="59">
        <v>60</v>
      </c>
      <c r="D99" s="58"/>
      <c r="E99" s="59"/>
      <c r="F99" s="58"/>
    </row>
    <row r="100" spans="1:6" x14ac:dyDescent="0.3">
      <c r="A100" s="69"/>
      <c r="B100" s="58" t="s">
        <v>140</v>
      </c>
      <c r="C100" s="59">
        <v>65</v>
      </c>
      <c r="D100" s="58"/>
      <c r="E100" s="59"/>
      <c r="F100" s="58"/>
    </row>
    <row r="101" spans="1:6" x14ac:dyDescent="0.3">
      <c r="A101" s="69"/>
      <c r="B101" s="58" t="s">
        <v>277</v>
      </c>
      <c r="C101" s="59">
        <v>9</v>
      </c>
      <c r="D101" s="58"/>
      <c r="E101" s="59"/>
      <c r="F101" s="58"/>
    </row>
    <row r="102" spans="1:6" x14ac:dyDescent="0.3">
      <c r="A102" s="70"/>
      <c r="B102" s="58" t="s">
        <v>278</v>
      </c>
      <c r="C102" s="59">
        <v>18</v>
      </c>
      <c r="D102" s="58"/>
      <c r="E102" s="59"/>
      <c r="F102" s="58"/>
    </row>
    <row r="103" spans="1:6" x14ac:dyDescent="0.3">
      <c r="A103" s="67" t="s">
        <v>143</v>
      </c>
      <c r="B103" s="58" t="s">
        <v>146</v>
      </c>
      <c r="C103" s="59"/>
      <c r="D103" s="57">
        <f>75*$H$83</f>
        <v>34.019399999999997</v>
      </c>
      <c r="E103" s="56"/>
      <c r="F103" s="57">
        <f>15*$H$83</f>
        <v>6.8038799999999995</v>
      </c>
    </row>
    <row r="104" spans="1:6" x14ac:dyDescent="0.3">
      <c r="A104" s="67"/>
      <c r="B104" s="58" t="s">
        <v>147</v>
      </c>
      <c r="C104" s="59"/>
      <c r="D104" s="57">
        <f>125*$H$83</f>
        <v>56.698999999999998</v>
      </c>
      <c r="E104" s="56"/>
      <c r="F104" s="57">
        <f>25*$H$83</f>
        <v>11.3398</v>
      </c>
    </row>
    <row r="105" spans="1:6" x14ac:dyDescent="0.3">
      <c r="A105" s="67"/>
      <c r="B105" s="58" t="s">
        <v>148</v>
      </c>
      <c r="C105" s="59"/>
      <c r="D105" s="57">
        <f>175*$H$83</f>
        <v>79.378600000000006</v>
      </c>
      <c r="E105" s="56"/>
      <c r="F105" s="57">
        <f>35*$H$83</f>
        <v>15.875719999999999</v>
      </c>
    </row>
    <row r="106" spans="1:6" x14ac:dyDescent="0.3">
      <c r="A106" s="67"/>
      <c r="B106" s="58" t="s">
        <v>151</v>
      </c>
      <c r="C106" s="59"/>
      <c r="D106" s="57">
        <f>+D105*2</f>
        <v>158.75720000000001</v>
      </c>
      <c r="E106" s="56"/>
      <c r="F106" s="57">
        <f>+F105*2</f>
        <v>31.751439999999999</v>
      </c>
    </row>
    <row r="107" spans="1:6" x14ac:dyDescent="0.3">
      <c r="A107" s="67"/>
      <c r="B107" s="58" t="s">
        <v>149</v>
      </c>
      <c r="C107" s="59"/>
      <c r="D107" s="57">
        <f>2250*$H$83</f>
        <v>1020.582</v>
      </c>
      <c r="E107" s="56"/>
      <c r="F107" s="57">
        <f>450*$H$83</f>
        <v>204.1164</v>
      </c>
    </row>
    <row r="108" spans="1:6" x14ac:dyDescent="0.3">
      <c r="A108" s="67"/>
      <c r="B108" s="58" t="s">
        <v>150</v>
      </c>
      <c r="C108" s="59"/>
      <c r="D108" s="57">
        <f>3000*$H$83</f>
        <v>1360.7760000000001</v>
      </c>
      <c r="E108" s="56"/>
      <c r="F108" s="57">
        <f>600*$H$83</f>
        <v>272.15519999999998</v>
      </c>
    </row>
    <row r="109" spans="1:6" x14ac:dyDescent="0.3">
      <c r="A109" s="67"/>
      <c r="B109" s="58" t="s">
        <v>144</v>
      </c>
      <c r="C109" s="56">
        <f>40*$H$83</f>
        <v>18.14368</v>
      </c>
      <c r="D109" s="58"/>
      <c r="E109" s="56">
        <f>8*$H$83</f>
        <v>3.628736</v>
      </c>
      <c r="F109" s="58"/>
    </row>
    <row r="110" spans="1:6" ht="15" thickBot="1" x14ac:dyDescent="0.35">
      <c r="A110" s="71"/>
      <c r="B110" s="62" t="s">
        <v>145</v>
      </c>
      <c r="C110" s="61">
        <f>175*$H$83</f>
        <v>79.378600000000006</v>
      </c>
      <c r="D110" s="62"/>
      <c r="E110" s="61">
        <f>35*$H$83</f>
        <v>15.875719999999999</v>
      </c>
      <c r="F110" s="62"/>
    </row>
    <row r="112" spans="1:6" x14ac:dyDescent="0.3">
      <c r="A112" t="s">
        <v>274</v>
      </c>
    </row>
    <row r="115" spans="1:4" ht="16.2" x14ac:dyDescent="0.3">
      <c r="A115" s="94"/>
      <c r="D115" s="94"/>
    </row>
    <row r="116" spans="1:4" ht="16.2" x14ac:dyDescent="0.3">
      <c r="A116" s="94"/>
      <c r="D116" s="94"/>
    </row>
    <row r="117" spans="1:4" ht="16.2" x14ac:dyDescent="0.3">
      <c r="A117" s="94"/>
      <c r="D117" s="94"/>
    </row>
    <row r="118" spans="1:4" ht="16.2" x14ac:dyDescent="0.3">
      <c r="A118" s="94"/>
      <c r="D118" s="94"/>
    </row>
    <row r="119" spans="1:4" ht="16.2" x14ac:dyDescent="0.3">
      <c r="A119" s="94"/>
      <c r="B119" s="94"/>
      <c r="C119" s="94"/>
      <c r="D119" s="94"/>
    </row>
    <row r="120" spans="1:4" ht="16.2" x14ac:dyDescent="0.3">
      <c r="A120" s="94"/>
      <c r="B120" s="94"/>
      <c r="C120" s="94"/>
      <c r="D120" s="94"/>
    </row>
    <row r="121" spans="1:4" ht="17.399999999999999" x14ac:dyDescent="0.3">
      <c r="A121" s="95"/>
      <c r="B121" s="95"/>
      <c r="C121" s="95"/>
      <c r="D121" s="95"/>
    </row>
    <row r="122" spans="1:4" ht="17.399999999999999" x14ac:dyDescent="0.3">
      <c r="A122" s="95"/>
      <c r="B122" s="95"/>
      <c r="C122" s="95"/>
      <c r="D122" s="95"/>
    </row>
    <row r="123" spans="1:4" ht="16.2" x14ac:dyDescent="0.3">
      <c r="A123" s="94"/>
      <c r="B123" s="96" t="s">
        <v>229</v>
      </c>
      <c r="C123" s="96" t="s">
        <v>237</v>
      </c>
      <c r="D123" s="96" t="s">
        <v>231</v>
      </c>
    </row>
    <row r="124" spans="1:4" ht="16.2" x14ac:dyDescent="0.3">
      <c r="A124" s="96">
        <v>1</v>
      </c>
      <c r="B124" t="s">
        <v>196</v>
      </c>
      <c r="C124" t="s">
        <v>202</v>
      </c>
      <c r="D124" s="94"/>
    </row>
    <row r="125" spans="1:4" x14ac:dyDescent="0.3">
      <c r="B125" t="s">
        <v>48</v>
      </c>
      <c r="C125" t="s">
        <v>203</v>
      </c>
    </row>
    <row r="126" spans="1:4" x14ac:dyDescent="0.3">
      <c r="B126" t="s">
        <v>49</v>
      </c>
      <c r="C126" t="s">
        <v>205</v>
      </c>
    </row>
    <row r="127" spans="1:4" ht="15.6" x14ac:dyDescent="0.35">
      <c r="B127" s="5" t="s">
        <v>90</v>
      </c>
      <c r="C127" s="5" t="s">
        <v>207</v>
      </c>
    </row>
    <row r="128" spans="1:4" x14ac:dyDescent="0.3">
      <c r="B128" t="s">
        <v>38</v>
      </c>
      <c r="C128" t="s">
        <v>204</v>
      </c>
    </row>
    <row r="129" spans="2:3" x14ac:dyDescent="0.3">
      <c r="B129" t="s">
        <v>35</v>
      </c>
      <c r="C129" t="s">
        <v>206</v>
      </c>
    </row>
    <row r="130" spans="2:3" x14ac:dyDescent="0.3">
      <c r="B130" t="s">
        <v>85</v>
      </c>
      <c r="C130" t="s">
        <v>208</v>
      </c>
    </row>
    <row r="131" spans="2:3" x14ac:dyDescent="0.3">
      <c r="B131" t="s">
        <v>154</v>
      </c>
      <c r="C131" t="s">
        <v>209</v>
      </c>
    </row>
    <row r="132" spans="2:3" x14ac:dyDescent="0.3">
      <c r="B132" t="s">
        <v>234</v>
      </c>
      <c r="C132" t="s">
        <v>233</v>
      </c>
    </row>
    <row r="133" spans="2:3" x14ac:dyDescent="0.3">
      <c r="B133" s="8" t="s">
        <v>36</v>
      </c>
      <c r="C133" s="8" t="s">
        <v>210</v>
      </c>
    </row>
    <row r="134" spans="2:3" ht="16.8" x14ac:dyDescent="0.35">
      <c r="B134" s="8" t="s">
        <v>19</v>
      </c>
      <c r="C134" s="74" t="s">
        <v>211</v>
      </c>
    </row>
    <row r="135" spans="2:3" x14ac:dyDescent="0.3">
      <c r="B135" s="8" t="s">
        <v>7</v>
      </c>
      <c r="C135" s="8" t="s">
        <v>212</v>
      </c>
    </row>
    <row r="136" spans="2:3" x14ac:dyDescent="0.3">
      <c r="B136" s="16" t="s">
        <v>91</v>
      </c>
      <c r="C136" s="16" t="s">
        <v>213</v>
      </c>
    </row>
    <row r="137" spans="2:3" ht="15.6" x14ac:dyDescent="0.35">
      <c r="B137" s="16" t="s">
        <v>59</v>
      </c>
      <c r="C137" s="16" t="s">
        <v>214</v>
      </c>
    </row>
    <row r="138" spans="2:3" ht="15.6" x14ac:dyDescent="0.35">
      <c r="B138" s="16" t="s">
        <v>185</v>
      </c>
      <c r="C138" s="16" t="s">
        <v>185</v>
      </c>
    </row>
    <row r="139" spans="2:3" x14ac:dyDescent="0.3">
      <c r="B139" t="s">
        <v>92</v>
      </c>
      <c r="C139" t="s">
        <v>215</v>
      </c>
    </row>
    <row r="140" spans="2:3" x14ac:dyDescent="0.3">
      <c r="B140" s="20" t="s">
        <v>11</v>
      </c>
      <c r="C140" s="20" t="s">
        <v>216</v>
      </c>
    </row>
    <row r="141" spans="2:3" x14ac:dyDescent="0.3">
      <c r="B141" s="16" t="s">
        <v>8</v>
      </c>
      <c r="C141" s="16" t="s">
        <v>217</v>
      </c>
    </row>
    <row r="142" spans="2:3" x14ac:dyDescent="0.3">
      <c r="B142" s="16" t="s">
        <v>9</v>
      </c>
      <c r="C142" s="73" t="s">
        <v>218</v>
      </c>
    </row>
    <row r="143" spans="2:3" x14ac:dyDescent="0.3">
      <c r="B143" s="16" t="s">
        <v>60</v>
      </c>
      <c r="C143" s="16" t="s">
        <v>219</v>
      </c>
    </row>
    <row r="144" spans="2:3" x14ac:dyDescent="0.3">
      <c r="B144" s="17" t="s">
        <v>155</v>
      </c>
      <c r="C144" s="93" t="s">
        <v>220</v>
      </c>
    </row>
    <row r="145" spans="2:3" x14ac:dyDescent="0.3">
      <c r="B145" s="17" t="s">
        <v>10</v>
      </c>
      <c r="C145" s="17" t="s">
        <v>221</v>
      </c>
    </row>
    <row r="146" spans="2:3" x14ac:dyDescent="0.3">
      <c r="B146" s="29" t="s">
        <v>94</v>
      </c>
      <c r="C146" s="29" t="s">
        <v>222</v>
      </c>
    </row>
    <row r="147" spans="2:3" x14ac:dyDescent="0.3">
      <c r="B147" t="s">
        <v>162</v>
      </c>
      <c r="C147" t="s">
        <v>224</v>
      </c>
    </row>
    <row r="148" spans="2:3" x14ac:dyDescent="0.3">
      <c r="B148" t="s">
        <v>156</v>
      </c>
      <c r="C148" t="s">
        <v>225</v>
      </c>
    </row>
    <row r="149" spans="2:3" x14ac:dyDescent="0.3">
      <c r="B149" s="18" t="s">
        <v>194</v>
      </c>
      <c r="C149" s="18" t="s">
        <v>226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9 campos</vt:lpstr>
      <vt:lpstr>datos BP</vt:lpstr>
      <vt:lpstr>Equipo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Eudald Bogatell</dc:creator>
  <cp:lastModifiedBy>Eudald Bogatell Piñero</cp:lastModifiedBy>
  <cp:lastPrinted>2021-05-07T17:08:58Z</cp:lastPrinted>
  <dcterms:created xsi:type="dcterms:W3CDTF">2020-12-03T17:17:12Z</dcterms:created>
  <dcterms:modified xsi:type="dcterms:W3CDTF">2025-01-13T16:43:29Z</dcterms:modified>
</cp:coreProperties>
</file>