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iddata_pau/Downloads/"/>
    </mc:Choice>
  </mc:AlternateContent>
  <bookViews>
    <workbookView xWindow="0" yWindow="0" windowWidth="28800" windowHeight="18000" tabRatio="500" activeTab="1"/>
  </bookViews>
  <sheets>
    <sheet name="Ghana_ODA2015-17" sheetId="1" r:id="rId1"/>
    <sheet name="SOURCE Ghana GS Unspecified" sheetId="2" r:id="rId2"/>
    <sheet name="SOURCE Ghana Education" sheetId="3" r:id="rId3"/>
    <sheet name="SOURCE Ghana Health" sheetId="4" r:id="rId4"/>
  </sheets>
  <externalReferences>
    <externalReference r:id="rId5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  <c r="K5" i="1"/>
  <c r="K6" i="1"/>
  <c r="K7" i="1"/>
  <c r="K8" i="1"/>
  <c r="K9" i="1"/>
  <c r="K10" i="1"/>
  <c r="K11" i="1"/>
  <c r="K12" i="1"/>
  <c r="K13" i="1"/>
  <c r="K14" i="1"/>
  <c r="K4" i="1"/>
  <c r="F5" i="1"/>
  <c r="F6" i="1"/>
  <c r="F7" i="1"/>
  <c r="F8" i="1"/>
  <c r="F9" i="1"/>
  <c r="F10" i="1"/>
  <c r="F11" i="1"/>
  <c r="F12" i="1"/>
  <c r="F13" i="1"/>
  <c r="F14" i="1"/>
  <c r="F4" i="1"/>
  <c r="B3" i="1"/>
  <c r="C3" i="1"/>
  <c r="D3" i="1"/>
  <c r="E3" i="1"/>
  <c r="G3" i="1"/>
  <c r="H3" i="1"/>
  <c r="I3" i="1"/>
  <c r="J3" i="1"/>
  <c r="L3" i="1"/>
  <c r="B4" i="1"/>
  <c r="C4" i="1"/>
  <c r="D4" i="1"/>
  <c r="E4" i="1"/>
  <c r="G4" i="1"/>
  <c r="H4" i="1"/>
  <c r="I4" i="1"/>
  <c r="J4" i="1"/>
  <c r="L4" i="1"/>
  <c r="B5" i="1"/>
  <c r="C5" i="1"/>
  <c r="D5" i="1"/>
  <c r="E5" i="1"/>
  <c r="G5" i="1"/>
  <c r="H5" i="1"/>
  <c r="I5" i="1"/>
  <c r="J5" i="1"/>
  <c r="L5" i="1"/>
  <c r="B6" i="1"/>
  <c r="C6" i="1"/>
  <c r="D6" i="1"/>
  <c r="E6" i="1"/>
  <c r="G6" i="1"/>
  <c r="H6" i="1"/>
  <c r="I6" i="1"/>
  <c r="J6" i="1"/>
  <c r="L6" i="1"/>
  <c r="B7" i="1"/>
  <c r="C7" i="1"/>
  <c r="D7" i="1"/>
  <c r="E7" i="1"/>
  <c r="G7" i="1"/>
  <c r="H7" i="1"/>
  <c r="I7" i="1"/>
  <c r="J7" i="1"/>
  <c r="L7" i="1"/>
  <c r="B8" i="1"/>
  <c r="C8" i="1"/>
  <c r="D8" i="1"/>
  <c r="E8" i="1"/>
  <c r="G8" i="1"/>
  <c r="H8" i="1"/>
  <c r="I8" i="1"/>
  <c r="J8" i="1"/>
  <c r="L8" i="1"/>
  <c r="B9" i="1"/>
  <c r="C9" i="1"/>
  <c r="D9" i="1"/>
  <c r="E9" i="1"/>
  <c r="G9" i="1"/>
  <c r="H9" i="1"/>
  <c r="I9" i="1"/>
  <c r="J9" i="1"/>
  <c r="L9" i="1"/>
  <c r="B10" i="1"/>
  <c r="C10" i="1"/>
  <c r="D10" i="1"/>
  <c r="E10" i="1"/>
  <c r="G10" i="1"/>
  <c r="H10" i="1"/>
  <c r="I10" i="1"/>
  <c r="J10" i="1"/>
  <c r="L10" i="1"/>
  <c r="B11" i="1"/>
  <c r="C11" i="1"/>
  <c r="D11" i="1"/>
  <c r="E11" i="1"/>
  <c r="G11" i="1"/>
  <c r="H11" i="1"/>
  <c r="I11" i="1"/>
  <c r="J11" i="1"/>
  <c r="L11" i="1"/>
  <c r="B12" i="1"/>
  <c r="C12" i="1"/>
  <c r="D12" i="1"/>
  <c r="E12" i="1"/>
  <c r="G12" i="1"/>
  <c r="H12" i="1"/>
  <c r="I12" i="1"/>
  <c r="J12" i="1"/>
  <c r="L12" i="1"/>
  <c r="B13" i="1"/>
  <c r="C13" i="1"/>
  <c r="D13" i="1"/>
  <c r="E13" i="1"/>
  <c r="G13" i="1"/>
  <c r="H13" i="1"/>
  <c r="I13" i="1"/>
  <c r="J13" i="1"/>
  <c r="L13" i="1"/>
  <c r="B2" i="1"/>
  <c r="B14" i="1"/>
  <c r="C2" i="1"/>
  <c r="C14" i="1"/>
  <c r="D2" i="1"/>
  <c r="D14" i="1"/>
  <c r="E14" i="1"/>
  <c r="G2" i="1"/>
  <c r="G14" i="1"/>
  <c r="H2" i="1"/>
  <c r="H14" i="1"/>
  <c r="I2" i="1"/>
  <c r="I14" i="1"/>
  <c r="J14" i="1"/>
  <c r="L14" i="1"/>
  <c r="E2" i="1"/>
  <c r="J2" i="1"/>
  <c r="L2" i="1"/>
  <c r="D3" i="4"/>
  <c r="D9" i="4"/>
  <c r="D10" i="4"/>
  <c r="D12" i="4"/>
  <c r="D14" i="4"/>
  <c r="D2" i="2"/>
  <c r="D15" i="4"/>
  <c r="D18" i="4"/>
  <c r="C3" i="4"/>
  <c r="C8" i="4"/>
  <c r="C9" i="4"/>
  <c r="C10" i="4"/>
  <c r="C12" i="4"/>
  <c r="C14" i="4"/>
  <c r="C2" i="2"/>
  <c r="C15" i="4"/>
  <c r="C18" i="4"/>
  <c r="B3" i="4"/>
  <c r="B8" i="4"/>
  <c r="B9" i="4"/>
  <c r="B10" i="4"/>
  <c r="B12" i="4"/>
  <c r="B14" i="4"/>
  <c r="B2" i="2"/>
  <c r="B15" i="4"/>
  <c r="B18" i="4"/>
  <c r="D17" i="4"/>
  <c r="C17" i="4"/>
  <c r="B17" i="4"/>
  <c r="D16" i="4"/>
  <c r="C16" i="4"/>
  <c r="B16" i="4"/>
  <c r="G3" i="3"/>
  <c r="D3" i="3"/>
  <c r="D16" i="2"/>
  <c r="G4" i="3"/>
  <c r="D4" i="3"/>
  <c r="D19" i="2"/>
  <c r="G5" i="3"/>
  <c r="D5" i="3"/>
  <c r="D20" i="2"/>
  <c r="G6" i="3"/>
  <c r="D6" i="3"/>
  <c r="D18" i="2"/>
  <c r="G7" i="3"/>
  <c r="D7" i="3"/>
  <c r="D24" i="2"/>
  <c r="G8" i="3"/>
  <c r="D8" i="3"/>
  <c r="D21" i="2"/>
  <c r="G9" i="3"/>
  <c r="D9" i="3"/>
  <c r="D25" i="2"/>
  <c r="G10" i="3"/>
  <c r="D10" i="3"/>
  <c r="D23" i="2"/>
  <c r="G11" i="3"/>
  <c r="D11" i="3"/>
  <c r="D17" i="2"/>
  <c r="G12" i="3"/>
  <c r="D12" i="3"/>
  <c r="D22" i="2"/>
  <c r="G13" i="3"/>
  <c r="D13" i="3"/>
  <c r="D14" i="3"/>
  <c r="D3" i="2"/>
  <c r="D15" i="3"/>
  <c r="D18" i="3"/>
  <c r="F3" i="3"/>
  <c r="C3" i="3"/>
  <c r="C16" i="2"/>
  <c r="F4" i="3"/>
  <c r="C4" i="3"/>
  <c r="C19" i="2"/>
  <c r="F5" i="3"/>
  <c r="C5" i="3"/>
  <c r="C20" i="2"/>
  <c r="F6" i="3"/>
  <c r="C6" i="3"/>
  <c r="C18" i="2"/>
  <c r="F7" i="3"/>
  <c r="C7" i="3"/>
  <c r="C24" i="2"/>
  <c r="F8" i="3"/>
  <c r="C8" i="3"/>
  <c r="C21" i="2"/>
  <c r="F9" i="3"/>
  <c r="C9" i="3"/>
  <c r="C25" i="2"/>
  <c r="F10" i="3"/>
  <c r="C10" i="3"/>
  <c r="C23" i="2"/>
  <c r="F11" i="3"/>
  <c r="C11" i="3"/>
  <c r="C17" i="2"/>
  <c r="F12" i="3"/>
  <c r="C12" i="3"/>
  <c r="C22" i="2"/>
  <c r="F13" i="3"/>
  <c r="C13" i="3"/>
  <c r="C14" i="3"/>
  <c r="C3" i="2"/>
  <c r="C15" i="3"/>
  <c r="C18" i="3"/>
  <c r="E3" i="3"/>
  <c r="B3" i="3"/>
  <c r="B16" i="2"/>
  <c r="E4" i="3"/>
  <c r="B4" i="3"/>
  <c r="B19" i="2"/>
  <c r="E5" i="3"/>
  <c r="B5" i="3"/>
  <c r="B20" i="2"/>
  <c r="E6" i="3"/>
  <c r="B6" i="3"/>
  <c r="B18" i="2"/>
  <c r="E7" i="3"/>
  <c r="B7" i="3"/>
  <c r="B24" i="2"/>
  <c r="E8" i="3"/>
  <c r="B8" i="3"/>
  <c r="B21" i="2"/>
  <c r="E9" i="3"/>
  <c r="B9" i="3"/>
  <c r="B25" i="2"/>
  <c r="E10" i="3"/>
  <c r="B10" i="3"/>
  <c r="B23" i="2"/>
  <c r="E11" i="3"/>
  <c r="B11" i="3"/>
  <c r="B17" i="2"/>
  <c r="E12" i="3"/>
  <c r="B12" i="3"/>
  <c r="B22" i="2"/>
  <c r="E13" i="3"/>
  <c r="B13" i="3"/>
  <c r="B14" i="3"/>
  <c r="B3" i="2"/>
  <c r="B15" i="3"/>
  <c r="B18" i="3"/>
  <c r="D17" i="3"/>
  <c r="C17" i="3"/>
  <c r="B17" i="3"/>
  <c r="D16" i="3"/>
  <c r="C16" i="3"/>
  <c r="B16" i="3"/>
  <c r="F25" i="2"/>
  <c r="F24" i="2"/>
  <c r="F23" i="2"/>
  <c r="F22" i="2"/>
  <c r="F21" i="2"/>
  <c r="F20" i="2"/>
  <c r="F19" i="2"/>
  <c r="F18" i="2"/>
  <c r="F17" i="2"/>
  <c r="F16" i="2"/>
</calcChain>
</file>

<file path=xl/sharedStrings.xml><?xml version="1.0" encoding="utf-8"?>
<sst xmlns="http://schemas.openxmlformats.org/spreadsheetml/2006/main" count="108" uniqueCount="56">
  <si>
    <t>region</t>
  </si>
  <si>
    <t>Unspecified</t>
  </si>
  <si>
    <t>Nationwide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</si>
  <si>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</si>
  <si>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</si>
  <si>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</si>
  <si>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</si>
  <si>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</si>
  <si>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</si>
  <si>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</si>
  <si>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</si>
  <si>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</si>
  <si>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</si>
  <si>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Total</t>
  </si>
  <si>
    <t>sector</t>
  </si>
  <si>
    <t>notes</t>
  </si>
  <si>
    <t>revised sub-national classification</t>
  </si>
  <si>
    <t>health</t>
  </si>
  <si>
    <t>education</t>
  </si>
  <si>
    <t>unspecified</t>
  </si>
  <si>
    <t>GHA/000050 Ghana Secondary Education Improvement Project</t>
  </si>
  <si>
    <t>GHA/000154 A Turn Key Project For The Design, Construction, Procurement And Equipping Of A 617 Bed University Teaching Hospital At Legon And Additional Works On Ho Regional And Hohoe District Hospitals </t>
  </si>
  <si>
    <t xml:space="preserve">GHA/000099 EQUITABLE IMPROVEMENTS IN HEALTH STATUS </t>
  </si>
  <si>
    <t xml:space="preserve">GHA/000042 GHANA PARTNERSHIP FOR EDUCATION GRANT </t>
  </si>
  <si>
    <t xml:space="preserve">GHA/000241 Heaith Sector Financial Aid (2015-2018) </t>
  </si>
  <si>
    <t xml:space="preserve">GHA/000102 IMPROVED READING PERFORMANCE IN PRIMARY SCHOOL </t>
  </si>
  <si>
    <t xml:space="preserve">GHA/000552 Improving Maternal and Child Health Care in Volta Region </t>
  </si>
  <si>
    <t xml:space="preserve">GHA/000046 MATERNAL, CHILD HEALTH &amp; NUTRITION PROJECT </t>
  </si>
  <si>
    <t xml:space="preserve">GHA/000162 REHABILITATION AND EXPANSION OF BOLGATANGA REGIONAL HOSPITAL PROJECT </t>
  </si>
  <si>
    <t xml:space="preserve">GHA/000149 Supply and Installation of Integrated E-Learning Laboratories for 240 Senior High Schools in Ghana </t>
  </si>
  <si>
    <t>Split across regions:</t>
  </si>
  <si>
    <t>https://www.ghanaweb.com/GhanaHomePage/NewsArchive/Gov-t-launches-integrated-E-learning-laboratories-461933</t>
  </si>
  <si>
    <t xml:space="preserve">GHA/000023 TAMALE TEACHING HOSPITAL PHASE II </t>
  </si>
  <si>
    <t xml:space="preserve">GHA/000018 TUBERCULOSIS CASE DETECTION IN GHANA PROJECT </t>
  </si>
  <si>
    <t>adjustments - GHA/000149 in 2015</t>
  </si>
  <si>
    <t>adjustments - GHA/000149 in 2016</t>
  </si>
  <si>
    <t>adjustments - GHA/000149 in 2017</t>
  </si>
  <si>
    <t>Total + Unspecified Education</t>
  </si>
  <si>
    <t>% of CRS total</t>
  </si>
  <si>
    <t>% sub-national</t>
  </si>
  <si>
    <t>check</t>
  </si>
  <si>
    <t>sum</t>
  </si>
  <si>
    <t>Total + Unspecified Health</t>
  </si>
  <si>
    <t>health_2015</t>
  </si>
  <si>
    <t>health_2016</t>
  </si>
  <si>
    <t>health_2017</t>
  </si>
  <si>
    <t>education_2015</t>
  </si>
  <si>
    <t>education_2016</t>
  </si>
  <si>
    <t>education_2017</t>
  </si>
  <si>
    <t>health_average</t>
  </si>
  <si>
    <t>health_pp</t>
  </si>
  <si>
    <t>education_average</t>
  </si>
  <si>
    <t>education_pp</t>
  </si>
  <si>
    <t>combined_average</t>
  </si>
  <si>
    <t>combined_pp</t>
  </si>
  <si>
    <t>pop_2016_MPI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</si>
</sst>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Inherit"/>
    </font>
    <font>
      <sz val="12"/>
      <color rgb="FF666666"/>
      <name val="Inherit"/>
    </font>
    <font>
      <sz val="12"/>
      <color rgb="FF9F714D"/>
      <name val="Inherit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3" fillId="0" borderId="0" xfId="0" applyFont="1"/>
    <xf numFmtId="164" fontId="3" fillId="0" borderId="0" xfId="1" applyNumberFormat="1" applyFont="1"/>
    <xf numFmtId="43" fontId="3" fillId="0" borderId="0" xfId="1" applyFont="1" applyAlignment="1">
      <alignment horizontal="center"/>
    </xf>
    <xf numFmtId="0" fontId="3" fillId="0" borderId="0" xfId="0" applyFont="1" applyFill="1"/>
    <xf numFmtId="164" fontId="2" fillId="0" borderId="0" xfId="1" applyNumberFormat="1" applyFont="1"/>
    <xf numFmtId="0" fontId="3" fillId="0" borderId="0" xfId="0" applyFont="1" applyFill="1" applyAlignment="1">
      <alignment wrapText="1"/>
    </xf>
    <xf numFmtId="3" fontId="3" fillId="0" borderId="0" xfId="0" applyNumberFormat="1" applyFont="1"/>
    <xf numFmtId="0" fontId="4" fillId="0" borderId="0" xfId="0" applyFont="1"/>
    <xf numFmtId="3" fontId="2" fillId="0" borderId="0" xfId="0" applyNumberFormat="1" applyFont="1"/>
    <xf numFmtId="3" fontId="5" fillId="0" borderId="0" xfId="0" applyNumberFormat="1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/>
    <xf numFmtId="164" fontId="0" fillId="2" borderId="0" xfId="1" applyNumberFormat="1" applyFont="1" applyFill="1"/>
    <xf numFmtId="9" fontId="0" fillId="0" borderId="0" xfId="2" applyFont="1"/>
    <xf numFmtId="0" fontId="6" fillId="0" borderId="0" xfId="0" applyFont="1"/>
    <xf numFmtId="3" fontId="6" fillId="0" borderId="0" xfId="0" applyNumberFormat="1" applyFont="1"/>
    <xf numFmtId="164" fontId="0" fillId="0" borderId="0" xfId="0" applyNumberFormat="1"/>
    <xf numFmtId="0" fontId="0" fillId="2" borderId="0" xfId="0" applyFill="1"/>
    <xf numFmtId="165" fontId="0" fillId="0" borderId="0" xfId="1" applyNumberFormat="1" applyFont="1"/>
    <xf numFmtId="166" fontId="0" fillId="0" borderId="0" xfId="0" applyNumberFormat="1"/>
  </cellXfs>
  <cellStyles count="12">
    <cellStyle name="Comma" xfId="1" builtinId="3"/>
    <cellStyle name="Comma 2" xfId="3"/>
    <cellStyle name="Comma 2 2" xfId="4"/>
    <cellStyle name="Comma 3" xfId="5"/>
    <cellStyle name="Normal" xfId="0" builtinId="0"/>
    <cellStyle name="Normal 2" xfId="6"/>
    <cellStyle name="Normal 2 2" xfId="7"/>
    <cellStyle name="Normal 3" xfId="8"/>
    <cellStyle name="Percent" xfId="2" builtinId="5"/>
    <cellStyle name="Percent 2" xfId="9"/>
    <cellStyle name="Percent 2 2" xfId="10"/>
    <cellStyle name="Percent 3" xf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ddata_pau/Harsh%20Dropbox/Harsh%20Desai/harsh%20marcus%20shared%20financing%20end%20of%20extreme%20poverty/ODA_Masterfile_v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book"/>
      <sheetName val="CRS ODA Estimates"/>
      <sheetName val="SOURCE Ghana GS Unspecified"/>
      <sheetName val="SOURCE Ghana Education"/>
      <sheetName val="SOURCE Ghana Health"/>
      <sheetName val="CRS ODA vs. AIMS {WIP}"/>
      <sheetName val="DATA Subnat ODA (NOT DEFLATED)"/>
      <sheetName val="SOURCE ODA AFG Health"/>
      <sheetName val="SOURCE ODA AFG Education"/>
      <sheetName val="SOURCE Senegal Health"/>
      <sheetName val="SOURCE Bangladesh Health"/>
      <sheetName val="SOURCE Bangladesh Education"/>
      <sheetName val="SOURCE Madagascar Health"/>
      <sheetName val="SOURCE Madagscar Education"/>
      <sheetName val="SOURCE Senegal Education"/>
      <sheetName val="SOURCE Kenya Health"/>
      <sheetName val="SOURCE Nepal Health"/>
      <sheetName val="SOURCE Nepal Education"/>
      <sheetName val="DATA Ghana Subnat ODA"/>
      <sheetName val="SOURCE Ghana SS_byRegion"/>
      <sheetName val="SOURCE Ghana Sectoral ODA"/>
      <sheetName val="SOURCE AFG Health"/>
      <sheetName val="SOURCE AFG Education"/>
      <sheetName val="SOURCE Malawi Health"/>
      <sheetName val="SOURCE Malawi Education"/>
      <sheetName val="SOURCE Liberia"/>
      <sheetName val="SOURCE Rwanda Health"/>
      <sheetName val="SOURCE Rwanda Education"/>
      <sheetName val="SOURCE Nigeria Education"/>
      <sheetName val="SOURCE Nigeria Health"/>
      <sheetName val="Nigeria - Adjustments to Proj."/>
      <sheetName val="Nigeria - CRS Project Breakdown"/>
      <sheetName val="Canada - NGA 001150"/>
      <sheetName val="Nigeria - W4H Project"/>
      <sheetName val="Nigeria - WINN DFID"/>
      <sheetName val="Nigeria - ENR DFID"/>
      <sheetName val="Nigeria - PATHS 2 DFID"/>
      <sheetName val="Nigeria - SUNMAP DFID"/>
      <sheetName val="Nigeria - P130865 Disb Schedule"/>
      <sheetName val="Nigeria - P102119 Disb Schedule"/>
      <sheetName val="Nigeria - P120798 Disb Schedule"/>
      <sheetName val="SOURCE CRS_2013 DO NOT EDIT"/>
      <sheetName val="SOURCE CRS_2014 DO NOT EDIT"/>
      <sheetName val="SOURCE CRS_2015 DO NOT EDIT"/>
      <sheetName val="SOURCE CRS_2016 DO NOT EDIT"/>
      <sheetName val="SOURCE CRS_2017 DO NOT EDIT"/>
      <sheetName val="SOURCE AFG Commitments"/>
    </sheetNames>
    <sheetDataSet>
      <sheetData sheetId="0"/>
      <sheetData sheetId="1">
        <row r="5">
          <cell r="D5">
            <v>251.37842199999997</v>
          </cell>
          <cell r="E5">
            <v>224.53178000000003</v>
          </cell>
          <cell r="F5">
            <v>209.46675299999998</v>
          </cell>
          <cell r="K5">
            <v>118.76737700000001</v>
          </cell>
          <cell r="L5">
            <v>94.126531999999997</v>
          </cell>
          <cell r="M5">
            <v>98.226952999999995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8" sqref="B8"/>
    </sheetView>
  </sheetViews>
  <sheetFormatPr baseColWidth="10" defaultRowHeight="16" x14ac:dyDescent="0.2"/>
  <cols>
    <col min="1" max="1" width="12.33203125" bestFit="1" customWidth="1"/>
    <col min="2" max="4" width="11.33203125" bestFit="1" customWidth="1"/>
    <col min="5" max="5" width="13.6640625" bestFit="1" customWidth="1"/>
    <col min="6" max="6" width="9.33203125" bestFit="1" customWidth="1"/>
    <col min="7" max="9" width="14.33203125" bestFit="1" customWidth="1"/>
    <col min="10" max="10" width="16.6640625" bestFit="1" customWidth="1"/>
    <col min="11" max="11" width="12.33203125" bestFit="1" customWidth="1"/>
    <col min="12" max="12" width="16.6640625" bestFit="1" customWidth="1"/>
    <col min="13" max="13" width="12.33203125" bestFit="1" customWidth="1"/>
    <col min="14" max="14" width="14.83203125" bestFit="1" customWidth="1"/>
  </cols>
  <sheetData>
    <row r="1" spans="1:14" x14ac:dyDescent="0.2">
      <c r="A1" t="s">
        <v>0</v>
      </c>
      <c r="B1" t="s">
        <v>43</v>
      </c>
      <c r="C1" t="s">
        <v>44</v>
      </c>
      <c r="D1" t="s">
        <v>45</v>
      </c>
      <c r="E1" t="s">
        <v>49</v>
      </c>
      <c r="F1" t="s">
        <v>50</v>
      </c>
      <c r="G1" t="s">
        <v>46</v>
      </c>
      <c r="H1" t="s">
        <v>47</v>
      </c>
      <c r="I1" t="s">
        <v>48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 x14ac:dyDescent="0.2">
      <c r="A2" t="s">
        <v>1</v>
      </c>
      <c r="B2" s="1">
        <f>VLOOKUP($A2,'SOURCE Ghana Health'!$A$2:$D$15,2,FALSE)</f>
        <v>2828030</v>
      </c>
      <c r="C2" s="1">
        <f>VLOOKUP($A2,'SOURCE Ghana Health'!$A$2:$D$15,3,FALSE)</f>
        <v>9153381</v>
      </c>
      <c r="D2" s="1">
        <f>VLOOKUP($A2,'SOURCE Ghana Health'!$A$2:$D$15,4,FALSE)</f>
        <v>7854843</v>
      </c>
      <c r="E2" s="1">
        <f>AVERAGE(B2:D2)</f>
        <v>6612084.666666667</v>
      </c>
      <c r="F2" s="1"/>
      <c r="G2" s="1">
        <f>VLOOKUP($A2,'SOURCE Ghana Education'!$A$2:$D$13,2,FALSE)</f>
        <v>4052478</v>
      </c>
      <c r="H2" s="1">
        <f>VLOOKUP($A2,'SOURCE Ghana Education'!$A$2:$D$13,3,FALSE)</f>
        <v>8047479</v>
      </c>
      <c r="I2" s="1">
        <f>VLOOKUP($A2,'SOURCE Ghana Education'!$A$2:$D$13,4,FALSE)</f>
        <v>6943534</v>
      </c>
      <c r="J2" s="1">
        <f>AVERAGE(G2:I2)</f>
        <v>6347830.333333333</v>
      </c>
      <c r="K2" s="1"/>
      <c r="L2" s="1">
        <f>E2+J2</f>
        <v>12959915</v>
      </c>
      <c r="M2" s="1"/>
    </row>
    <row r="3" spans="1:14" x14ac:dyDescent="0.2">
      <c r="A3" t="s">
        <v>2</v>
      </c>
      <c r="B3" s="1">
        <f>VLOOKUP($A3,'SOURCE Ghana Health'!$A$2:$D$15,2,FALSE)</f>
        <v>108757018</v>
      </c>
      <c r="C3" s="1">
        <f>VLOOKUP($A3,'SOURCE Ghana Health'!$A$2:$D$15,3,FALSE)</f>
        <v>104832743</v>
      </c>
      <c r="D3" s="1">
        <f>VLOOKUP($A3,'SOURCE Ghana Health'!$A$2:$D$15,4,FALSE)</f>
        <v>66807882</v>
      </c>
      <c r="E3" s="1">
        <f t="shared" ref="E3:E14" si="0">AVERAGE(B3:D3)</f>
        <v>93465881</v>
      </c>
      <c r="F3" s="1"/>
      <c r="G3" s="1">
        <f>VLOOKUP($A3,'SOURCE Ghana Education'!$A$2:$D$13,2,FALSE)</f>
        <v>83944104</v>
      </c>
      <c r="H3" s="1">
        <f>VLOOKUP($A3,'SOURCE Ghana Education'!$A$2:$D$13,3,FALSE)</f>
        <v>52166343</v>
      </c>
      <c r="I3" s="1">
        <f>VLOOKUP($A3,'SOURCE Ghana Education'!$A$2:$D$13,4,FALSE)</f>
        <v>79766781</v>
      </c>
      <c r="J3" s="1">
        <f t="shared" ref="J3:J14" si="1">AVERAGE(G3:I3)</f>
        <v>71959076</v>
      </c>
      <c r="K3" s="1"/>
      <c r="L3" s="1">
        <f t="shared" ref="L3:L14" si="2">E3+J3</f>
        <v>165424957</v>
      </c>
      <c r="M3" s="1"/>
    </row>
    <row r="4" spans="1:14" x14ac:dyDescent="0.2">
      <c r="A4" t="s">
        <v>3</v>
      </c>
      <c r="B4" s="1">
        <f>VLOOKUP($A4,'SOURCE Ghana Health'!$A$2:$D$15,2,FALSE)</f>
        <v>2904460</v>
      </c>
      <c r="C4" s="1">
        <f>VLOOKUP($A4,'SOURCE Ghana Health'!$A$2:$D$15,3,FALSE)</f>
        <v>216464</v>
      </c>
      <c r="D4" s="1">
        <f>VLOOKUP($A4,'SOURCE Ghana Health'!$A$2:$D$15,4,FALSE)</f>
        <v>991414</v>
      </c>
      <c r="E4" s="1">
        <f t="shared" si="0"/>
        <v>1370779.3333333333</v>
      </c>
      <c r="F4" s="22">
        <f>E4/N4</f>
        <v>0.27037643188443744</v>
      </c>
      <c r="G4" s="1">
        <f>VLOOKUP($A4,'SOURCE Ghana Education'!$A$2:$D$13,2,FALSE)</f>
        <v>2707196</v>
      </c>
      <c r="H4" s="1">
        <f>VLOOKUP($A4,'SOURCE Ghana Education'!$A$2:$D$13,3,FALSE)</f>
        <v>3413384.1666666665</v>
      </c>
      <c r="I4" s="1">
        <f>VLOOKUP($A4,'SOURCE Ghana Education'!$A$2:$D$13,4,FALSE)</f>
        <v>4474107.166666667</v>
      </c>
      <c r="J4" s="1">
        <f t="shared" si="1"/>
        <v>3531562.444444444</v>
      </c>
      <c r="K4" s="21">
        <f>J4/N4</f>
        <v>0.696575465858573</v>
      </c>
      <c r="L4" s="1">
        <f t="shared" si="2"/>
        <v>4902341.7777777771</v>
      </c>
      <c r="M4" s="21">
        <f>F4+K4</f>
        <v>0.96695189774301049</v>
      </c>
      <c r="N4" s="13">
        <v>5069892.09</v>
      </c>
    </row>
    <row r="5" spans="1:14" x14ac:dyDescent="0.2">
      <c r="A5" t="s">
        <v>4</v>
      </c>
      <c r="B5" s="1">
        <f>VLOOKUP($A5,'SOURCE Ghana Health'!$A$2:$D$15,2,FALSE)</f>
        <v>865220</v>
      </c>
      <c r="C5" s="1">
        <f>VLOOKUP($A5,'SOURCE Ghana Health'!$A$2:$D$15,3,FALSE)</f>
        <v>411354</v>
      </c>
      <c r="D5" s="1">
        <f>VLOOKUP($A5,'SOURCE Ghana Health'!$A$2:$D$15,4,FALSE)</f>
        <v>1162495</v>
      </c>
      <c r="E5" s="1">
        <f t="shared" si="0"/>
        <v>813023</v>
      </c>
      <c r="F5" s="22">
        <f t="shared" ref="F5:F14" si="3">E5/N5</f>
        <v>0.33014732057361029</v>
      </c>
      <c r="G5" s="1">
        <f>VLOOKUP($A5,'SOURCE Ghana Education'!$A$2:$D$13,2,FALSE)</f>
        <v>2060076.3</v>
      </c>
      <c r="H5" s="1">
        <f>VLOOKUP($A5,'SOURCE Ghana Education'!$A$2:$D$13,3,FALSE)</f>
        <v>2752407.6791666667</v>
      </c>
      <c r="I5" s="1">
        <f>VLOOKUP($A5,'SOURCE Ghana Education'!$A$2:$D$13,4,FALSE)</f>
        <v>3675695.6291666669</v>
      </c>
      <c r="J5" s="1">
        <f t="shared" si="1"/>
        <v>2829393.2027777783</v>
      </c>
      <c r="K5" s="21">
        <f t="shared" ref="K5:K14" si="4">J5/N5</f>
        <v>1.148942385081688</v>
      </c>
      <c r="L5" s="1">
        <f t="shared" si="2"/>
        <v>3642416.2027777783</v>
      </c>
      <c r="M5" s="21">
        <f t="shared" ref="M5:M14" si="5">F5+K5</f>
        <v>1.4790897056552983</v>
      </c>
      <c r="N5" s="13">
        <v>2462606.6889999998</v>
      </c>
    </row>
    <row r="6" spans="1:14" x14ac:dyDescent="0.2">
      <c r="A6" t="s">
        <v>5</v>
      </c>
      <c r="B6" s="1">
        <f>VLOOKUP($A6,'SOURCE Ghana Health'!$A$2:$D$15,2,FALSE)</f>
        <v>516676</v>
      </c>
      <c r="C6" s="1">
        <f>VLOOKUP($A6,'SOURCE Ghana Health'!$A$2:$D$15,3,FALSE)</f>
        <v>181801</v>
      </c>
      <c r="D6" s="1">
        <f>VLOOKUP($A6,'SOURCE Ghana Health'!$A$2:$D$15,4,FALSE)</f>
        <v>1336618</v>
      </c>
      <c r="E6" s="1">
        <f t="shared" si="0"/>
        <v>678365</v>
      </c>
      <c r="F6" s="22">
        <f t="shared" si="3"/>
        <v>0.238666927182619</v>
      </c>
      <c r="G6" s="1">
        <f>VLOOKUP($A6,'SOURCE Ghana Education'!$A$2:$D$13,2,FALSE)</f>
        <v>2075055.4</v>
      </c>
      <c r="H6" s="1">
        <f>VLOOKUP($A6,'SOURCE Ghana Education'!$A$2:$D$13,3,FALSE)</f>
        <v>3249687.5166666666</v>
      </c>
      <c r="I6" s="1">
        <f>VLOOKUP($A6,'SOURCE Ghana Education'!$A$2:$D$13,4,FALSE)</f>
        <v>3178060.1166666667</v>
      </c>
      <c r="J6" s="1">
        <f t="shared" si="1"/>
        <v>2834267.6777777779</v>
      </c>
      <c r="K6" s="21">
        <f t="shared" si="4"/>
        <v>0.99717107673338035</v>
      </c>
      <c r="L6" s="1">
        <f t="shared" si="2"/>
        <v>3512632.6777777779</v>
      </c>
      <c r="M6" s="21">
        <f t="shared" si="5"/>
        <v>1.2358380039159993</v>
      </c>
      <c r="N6" s="13">
        <v>2842308.35</v>
      </c>
    </row>
    <row r="7" spans="1:14" x14ac:dyDescent="0.2">
      <c r="A7" t="s">
        <v>6</v>
      </c>
      <c r="B7" s="1">
        <f>VLOOKUP($A7,'SOURCE Ghana Health'!$A$2:$D$15,2,FALSE)</f>
        <v>303441</v>
      </c>
      <c r="C7" s="1">
        <f>VLOOKUP($A7,'SOURCE Ghana Health'!$A$2:$D$15,3,FALSE)</f>
        <v>160227</v>
      </c>
      <c r="D7" s="1">
        <f>VLOOKUP($A7,'SOURCE Ghana Health'!$A$2:$D$15,4,FALSE)</f>
        <v>1080102</v>
      </c>
      <c r="E7" s="1">
        <f t="shared" si="0"/>
        <v>514590</v>
      </c>
      <c r="F7" s="22">
        <f t="shared" si="3"/>
        <v>0.19294974572672002</v>
      </c>
      <c r="G7" s="1">
        <f>VLOOKUP($A7,'SOURCE Ghana Education'!$A$2:$D$13,2,FALSE)</f>
        <v>2390774.6</v>
      </c>
      <c r="H7" s="1">
        <f>VLOOKUP($A7,'SOURCE Ghana Education'!$A$2:$D$13,3,FALSE)</f>
        <v>4504877.7333333334</v>
      </c>
      <c r="I7" s="1">
        <f>VLOOKUP($A7,'SOURCE Ghana Education'!$A$2:$D$13,4,FALSE)</f>
        <v>5008951.1333333328</v>
      </c>
      <c r="J7" s="1">
        <f t="shared" si="1"/>
        <v>3968201.1555555556</v>
      </c>
      <c r="K7" s="21">
        <f t="shared" si="4"/>
        <v>1.487909605621798</v>
      </c>
      <c r="L7" s="1">
        <f t="shared" si="2"/>
        <v>4482791.1555555556</v>
      </c>
      <c r="M7" s="21">
        <f t="shared" si="5"/>
        <v>1.6808593513485179</v>
      </c>
      <c r="N7" s="13">
        <v>2666963.8670000001</v>
      </c>
    </row>
    <row r="8" spans="1:14" x14ac:dyDescent="0.2">
      <c r="A8" t="s">
        <v>7</v>
      </c>
      <c r="B8" s="1">
        <f>VLOOKUP($A8,'SOURCE Ghana Health'!$A$2:$D$15,2,FALSE)</f>
        <v>64808278</v>
      </c>
      <c r="C8" s="1">
        <f>VLOOKUP($A8,'SOURCE Ghana Health'!$A$2:$D$15,3,FALSE)</f>
        <v>71772753</v>
      </c>
      <c r="D8" s="1">
        <f>VLOOKUP($A8,'SOURCE Ghana Health'!$A$2:$D$15,4,FALSE)</f>
        <v>17327648</v>
      </c>
      <c r="E8" s="1">
        <f t="shared" si="0"/>
        <v>51302893</v>
      </c>
      <c r="F8" s="22">
        <f t="shared" si="3"/>
        <v>9.9787206697988822</v>
      </c>
      <c r="G8" s="1">
        <f>VLOOKUP($A8,'SOURCE Ghana Education'!$A$2:$D$13,2,FALSE)</f>
        <v>371603.7</v>
      </c>
      <c r="H8" s="1">
        <f>VLOOKUP($A8,'SOURCE Ghana Education'!$A$2:$D$13,3,FALSE)</f>
        <v>816221.48750000005</v>
      </c>
      <c r="I8" s="1">
        <f>VLOOKUP($A8,'SOURCE Ghana Education'!$A$2:$D$13,4,FALSE)</f>
        <v>7546916.5374999996</v>
      </c>
      <c r="J8" s="1">
        <f t="shared" si="1"/>
        <v>2911580.5749999997</v>
      </c>
      <c r="K8" s="21">
        <f t="shared" si="4"/>
        <v>0.56631990062504678</v>
      </c>
      <c r="L8" s="1">
        <f t="shared" si="2"/>
        <v>54214473.575000003</v>
      </c>
      <c r="M8" s="21">
        <f t="shared" si="5"/>
        <v>10.545040570423929</v>
      </c>
      <c r="N8" s="13">
        <v>5141229.4919999996</v>
      </c>
    </row>
    <row r="9" spans="1:14" x14ac:dyDescent="0.2">
      <c r="A9" t="s">
        <v>8</v>
      </c>
      <c r="B9" s="1">
        <f>VLOOKUP($A9,'SOURCE Ghana Health'!$A$2:$D$15,2,FALSE)</f>
        <v>5164126</v>
      </c>
      <c r="C9" s="1">
        <f>VLOOKUP($A9,'SOURCE Ghana Health'!$A$2:$D$15,3,FALSE)</f>
        <v>9931269</v>
      </c>
      <c r="D9" s="1">
        <f>VLOOKUP($A9,'SOURCE Ghana Health'!$A$2:$D$15,4,FALSE)</f>
        <v>18364518</v>
      </c>
      <c r="E9" s="1">
        <f t="shared" si="0"/>
        <v>11153304.333333334</v>
      </c>
      <c r="F9" s="22">
        <f t="shared" si="3"/>
        <v>3.9925513651194584</v>
      </c>
      <c r="G9" s="1">
        <f>VLOOKUP($A9,'SOURCE Ghana Education'!$A$2:$D$13,2,FALSE)</f>
        <v>2277508.9</v>
      </c>
      <c r="H9" s="1">
        <f>VLOOKUP($A9,'SOURCE Ghana Education'!$A$2:$D$13,3,FALSE)</f>
        <v>4417150.2458333336</v>
      </c>
      <c r="I9" s="1">
        <f>VLOOKUP($A9,'SOURCE Ghana Education'!$A$2:$D$13,4,FALSE)</f>
        <v>4840312.5958333332</v>
      </c>
      <c r="J9" s="1">
        <f t="shared" si="1"/>
        <v>3844990.5805555559</v>
      </c>
      <c r="K9" s="21">
        <f t="shared" si="4"/>
        <v>1.3763923167942973</v>
      </c>
      <c r="L9" s="1">
        <f t="shared" si="2"/>
        <v>14998294.91388889</v>
      </c>
      <c r="M9" s="21">
        <f t="shared" si="5"/>
        <v>5.3689436819137555</v>
      </c>
      <c r="N9" s="13">
        <v>2793528.0759999999</v>
      </c>
    </row>
    <row r="10" spans="1:14" x14ac:dyDescent="0.2">
      <c r="A10" t="s">
        <v>9</v>
      </c>
      <c r="B10" s="1">
        <f>VLOOKUP($A10,'SOURCE Ghana Health'!$A$2:$D$15,2,FALSE)</f>
        <v>2467832</v>
      </c>
      <c r="C10" s="1">
        <f>VLOOKUP($A10,'SOURCE Ghana Health'!$A$2:$D$15,3,FALSE)</f>
        <v>5925748</v>
      </c>
      <c r="D10" s="1">
        <f>VLOOKUP($A10,'SOURCE Ghana Health'!$A$2:$D$15,4,FALSE)</f>
        <v>2581655</v>
      </c>
      <c r="E10" s="1">
        <f t="shared" si="0"/>
        <v>3658411.6666666665</v>
      </c>
      <c r="F10" s="22">
        <f t="shared" si="3"/>
        <v>3.0417268061034162</v>
      </c>
      <c r="G10" s="1">
        <f>VLOOKUP($A10,'SOURCE Ghana Education'!$A$2:$D$13,2,FALSE)</f>
        <v>1557442.7</v>
      </c>
      <c r="H10" s="1">
        <f>VLOOKUP($A10,'SOURCE Ghana Education'!$A$2:$D$13,3,FALSE)</f>
        <v>3054436.4874999998</v>
      </c>
      <c r="I10" s="1">
        <f>VLOOKUP($A10,'SOURCE Ghana Education'!$A$2:$D$13,4,FALSE)</f>
        <v>3457935.5375000001</v>
      </c>
      <c r="J10" s="1">
        <f t="shared" si="1"/>
        <v>2689938.2416666667</v>
      </c>
      <c r="K10" s="21">
        <f t="shared" si="4"/>
        <v>2.2365053476595782</v>
      </c>
      <c r="L10" s="1">
        <f t="shared" si="2"/>
        <v>6348349.9083333332</v>
      </c>
      <c r="M10" s="21">
        <f t="shared" si="5"/>
        <v>5.2782321537629944</v>
      </c>
      <c r="N10" s="13">
        <v>1202741.699</v>
      </c>
    </row>
    <row r="11" spans="1:14" x14ac:dyDescent="0.2">
      <c r="A11" t="s">
        <v>10</v>
      </c>
      <c r="B11" s="1">
        <f>VLOOKUP($A11,'SOURCE Ghana Health'!$A$2:$D$15,2,FALSE)</f>
        <v>303441</v>
      </c>
      <c r="C11" s="1">
        <f>VLOOKUP($A11,'SOURCE Ghana Health'!$A$2:$D$15,3,FALSE)</f>
        <v>1673130</v>
      </c>
      <c r="D11" s="1">
        <f>VLOOKUP($A11,'SOURCE Ghana Health'!$A$2:$D$15,4,FALSE)</f>
        <v>1070725</v>
      </c>
      <c r="E11" s="1">
        <f t="shared" si="0"/>
        <v>1015765.3333333334</v>
      </c>
      <c r="F11" s="22">
        <f t="shared" si="3"/>
        <v>1.3291391811413922</v>
      </c>
      <c r="G11" s="1">
        <f>VLOOKUP($A11,'SOURCE Ghana Education'!$A$2:$D$13,2,FALSE)</f>
        <v>1316869.8999999999</v>
      </c>
      <c r="H11" s="1">
        <f>VLOOKUP($A11,'SOURCE Ghana Education'!$A$2:$D$13,3,FALSE)</f>
        <v>2314863.7041666666</v>
      </c>
      <c r="I11" s="1">
        <f>VLOOKUP($A11,'SOURCE Ghana Education'!$A$2:$D$13,4,FALSE)</f>
        <v>2668208.5541666667</v>
      </c>
      <c r="J11" s="1">
        <f t="shared" si="1"/>
        <v>2099980.7194444444</v>
      </c>
      <c r="K11" s="21">
        <f t="shared" si="4"/>
        <v>2.7478459465589493</v>
      </c>
      <c r="L11" s="1">
        <f t="shared" si="2"/>
        <v>3115746.0527777779</v>
      </c>
      <c r="M11" s="21">
        <f t="shared" si="5"/>
        <v>4.0769851277003415</v>
      </c>
      <c r="N11" s="13">
        <v>764227.96629999997</v>
      </c>
    </row>
    <row r="12" spans="1:14" x14ac:dyDescent="0.2">
      <c r="A12" t="s">
        <v>11</v>
      </c>
      <c r="B12" s="1">
        <f>VLOOKUP($A12,'SOURCE Ghana Health'!$A$2:$D$15,2,FALSE)</f>
        <v>1811779</v>
      </c>
      <c r="C12" s="1">
        <f>VLOOKUP($A12,'SOURCE Ghana Health'!$A$2:$D$15,3,FALSE)</f>
        <v>1501127</v>
      </c>
      <c r="D12" s="1">
        <f>VLOOKUP($A12,'SOURCE Ghana Health'!$A$2:$D$15,4,FALSE)</f>
        <v>1748800</v>
      </c>
      <c r="E12" s="1">
        <f t="shared" si="0"/>
        <v>1687235.3333333333</v>
      </c>
      <c r="F12" s="22">
        <f t="shared" si="3"/>
        <v>0.73092194108462749</v>
      </c>
      <c r="G12" s="1">
        <f>VLOOKUP($A12,'SOURCE Ghana Education'!$A$2:$D$13,2,FALSE)</f>
        <v>2699509.1</v>
      </c>
      <c r="H12" s="1">
        <f>VLOOKUP($A12,'SOURCE Ghana Education'!$A$2:$D$13,3,FALSE)</f>
        <v>3350071.0041666669</v>
      </c>
      <c r="I12" s="1">
        <f>VLOOKUP($A12,'SOURCE Ghana Education'!$A$2:$D$13,4,FALSE)</f>
        <v>4470287.6541666668</v>
      </c>
      <c r="J12" s="1">
        <f t="shared" si="1"/>
        <v>3506622.5861111111</v>
      </c>
      <c r="K12" s="21">
        <f t="shared" si="4"/>
        <v>1.5190930018208464</v>
      </c>
      <c r="L12" s="1">
        <f t="shared" si="2"/>
        <v>5193857.9194444446</v>
      </c>
      <c r="M12" s="21">
        <f t="shared" si="5"/>
        <v>2.2500149429054739</v>
      </c>
      <c r="N12" s="13">
        <v>2308365.9670000002</v>
      </c>
    </row>
    <row r="13" spans="1:14" x14ac:dyDescent="0.2">
      <c r="A13" t="s">
        <v>12</v>
      </c>
      <c r="B13" s="1">
        <f>VLOOKUP($A13,'SOURCE Ghana Health'!$A$2:$D$15,2,FALSE)</f>
        <v>516676</v>
      </c>
      <c r="C13" s="1">
        <f>VLOOKUP($A13,'SOURCE Ghana Health'!$A$2:$D$15,3,FALSE)</f>
        <v>181801</v>
      </c>
      <c r="D13" s="1">
        <f>VLOOKUP($A13,'SOURCE Ghana Health'!$A$2:$D$15,4,FALSE)</f>
        <v>670210</v>
      </c>
      <c r="E13" s="1">
        <f t="shared" si="0"/>
        <v>456229</v>
      </c>
      <c r="F13" s="22">
        <f t="shared" si="3"/>
        <v>0.15439933462651648</v>
      </c>
      <c r="G13" s="1">
        <f>VLOOKUP($A13,'SOURCE Ghana Education'!$A$2:$D$13,2,FALSE)</f>
        <v>1583944.4</v>
      </c>
      <c r="H13" s="1">
        <f>VLOOKUP($A13,'SOURCE Ghana Education'!$A$2:$D$13,3,FALSE)</f>
        <v>1733943.9750000001</v>
      </c>
      <c r="I13" s="1">
        <f>VLOOKUP($A13,'SOURCE Ghana Education'!$A$2:$D$13,4,FALSE)</f>
        <v>4596853.0750000002</v>
      </c>
      <c r="J13" s="1">
        <f t="shared" si="1"/>
        <v>2638247.15</v>
      </c>
      <c r="K13" s="21">
        <f t="shared" si="4"/>
        <v>0.89284899587773547</v>
      </c>
      <c r="L13" s="1">
        <f t="shared" si="2"/>
        <v>3094476.15</v>
      </c>
      <c r="M13" s="21">
        <f t="shared" si="5"/>
        <v>1.0472483305042519</v>
      </c>
      <c r="N13" s="13">
        <v>2954863.77</v>
      </c>
    </row>
    <row r="14" spans="1:14" x14ac:dyDescent="0.2">
      <c r="A14" t="s">
        <v>13</v>
      </c>
      <c r="B14" s="1">
        <f>SUM(B2:B13)</f>
        <v>191246977</v>
      </c>
      <c r="C14" s="1">
        <f t="shared" ref="C14:D14" si="6">SUM(C2:C13)</f>
        <v>205941798</v>
      </c>
      <c r="D14" s="1">
        <f t="shared" si="6"/>
        <v>120996910</v>
      </c>
      <c r="E14" s="1">
        <f t="shared" si="0"/>
        <v>172728561.66666666</v>
      </c>
      <c r="F14" s="22">
        <f t="shared" si="3"/>
        <v>6.1236653066128994</v>
      </c>
      <c r="G14" s="1">
        <f>SUM(G2:G13)</f>
        <v>107036563.00000001</v>
      </c>
      <c r="H14" s="1">
        <f t="shared" ref="H14:I14" si="7">SUM(H2:H13)</f>
        <v>89820865.999999985</v>
      </c>
      <c r="I14" s="1">
        <f t="shared" si="7"/>
        <v>130627642.99999997</v>
      </c>
      <c r="J14" s="1">
        <f t="shared" si="1"/>
        <v>109161690.66666667</v>
      </c>
      <c r="K14" s="21">
        <f t="shared" si="4"/>
        <v>3.8700586139117825</v>
      </c>
      <c r="L14" s="1">
        <f t="shared" si="2"/>
        <v>281890252.33333331</v>
      </c>
      <c r="M14" s="21">
        <f t="shared" si="5"/>
        <v>9.9937239205246815</v>
      </c>
      <c r="N14" s="13">
        <v>28206728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A6" sqref="A6"/>
    </sheetView>
  </sheetViews>
  <sheetFormatPr baseColWidth="10" defaultRowHeight="16" x14ac:dyDescent="0.2"/>
  <cols>
    <col min="1" max="1" width="97.33203125" style="2" bestFit="1" customWidth="1"/>
    <col min="2" max="2" width="14" style="2" bestFit="1" customWidth="1"/>
    <col min="3" max="4" width="15.33203125" style="2" bestFit="1" customWidth="1"/>
    <col min="5" max="16384" width="10.83203125" style="2"/>
  </cols>
  <sheetData>
    <row r="1" spans="1:6" x14ac:dyDescent="0.2">
      <c r="A1" s="2" t="s">
        <v>14</v>
      </c>
      <c r="B1" s="2">
        <v>2015</v>
      </c>
      <c r="C1" s="2">
        <v>2016</v>
      </c>
      <c r="D1" s="2">
        <v>2017</v>
      </c>
      <c r="E1" s="2" t="s">
        <v>15</v>
      </c>
      <c r="F1" s="2" t="s">
        <v>16</v>
      </c>
    </row>
    <row r="2" spans="1:6" x14ac:dyDescent="0.2">
      <c r="A2" s="2" t="s">
        <v>17</v>
      </c>
      <c r="B2" s="3">
        <f>56124059+SUM(B6,B7,B11,B12,B13,B26)</f>
        <v>191246977</v>
      </c>
      <c r="C2" s="3">
        <f>25284198+SUM(C6,C7,C9,C11,C12,C13,C26,C27)</f>
        <v>205941798</v>
      </c>
      <c r="D2" s="3">
        <f>37286544+SUM(D7,D11,D12,D13,D26,D27)</f>
        <v>120996910</v>
      </c>
    </row>
    <row r="3" spans="1:6" x14ac:dyDescent="0.2">
      <c r="A3" s="2" t="s">
        <v>18</v>
      </c>
      <c r="B3" s="3">
        <f>23625364+SUM(B8,B10,B14,B5)</f>
        <v>107036563</v>
      </c>
      <c r="C3" s="3">
        <f>38919451+SUM(C10,C14,C8,C5)</f>
        <v>89820866</v>
      </c>
      <c r="D3" s="3">
        <f>53858817+SUM(D10,D14,D5)</f>
        <v>130627643</v>
      </c>
    </row>
    <row r="4" spans="1:6" x14ac:dyDescent="0.2">
      <c r="A4" s="4" t="s">
        <v>19</v>
      </c>
      <c r="B4" s="4"/>
      <c r="C4" s="4"/>
      <c r="D4" s="4"/>
    </row>
    <row r="5" spans="1:6" x14ac:dyDescent="0.2">
      <c r="A5" s="5" t="s">
        <v>20</v>
      </c>
      <c r="B5" s="6">
        <v>41072167</v>
      </c>
      <c r="C5" s="6">
        <v>25976362</v>
      </c>
      <c r="D5" s="6">
        <v>56639665</v>
      </c>
      <c r="E5" s="2" t="s">
        <v>2</v>
      </c>
    </row>
    <row r="6" spans="1:6" ht="32" x14ac:dyDescent="0.2">
      <c r="A6" s="7" t="s">
        <v>21</v>
      </c>
      <c r="B6" s="8">
        <v>61924156</v>
      </c>
      <c r="C6" s="8">
        <v>71567189</v>
      </c>
      <c r="D6" s="9"/>
      <c r="E6" s="2" t="s">
        <v>7</v>
      </c>
    </row>
    <row r="7" spans="1:6" x14ac:dyDescent="0.2">
      <c r="A7" s="5" t="s">
        <v>22</v>
      </c>
      <c r="B7" s="8">
        <v>59950000</v>
      </c>
      <c r="C7" s="8">
        <v>71250000</v>
      </c>
      <c r="D7" s="8">
        <v>52790000</v>
      </c>
      <c r="E7" s="2" t="s">
        <v>2</v>
      </c>
    </row>
    <row r="8" spans="1:6" x14ac:dyDescent="0.2">
      <c r="A8" s="5" t="s">
        <v>23</v>
      </c>
      <c r="C8" s="10">
        <v>5010000</v>
      </c>
      <c r="E8" s="2" t="s">
        <v>2</v>
      </c>
    </row>
    <row r="9" spans="1:6" x14ac:dyDescent="0.2">
      <c r="A9" s="5" t="s">
        <v>24</v>
      </c>
      <c r="C9" s="8">
        <v>7432960</v>
      </c>
      <c r="E9" s="2" t="s">
        <v>2</v>
      </c>
    </row>
    <row r="10" spans="1:6" x14ac:dyDescent="0.2">
      <c r="A10" s="5" t="s">
        <v>25</v>
      </c>
      <c r="B10" s="10">
        <v>39920000</v>
      </c>
      <c r="C10" s="10">
        <v>18500000</v>
      </c>
      <c r="D10" s="10">
        <v>16680000</v>
      </c>
      <c r="E10" s="2" t="s">
        <v>2</v>
      </c>
    </row>
    <row r="11" spans="1:6" x14ac:dyDescent="0.2">
      <c r="A11" s="5" t="s">
        <v>26</v>
      </c>
      <c r="B11" s="8">
        <v>1250000</v>
      </c>
      <c r="C11" s="8">
        <v>1250000</v>
      </c>
      <c r="D11" s="8">
        <v>1000000</v>
      </c>
      <c r="E11" s="2" t="s">
        <v>2</v>
      </c>
      <c r="F11" s="2" t="s">
        <v>11</v>
      </c>
    </row>
    <row r="12" spans="1:6" x14ac:dyDescent="0.2">
      <c r="A12" s="5" t="s">
        <v>27</v>
      </c>
      <c r="B12" s="8">
        <v>5232025</v>
      </c>
      <c r="C12" s="8">
        <v>10080477</v>
      </c>
      <c r="D12" s="8">
        <v>6273802</v>
      </c>
      <c r="E12" s="2" t="s">
        <v>2</v>
      </c>
    </row>
    <row r="13" spans="1:6" x14ac:dyDescent="0.2">
      <c r="A13" s="5" t="s">
        <v>28</v>
      </c>
      <c r="B13" s="8">
        <v>1883501</v>
      </c>
      <c r="C13" s="8">
        <v>2614151</v>
      </c>
      <c r="D13" s="8">
        <v>479500</v>
      </c>
      <c r="E13" s="2" t="s">
        <v>9</v>
      </c>
    </row>
    <row r="14" spans="1:6" x14ac:dyDescent="0.2">
      <c r="A14" s="5" t="s">
        <v>29</v>
      </c>
      <c r="B14" s="10">
        <v>2419032</v>
      </c>
      <c r="C14" s="10">
        <v>1415053</v>
      </c>
      <c r="D14" s="10">
        <v>3449161</v>
      </c>
      <c r="E14" s="2" t="s">
        <v>2</v>
      </c>
    </row>
    <row r="15" spans="1:6" x14ac:dyDescent="0.2">
      <c r="A15" s="5" t="s">
        <v>30</v>
      </c>
      <c r="E15" s="2" t="s">
        <v>31</v>
      </c>
    </row>
    <row r="16" spans="1:6" x14ac:dyDescent="0.2">
      <c r="A16" s="5" t="s">
        <v>3</v>
      </c>
      <c r="B16" s="8">
        <f>(E16/240)*$B$14</f>
        <v>403172</v>
      </c>
      <c r="C16" s="3">
        <f>(E16/240)*$C$14</f>
        <v>235842.16666666666</v>
      </c>
      <c r="D16" s="3">
        <f>(E16/240)*$D$14</f>
        <v>574860.16666666663</v>
      </c>
      <c r="E16" s="8">
        <v>40</v>
      </c>
      <c r="F16" s="2" t="str">
        <f>A16</f>
        <v>Ashanti</v>
      </c>
    </row>
    <row r="17" spans="1:6" x14ac:dyDescent="0.2">
      <c r="A17" s="5" t="s">
        <v>11</v>
      </c>
      <c r="B17" s="8">
        <f>(E17/240)*$B$14</f>
        <v>372934.10000000003</v>
      </c>
      <c r="C17" s="3">
        <f t="shared" ref="C17:C25" si="0">(E17/240)*$C$14</f>
        <v>218154.00416666668</v>
      </c>
      <c r="D17" s="3">
        <f t="shared" ref="D17:D25" si="1">(E17/240)*$D$14</f>
        <v>531745.65416666667</v>
      </c>
      <c r="E17" s="8">
        <v>37</v>
      </c>
      <c r="F17" s="2" t="str">
        <f t="shared" ref="F17:F26" si="2">A17</f>
        <v>Volta</v>
      </c>
    </row>
    <row r="18" spans="1:6" x14ac:dyDescent="0.2">
      <c r="A18" s="5" t="s">
        <v>6</v>
      </c>
      <c r="B18" s="8">
        <f t="shared" ref="B18:B25" si="3">(E18/240)*$B$14</f>
        <v>322537.59999999998</v>
      </c>
      <c r="C18" s="3">
        <f t="shared" si="0"/>
        <v>188673.73333333334</v>
      </c>
      <c r="D18" s="3">
        <f t="shared" si="1"/>
        <v>459888.1333333333</v>
      </c>
      <c r="E18" s="8">
        <v>32</v>
      </c>
      <c r="F18" s="2" t="str">
        <f t="shared" si="2"/>
        <v>Eastern</v>
      </c>
    </row>
    <row r="19" spans="1:6" x14ac:dyDescent="0.2">
      <c r="A19" s="5" t="s">
        <v>4</v>
      </c>
      <c r="B19" s="8">
        <f t="shared" si="3"/>
        <v>312458.30000000005</v>
      </c>
      <c r="C19" s="3">
        <f t="shared" si="0"/>
        <v>182777.6791666667</v>
      </c>
      <c r="D19" s="3">
        <f t="shared" si="1"/>
        <v>445516.62916666671</v>
      </c>
      <c r="E19" s="8">
        <v>31</v>
      </c>
      <c r="F19" s="2" t="str">
        <f t="shared" si="2"/>
        <v>Brong Ahafo</v>
      </c>
    </row>
    <row r="20" spans="1:6" x14ac:dyDescent="0.2">
      <c r="A20" s="5" t="s">
        <v>5</v>
      </c>
      <c r="B20" s="8">
        <f t="shared" si="3"/>
        <v>282220.40000000002</v>
      </c>
      <c r="C20" s="3">
        <f t="shared" si="0"/>
        <v>165089.51666666666</v>
      </c>
      <c r="D20" s="3">
        <f t="shared" si="1"/>
        <v>402402.1166666667</v>
      </c>
      <c r="E20" s="8">
        <v>28</v>
      </c>
      <c r="F20" s="2" t="str">
        <f t="shared" si="2"/>
        <v>Central</v>
      </c>
    </row>
    <row r="21" spans="1:6" x14ac:dyDescent="0.2">
      <c r="A21" s="5" t="s">
        <v>8</v>
      </c>
      <c r="B21" s="8">
        <f t="shared" si="3"/>
        <v>231823.90000000002</v>
      </c>
      <c r="C21" s="3">
        <f t="shared" si="0"/>
        <v>135609.24583333335</v>
      </c>
      <c r="D21" s="3">
        <f t="shared" si="1"/>
        <v>330544.59583333338</v>
      </c>
      <c r="E21" s="8">
        <v>23</v>
      </c>
      <c r="F21" s="2" t="str">
        <f t="shared" si="2"/>
        <v>Northern</v>
      </c>
    </row>
    <row r="22" spans="1:6" x14ac:dyDescent="0.2">
      <c r="A22" s="5" t="s">
        <v>12</v>
      </c>
      <c r="B22" s="8">
        <f t="shared" si="3"/>
        <v>181427.4</v>
      </c>
      <c r="C22" s="3">
        <f t="shared" si="0"/>
        <v>106128.97499999999</v>
      </c>
      <c r="D22" s="3">
        <f t="shared" si="1"/>
        <v>258687.07499999998</v>
      </c>
      <c r="E22" s="8">
        <v>18</v>
      </c>
      <c r="F22" s="2" t="str">
        <f t="shared" si="2"/>
        <v>Western</v>
      </c>
    </row>
    <row r="23" spans="1:6" x14ac:dyDescent="0.2">
      <c r="A23" s="5" t="s">
        <v>10</v>
      </c>
      <c r="B23" s="8">
        <f t="shared" si="3"/>
        <v>131030.90000000001</v>
      </c>
      <c r="C23" s="3">
        <f t="shared" si="0"/>
        <v>76648.704166666663</v>
      </c>
      <c r="D23" s="3">
        <f t="shared" si="1"/>
        <v>186829.55416666667</v>
      </c>
      <c r="E23" s="8">
        <v>13</v>
      </c>
      <c r="F23" s="2" t="str">
        <f t="shared" si="2"/>
        <v>Upper West</v>
      </c>
    </row>
    <row r="24" spans="1:6" x14ac:dyDescent="0.2">
      <c r="A24" s="5" t="s">
        <v>7</v>
      </c>
      <c r="B24" s="8">
        <f t="shared" si="3"/>
        <v>90713.7</v>
      </c>
      <c r="C24" s="3">
        <f t="shared" si="0"/>
        <v>53064.487499999996</v>
      </c>
      <c r="D24" s="3">
        <f t="shared" si="1"/>
        <v>129343.53749999999</v>
      </c>
      <c r="E24" s="8">
        <v>9</v>
      </c>
      <c r="F24" s="2" t="str">
        <f t="shared" si="2"/>
        <v>Greater Accra</v>
      </c>
    </row>
    <row r="25" spans="1:6" x14ac:dyDescent="0.2">
      <c r="A25" s="5" t="s">
        <v>9</v>
      </c>
      <c r="B25" s="8">
        <f t="shared" si="3"/>
        <v>90713.7</v>
      </c>
      <c r="C25" s="3">
        <f t="shared" si="0"/>
        <v>53064.487499999996</v>
      </c>
      <c r="D25" s="3">
        <f t="shared" si="1"/>
        <v>129343.53749999999</v>
      </c>
      <c r="E25" s="8">
        <v>9</v>
      </c>
      <c r="F25" s="2" t="str">
        <f t="shared" si="2"/>
        <v>Upper East</v>
      </c>
    </row>
    <row r="26" spans="1:6" x14ac:dyDescent="0.2">
      <c r="A26" s="5" t="s">
        <v>32</v>
      </c>
      <c r="B26" s="8">
        <v>4883236</v>
      </c>
      <c r="C26" s="8">
        <v>6779899</v>
      </c>
      <c r="D26" s="8">
        <v>16009651</v>
      </c>
      <c r="E26" s="2" t="s">
        <v>8</v>
      </c>
    </row>
    <row r="27" spans="1:6" x14ac:dyDescent="0.2">
      <c r="A27" s="5" t="s">
        <v>33</v>
      </c>
      <c r="C27" s="3">
        <v>9682924</v>
      </c>
      <c r="D27" s="3">
        <v>7157413</v>
      </c>
      <c r="E27" s="2" t="s">
        <v>2</v>
      </c>
    </row>
    <row r="31" spans="1:6" x14ac:dyDescent="0.2">
      <c r="A31" s="11"/>
      <c r="B31" s="11"/>
      <c r="C31" s="11"/>
      <c r="D31" s="11"/>
    </row>
    <row r="32" spans="1:6" x14ac:dyDescent="0.2">
      <c r="A32" s="12"/>
      <c r="B32" s="11"/>
      <c r="C32" s="11"/>
      <c r="D32" s="11"/>
    </row>
    <row r="33" spans="1:4" x14ac:dyDescent="0.2">
      <c r="A33" s="12"/>
      <c r="B33" s="11"/>
      <c r="C33" s="11"/>
      <c r="D33" s="11"/>
    </row>
    <row r="34" spans="1:4" x14ac:dyDescent="0.2">
      <c r="A34" s="12"/>
      <c r="B34" s="11"/>
      <c r="C34" s="11"/>
      <c r="D34" s="11"/>
    </row>
    <row r="35" spans="1:4" x14ac:dyDescent="0.2">
      <c r="A35" s="12"/>
      <c r="B35" s="11"/>
      <c r="C35" s="11"/>
      <c r="D35" s="11"/>
    </row>
    <row r="36" spans="1:4" x14ac:dyDescent="0.2">
      <c r="A36" s="12"/>
      <c r="B36" s="11"/>
      <c r="C36" s="11"/>
      <c r="D36" s="11"/>
    </row>
    <row r="37" spans="1:4" x14ac:dyDescent="0.2">
      <c r="A37" s="12"/>
      <c r="B37" s="11"/>
      <c r="C37" s="11"/>
      <c r="D37" s="11"/>
    </row>
    <row r="38" spans="1:4" x14ac:dyDescent="0.2">
      <c r="A38" s="12"/>
      <c r="B38" s="11"/>
      <c r="C38" s="11"/>
      <c r="D38" s="11"/>
    </row>
    <row r="39" spans="1:4" x14ac:dyDescent="0.2">
      <c r="A39" s="12"/>
      <c r="B39" s="11"/>
      <c r="C39" s="11"/>
      <c r="D39" s="11"/>
    </row>
    <row r="40" spans="1:4" x14ac:dyDescent="0.2">
      <c r="A40" s="12"/>
      <c r="B40" s="11"/>
      <c r="C40" s="11"/>
      <c r="D40" s="11"/>
    </row>
    <row r="41" spans="1:4" x14ac:dyDescent="0.2">
      <c r="A41" s="12"/>
      <c r="B41" s="11"/>
      <c r="C41" s="11"/>
      <c r="D41" s="11"/>
    </row>
    <row r="42" spans="1:4" x14ac:dyDescent="0.2">
      <c r="A42" s="12"/>
      <c r="B42" s="11"/>
      <c r="C42"/>
      <c r="D42"/>
    </row>
    <row r="43" spans="1:4" x14ac:dyDescent="0.2">
      <c r="B43" s="8"/>
      <c r="C43" s="8"/>
      <c r="D43" s="8"/>
    </row>
  </sheetData>
  <mergeCells count="1"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6" sqref="A6"/>
    </sheetView>
  </sheetViews>
  <sheetFormatPr baseColWidth="10" defaultRowHeight="16" x14ac:dyDescent="0.2"/>
  <cols>
    <col min="1" max="1" width="25.33203125" bestFit="1" customWidth="1"/>
    <col min="2" max="4" width="14" bestFit="1" customWidth="1"/>
    <col min="5" max="7" width="11.33203125" bestFit="1" customWidth="1"/>
  </cols>
  <sheetData>
    <row r="1" spans="1:13" x14ac:dyDescent="0.2">
      <c r="B1">
        <v>2015</v>
      </c>
      <c r="C1">
        <v>2016</v>
      </c>
      <c r="D1">
        <v>2017</v>
      </c>
      <c r="E1" t="s">
        <v>34</v>
      </c>
      <c r="F1" t="s">
        <v>35</v>
      </c>
      <c r="G1" t="s">
        <v>36</v>
      </c>
    </row>
    <row r="2" spans="1:13" x14ac:dyDescent="0.2">
      <c r="A2" t="s">
        <v>1</v>
      </c>
      <c r="B2" s="13">
        <v>4052478</v>
      </c>
      <c r="C2" s="13">
        <v>8047479</v>
      </c>
      <c r="D2" s="13">
        <v>6943534</v>
      </c>
      <c r="E2" s="13"/>
      <c r="F2" s="13"/>
      <c r="G2" s="13"/>
    </row>
    <row r="3" spans="1:13" x14ac:dyDescent="0.2">
      <c r="A3" t="s">
        <v>2</v>
      </c>
      <c r="B3" s="13">
        <f>2951937+E3+'SOURCE Ghana GS Unspecified'!$B5</f>
        <v>83944104</v>
      </c>
      <c r="C3" s="13">
        <f>2679981+F3+'SOURCE Ghana GS Unspecified'!$C5+'SOURCE Ghana GS Unspecified'!$C10</f>
        <v>52166343</v>
      </c>
      <c r="D3" s="13">
        <f>6447116+G3+'SOURCE Ghana GS Unspecified'!$D5</f>
        <v>79766781</v>
      </c>
      <c r="E3" s="13">
        <f>'SOURCE Ghana GS Unspecified'!B10</f>
        <v>39920000</v>
      </c>
      <c r="F3" s="13">
        <f>'SOURCE Ghana GS Unspecified'!C8</f>
        <v>5010000</v>
      </c>
      <c r="G3" s="13">
        <f>'SOURCE Ghana GS Unspecified'!D10</f>
        <v>16680000</v>
      </c>
      <c r="J3" s="14"/>
      <c r="K3" s="14"/>
      <c r="L3" s="14"/>
      <c r="M3" s="14"/>
    </row>
    <row r="4" spans="1:13" x14ac:dyDescent="0.2">
      <c r="A4" t="s">
        <v>3</v>
      </c>
      <c r="B4" s="13">
        <f>2304024+E4</f>
        <v>2707196</v>
      </c>
      <c r="C4" s="13">
        <f>3177542+F4</f>
        <v>3413384.1666666665</v>
      </c>
      <c r="D4" s="13">
        <f>3899247+G4</f>
        <v>4474107.166666667</v>
      </c>
      <c r="E4" s="13">
        <f>VLOOKUP($A4,'SOURCE Ghana GS Unspecified'!$A$16:$D$25,2,FALSE)</f>
        <v>403172</v>
      </c>
      <c r="F4" s="13">
        <f>VLOOKUP($A4,'SOURCE Ghana GS Unspecified'!$A$16:$D$25,3,FALSE)</f>
        <v>235842.16666666666</v>
      </c>
      <c r="G4" s="13">
        <f>VLOOKUP($A4,'SOURCE Ghana GS Unspecified'!$A$16:$D$25,4,FALSE)</f>
        <v>574860.16666666663</v>
      </c>
      <c r="J4" s="12"/>
      <c r="K4" s="11"/>
      <c r="L4" s="11"/>
      <c r="M4" s="11"/>
    </row>
    <row r="5" spans="1:13" x14ac:dyDescent="0.2">
      <c r="A5" t="s">
        <v>4</v>
      </c>
      <c r="B5" s="13">
        <f>1747618+E5</f>
        <v>2060076.3</v>
      </c>
      <c r="C5" s="13">
        <f>2569630+F5</f>
        <v>2752407.6791666667</v>
      </c>
      <c r="D5" s="13">
        <f>3230179+G5</f>
        <v>3675695.6291666669</v>
      </c>
      <c r="E5" s="13">
        <f>VLOOKUP($A5,'SOURCE Ghana GS Unspecified'!$A$16:$D$25,2,FALSE)</f>
        <v>312458.30000000005</v>
      </c>
      <c r="F5" s="13">
        <f>VLOOKUP($A5,'SOURCE Ghana GS Unspecified'!$A$16:$D$25,3,FALSE)</f>
        <v>182777.6791666667</v>
      </c>
      <c r="G5" s="13">
        <f>VLOOKUP($A5,'SOURCE Ghana GS Unspecified'!$A$16:$D$25,4,FALSE)</f>
        <v>445516.62916666671</v>
      </c>
      <c r="J5" s="12"/>
      <c r="K5" s="11"/>
      <c r="L5" s="11"/>
      <c r="M5" s="11"/>
    </row>
    <row r="6" spans="1:13" x14ac:dyDescent="0.2">
      <c r="A6" t="s">
        <v>5</v>
      </c>
      <c r="B6" s="13">
        <f>1792835+E6</f>
        <v>2075055.4</v>
      </c>
      <c r="C6" s="13">
        <f>3084598+F6</f>
        <v>3249687.5166666666</v>
      </c>
      <c r="D6" s="13">
        <f>2775658+G6</f>
        <v>3178060.1166666667</v>
      </c>
      <c r="E6" s="13">
        <f>VLOOKUP($A6,'SOURCE Ghana GS Unspecified'!$A$16:$D$25,2,FALSE)</f>
        <v>282220.40000000002</v>
      </c>
      <c r="F6" s="13">
        <f>VLOOKUP($A6,'SOURCE Ghana GS Unspecified'!$A$16:$D$25,3,FALSE)</f>
        <v>165089.51666666666</v>
      </c>
      <c r="G6" s="13">
        <f>VLOOKUP($A6,'SOURCE Ghana GS Unspecified'!$A$16:$D$25,4,FALSE)</f>
        <v>402402.1166666667</v>
      </c>
      <c r="J6" s="12"/>
      <c r="K6" s="11"/>
      <c r="L6" s="11"/>
      <c r="M6" s="11"/>
    </row>
    <row r="7" spans="1:13" x14ac:dyDescent="0.2">
      <c r="A7" t="s">
        <v>6</v>
      </c>
      <c r="B7" s="13">
        <f>2068237+E7</f>
        <v>2390774.6</v>
      </c>
      <c r="C7" s="13">
        <f>4316204+F7</f>
        <v>4504877.7333333334</v>
      </c>
      <c r="D7" s="13">
        <f>4549063+G7</f>
        <v>5008951.1333333328</v>
      </c>
      <c r="E7" s="13">
        <f>VLOOKUP($A7,'SOURCE Ghana GS Unspecified'!$A$16:$D$25,2,FALSE)</f>
        <v>322537.59999999998</v>
      </c>
      <c r="F7" s="13">
        <f>VLOOKUP($A7,'SOURCE Ghana GS Unspecified'!$A$16:$D$25,3,FALSE)</f>
        <v>188673.73333333334</v>
      </c>
      <c r="G7" s="13">
        <f>VLOOKUP($A7,'SOURCE Ghana GS Unspecified'!$A$16:$D$25,4,FALSE)</f>
        <v>459888.1333333333</v>
      </c>
      <c r="J7" s="12"/>
      <c r="K7" s="11"/>
      <c r="L7" s="11"/>
      <c r="M7" s="11"/>
    </row>
    <row r="8" spans="1:13" x14ac:dyDescent="0.2">
      <c r="A8" t="s">
        <v>7</v>
      </c>
      <c r="B8" s="13">
        <f>280890+E8</f>
        <v>371603.7</v>
      </c>
      <c r="C8" s="13">
        <f>763157+F8</f>
        <v>816221.48750000005</v>
      </c>
      <c r="D8" s="13">
        <f>7417573+G8</f>
        <v>7546916.5374999996</v>
      </c>
      <c r="E8" s="13">
        <f>VLOOKUP($A8,'SOURCE Ghana GS Unspecified'!$A$16:$D$25,2,FALSE)</f>
        <v>90713.7</v>
      </c>
      <c r="F8" s="13">
        <f>VLOOKUP($A8,'SOURCE Ghana GS Unspecified'!$A$16:$D$25,3,FALSE)</f>
        <v>53064.487499999996</v>
      </c>
      <c r="G8" s="13">
        <f>VLOOKUP($A8,'SOURCE Ghana GS Unspecified'!$A$16:$D$25,4,FALSE)</f>
        <v>129343.53749999999</v>
      </c>
      <c r="J8" s="12"/>
      <c r="K8" s="11"/>
      <c r="L8" s="11"/>
      <c r="M8" s="11"/>
    </row>
    <row r="9" spans="1:13" x14ac:dyDescent="0.2">
      <c r="A9" t="s">
        <v>8</v>
      </c>
      <c r="B9" s="13">
        <f>2045685+E9</f>
        <v>2277508.9</v>
      </c>
      <c r="C9" s="13">
        <f>4281541+F9</f>
        <v>4417150.2458333336</v>
      </c>
      <c r="D9" s="13">
        <f>4509768+G9</f>
        <v>4840312.5958333332</v>
      </c>
      <c r="E9" s="13">
        <f>VLOOKUP($A9,'SOURCE Ghana GS Unspecified'!$A$16:$D$25,2,FALSE)</f>
        <v>231823.90000000002</v>
      </c>
      <c r="F9" s="13">
        <f>VLOOKUP($A9,'SOURCE Ghana GS Unspecified'!$A$16:$D$25,3,FALSE)</f>
        <v>135609.24583333335</v>
      </c>
      <c r="G9" s="13">
        <f>VLOOKUP($A9,'SOURCE Ghana GS Unspecified'!$A$16:$D$25,4,FALSE)</f>
        <v>330544.59583333338</v>
      </c>
      <c r="J9" s="12"/>
      <c r="K9" s="11"/>
      <c r="L9" s="11"/>
      <c r="M9" s="11"/>
    </row>
    <row r="10" spans="1:13" x14ac:dyDescent="0.2">
      <c r="A10" t="s">
        <v>9</v>
      </c>
      <c r="B10" s="13">
        <f>1466729+E10</f>
        <v>1557442.7</v>
      </c>
      <c r="C10" s="13">
        <f>3001372+F10</f>
        <v>3054436.4874999998</v>
      </c>
      <c r="D10" s="13">
        <f>3328592+G10</f>
        <v>3457935.5375000001</v>
      </c>
      <c r="E10" s="13">
        <f>VLOOKUP($A10,'SOURCE Ghana GS Unspecified'!$A$16:$D$25,2,FALSE)</f>
        <v>90713.7</v>
      </c>
      <c r="F10" s="13">
        <f>VLOOKUP($A10,'SOURCE Ghana GS Unspecified'!$A$16:$D$25,3,FALSE)</f>
        <v>53064.487499999996</v>
      </c>
      <c r="G10" s="13">
        <f>VLOOKUP($A10,'SOURCE Ghana GS Unspecified'!$A$16:$D$25,4,FALSE)</f>
        <v>129343.53749999999</v>
      </c>
      <c r="J10" s="12"/>
      <c r="K10" s="11"/>
      <c r="L10" s="11"/>
      <c r="M10" s="11"/>
    </row>
    <row r="11" spans="1:13" x14ac:dyDescent="0.2">
      <c r="A11" t="s">
        <v>10</v>
      </c>
      <c r="B11" s="13">
        <f>1185839+E11</f>
        <v>1316869.8999999999</v>
      </c>
      <c r="C11" s="13">
        <f>2238215+F11</f>
        <v>2314863.7041666666</v>
      </c>
      <c r="D11" s="13">
        <f>2481379+G11</f>
        <v>2668208.5541666667</v>
      </c>
      <c r="E11" s="13">
        <f>VLOOKUP($A11,'SOURCE Ghana GS Unspecified'!$A$16:$D$25,2,FALSE)</f>
        <v>131030.90000000001</v>
      </c>
      <c r="F11" s="13">
        <f>VLOOKUP($A11,'SOURCE Ghana GS Unspecified'!$A$16:$D$25,3,FALSE)</f>
        <v>76648.704166666663</v>
      </c>
      <c r="G11" s="13">
        <f>VLOOKUP($A11,'SOURCE Ghana GS Unspecified'!$A$16:$D$25,4,FALSE)</f>
        <v>186829.55416666667</v>
      </c>
      <c r="J11" s="12"/>
      <c r="K11" s="11"/>
      <c r="L11" s="11"/>
      <c r="M11" s="11"/>
    </row>
    <row r="12" spans="1:13" x14ac:dyDescent="0.2">
      <c r="A12" t="s">
        <v>11</v>
      </c>
      <c r="B12" s="13">
        <f>2326575+E12</f>
        <v>2699509.1</v>
      </c>
      <c r="C12" s="13">
        <f>3131917+F12</f>
        <v>3350071.0041666669</v>
      </c>
      <c r="D12" s="13">
        <f>3938542+G12</f>
        <v>4470287.6541666668</v>
      </c>
      <c r="E12" s="13">
        <f>VLOOKUP($A12,'SOURCE Ghana GS Unspecified'!$A$16:$D$25,2,FALSE)</f>
        <v>372934.10000000003</v>
      </c>
      <c r="F12" s="13">
        <f>VLOOKUP($A12,'SOURCE Ghana GS Unspecified'!$A$16:$D$25,3,FALSE)</f>
        <v>218154.00416666668</v>
      </c>
      <c r="G12" s="13">
        <f>VLOOKUP($A12,'SOURCE Ghana GS Unspecified'!$A$16:$D$25,4,FALSE)</f>
        <v>531745.65416666667</v>
      </c>
      <c r="J12" s="12"/>
      <c r="K12" s="11"/>
      <c r="L12" s="11"/>
      <c r="M12" s="11"/>
    </row>
    <row r="13" spans="1:13" x14ac:dyDescent="0.2">
      <c r="A13" t="s">
        <v>12</v>
      </c>
      <c r="B13" s="13">
        <f>1402517+E13</f>
        <v>1583944.4</v>
      </c>
      <c r="C13" s="13">
        <f>1627815+F13</f>
        <v>1733943.9750000001</v>
      </c>
      <c r="D13" s="13">
        <f>4338166+G13</f>
        <v>4596853.0750000002</v>
      </c>
      <c r="E13" s="13">
        <f>VLOOKUP($A13,'SOURCE Ghana GS Unspecified'!$A$16:$D$25,2,FALSE)</f>
        <v>181427.4</v>
      </c>
      <c r="F13" s="13">
        <f>VLOOKUP($A13,'SOURCE Ghana GS Unspecified'!$A$16:$D$25,3,FALSE)</f>
        <v>106128.97499999999</v>
      </c>
      <c r="G13" s="13">
        <f>VLOOKUP($A13,'SOURCE Ghana GS Unspecified'!$A$16:$D$25,4,FALSE)</f>
        <v>258687.07499999998</v>
      </c>
      <c r="J13" s="12"/>
      <c r="K13" s="11"/>
      <c r="L13" s="11"/>
      <c r="M13" s="11"/>
    </row>
    <row r="14" spans="1:13" x14ac:dyDescent="0.2">
      <c r="A14" t="s">
        <v>13</v>
      </c>
      <c r="B14" s="13">
        <f>SUM(B2:B13)</f>
        <v>107036563.00000001</v>
      </c>
      <c r="C14" s="13">
        <f>SUM(C2:C13)</f>
        <v>89820865.999999985</v>
      </c>
      <c r="D14" s="13">
        <f>SUM(D2:D13)</f>
        <v>130627642.99999997</v>
      </c>
      <c r="E14" s="13"/>
      <c r="F14" s="13"/>
      <c r="G14" s="13"/>
      <c r="J14" s="12"/>
      <c r="K14" s="11"/>
      <c r="L14" s="11"/>
      <c r="M14" s="11"/>
    </row>
    <row r="15" spans="1:13" x14ac:dyDescent="0.2">
      <c r="A15" t="s">
        <v>37</v>
      </c>
      <c r="B15" s="15">
        <f>'SOURCE Ghana GS Unspecified'!B3</f>
        <v>107036563</v>
      </c>
      <c r="C15" s="15">
        <f>'SOURCE Ghana GS Unspecified'!C3</f>
        <v>89820866</v>
      </c>
      <c r="D15" s="15">
        <f>'SOURCE Ghana GS Unspecified'!D3</f>
        <v>130627643</v>
      </c>
      <c r="E15" s="13"/>
      <c r="F15" s="13"/>
      <c r="G15" s="13"/>
      <c r="J15" s="12"/>
      <c r="K15" s="11"/>
      <c r="L15" s="11"/>
      <c r="M15" s="11"/>
    </row>
    <row r="16" spans="1:13" x14ac:dyDescent="0.2">
      <c r="A16" t="s">
        <v>38</v>
      </c>
      <c r="B16" s="16">
        <f>B15/1000000/'[1]CRS ODA Estimates'!K5</f>
        <v>0.90122865136610697</v>
      </c>
      <c r="C16" s="16">
        <f>C15/1000000/'[1]CRS ODA Estimates'!L5</f>
        <v>0.95425661703970988</v>
      </c>
      <c r="D16" s="16">
        <f>D15/1000000/'[1]CRS ODA Estimates'!M5</f>
        <v>1.3298553911165301</v>
      </c>
      <c r="E16" s="13"/>
      <c r="F16" s="13"/>
      <c r="G16" s="13"/>
      <c r="J16" s="17"/>
      <c r="K16" s="18"/>
      <c r="L16" s="18"/>
      <c r="M16" s="18"/>
    </row>
    <row r="17" spans="1:13" x14ac:dyDescent="0.2">
      <c r="A17" t="s">
        <v>39</v>
      </c>
      <c r="B17" s="16">
        <f>1-((B3)/B15)</f>
        <v>0.2157436520079592</v>
      </c>
      <c r="C17" s="16">
        <f t="shared" ref="C17:D17" si="0">1-((C3)/C15)</f>
        <v>0.41921799106234403</v>
      </c>
      <c r="D17" s="16">
        <f>1-((D3)/D15)</f>
        <v>0.38935757265405146</v>
      </c>
      <c r="K17" s="1"/>
      <c r="L17" s="1"/>
      <c r="M17" s="1"/>
    </row>
    <row r="18" spans="1:13" x14ac:dyDescent="0.2">
      <c r="A18" t="s">
        <v>40</v>
      </c>
      <c r="B18" t="b">
        <f>B14=B15</f>
        <v>1</v>
      </c>
      <c r="C18" t="b">
        <f t="shared" ref="C18:D18" si="1">C14=C15</f>
        <v>1</v>
      </c>
      <c r="D18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8" sqref="B8"/>
    </sheetView>
  </sheetViews>
  <sheetFormatPr baseColWidth="10" defaultRowHeight="16" x14ac:dyDescent="0.2"/>
  <cols>
    <col min="1" max="1" width="22.5" bestFit="1" customWidth="1"/>
    <col min="2" max="4" width="15" bestFit="1" customWidth="1"/>
  </cols>
  <sheetData>
    <row r="1" spans="1:7" x14ac:dyDescent="0.2">
      <c r="A1" t="s">
        <v>0</v>
      </c>
      <c r="B1">
        <v>2015</v>
      </c>
      <c r="C1">
        <v>2016</v>
      </c>
      <c r="D1">
        <v>2017</v>
      </c>
    </row>
    <row r="2" spans="1:7" x14ac:dyDescent="0.2">
      <c r="A2" t="s">
        <v>1</v>
      </c>
      <c r="B2" s="13">
        <v>2828030</v>
      </c>
      <c r="C2" s="13">
        <v>9153381</v>
      </c>
      <c r="D2" s="13">
        <v>7854843</v>
      </c>
    </row>
    <row r="3" spans="1:7" x14ac:dyDescent="0.2">
      <c r="A3" t="s">
        <v>2</v>
      </c>
      <c r="B3" s="13">
        <f>43574993+'SOURCE Ghana GS Unspecified'!$B12+'SOURCE Ghana GS Unspecified'!$B7</f>
        <v>108757018</v>
      </c>
      <c r="C3" s="13">
        <f>6386382+'SOURCE Ghana GS Unspecified'!$C12+'SOURCE Ghana GS Unspecified'!$C7+'SOURCE Ghana GS Unspecified'!C9+'SOURCE Ghana GS Unspecified'!$C27</f>
        <v>104832743</v>
      </c>
      <c r="D3" s="13">
        <f>586667+'SOURCE Ghana GS Unspecified'!$D12+'SOURCE Ghana GS Unspecified'!$D7+'SOURCE Ghana GS Unspecified'!$D27</f>
        <v>66807882</v>
      </c>
    </row>
    <row r="4" spans="1:7" x14ac:dyDescent="0.2">
      <c r="A4" t="s">
        <v>3</v>
      </c>
      <c r="B4" s="13">
        <v>2904460</v>
      </c>
      <c r="C4" s="13">
        <v>216464</v>
      </c>
      <c r="D4" s="13">
        <v>991414</v>
      </c>
    </row>
    <row r="5" spans="1:7" x14ac:dyDescent="0.2">
      <c r="A5" t="s">
        <v>4</v>
      </c>
      <c r="B5" s="13">
        <v>865220</v>
      </c>
      <c r="C5" s="13">
        <v>411354</v>
      </c>
      <c r="D5" s="13">
        <v>1162495</v>
      </c>
    </row>
    <row r="6" spans="1:7" x14ac:dyDescent="0.2">
      <c r="A6" t="s">
        <v>5</v>
      </c>
      <c r="B6" s="13">
        <v>516676</v>
      </c>
      <c r="C6" s="13">
        <v>181801</v>
      </c>
      <c r="D6" s="13">
        <v>1336618</v>
      </c>
    </row>
    <row r="7" spans="1:7" x14ac:dyDescent="0.2">
      <c r="A7" t="s">
        <v>6</v>
      </c>
      <c r="B7" s="13">
        <v>303441</v>
      </c>
      <c r="C7" s="13">
        <v>160227</v>
      </c>
      <c r="D7" s="13">
        <v>1080102</v>
      </c>
    </row>
    <row r="8" spans="1:7" x14ac:dyDescent="0.2">
      <c r="A8" t="s">
        <v>7</v>
      </c>
      <c r="B8" s="13">
        <f>2884122+'SOURCE Ghana GS Unspecified'!$B6</f>
        <v>64808278</v>
      </c>
      <c r="C8" s="13">
        <f>205564+'SOURCE Ghana GS Unspecified'!$C6</f>
        <v>71772753</v>
      </c>
      <c r="D8" s="13">
        <v>17327648</v>
      </c>
    </row>
    <row r="9" spans="1:7" x14ac:dyDescent="0.2">
      <c r="A9" t="s">
        <v>8</v>
      </c>
      <c r="B9" s="13">
        <f>280890+'SOURCE Ghana GS Unspecified'!$B26</f>
        <v>5164126</v>
      </c>
      <c r="C9" s="13">
        <f>3151370+'SOURCE Ghana GS Unspecified'!$C26</f>
        <v>9931269</v>
      </c>
      <c r="D9" s="13">
        <f>2354867+'SOURCE Ghana GS Unspecified'!$D26</f>
        <v>18364518</v>
      </c>
      <c r="E9" s="1"/>
      <c r="F9" s="1"/>
      <c r="G9" s="1"/>
    </row>
    <row r="10" spans="1:7" x14ac:dyDescent="0.2">
      <c r="A10" t="s">
        <v>9</v>
      </c>
      <c r="B10" s="13">
        <f>584331+'SOURCE Ghana GS Unspecified'!$B13</f>
        <v>2467832</v>
      </c>
      <c r="C10" s="13">
        <f>3311597+'SOURCE Ghana GS Unspecified'!$C13</f>
        <v>5925748</v>
      </c>
      <c r="D10" s="13">
        <f>2102155+'SOURCE Ghana GS Unspecified'!$D13</f>
        <v>2581655</v>
      </c>
    </row>
    <row r="11" spans="1:7" x14ac:dyDescent="0.2">
      <c r="A11" t="s">
        <v>10</v>
      </c>
      <c r="B11" s="13">
        <v>303441</v>
      </c>
      <c r="C11" s="13">
        <v>1673130</v>
      </c>
      <c r="D11" s="13">
        <v>1070725</v>
      </c>
    </row>
    <row r="12" spans="1:7" x14ac:dyDescent="0.2">
      <c r="A12" t="s">
        <v>11</v>
      </c>
      <c r="B12" s="13">
        <f>561779+'SOURCE Ghana GS Unspecified'!$B11</f>
        <v>1811779</v>
      </c>
      <c r="C12" s="13">
        <f>251127+'SOURCE Ghana GS Unspecified'!$C11</f>
        <v>1501127</v>
      </c>
      <c r="D12" s="13">
        <f>748800+'SOURCE Ghana GS Unspecified'!$D11</f>
        <v>1748800</v>
      </c>
    </row>
    <row r="13" spans="1:7" x14ac:dyDescent="0.2">
      <c r="A13" t="s">
        <v>12</v>
      </c>
      <c r="B13" s="13">
        <v>516676</v>
      </c>
      <c r="C13" s="13">
        <v>181801</v>
      </c>
      <c r="D13" s="13">
        <v>670210</v>
      </c>
    </row>
    <row r="14" spans="1:7" x14ac:dyDescent="0.2">
      <c r="A14" t="s">
        <v>41</v>
      </c>
      <c r="B14" s="19">
        <f>SUM(B2:B13)</f>
        <v>191246977</v>
      </c>
      <c r="C14" s="19">
        <f>SUM(C2:C13)</f>
        <v>205941798</v>
      </c>
      <c r="D14" s="19">
        <f t="shared" ref="D14" si="0">SUM(D2:D13)</f>
        <v>120996910</v>
      </c>
    </row>
    <row r="15" spans="1:7" x14ac:dyDescent="0.2">
      <c r="A15" s="20" t="s">
        <v>42</v>
      </c>
      <c r="B15" s="15">
        <f>'SOURCE Ghana GS Unspecified'!B2</f>
        <v>191246977</v>
      </c>
      <c r="C15" s="15">
        <f>'SOURCE Ghana GS Unspecified'!C2</f>
        <v>205941798</v>
      </c>
      <c r="D15" s="15">
        <f>'SOURCE Ghana GS Unspecified'!D2</f>
        <v>120996910</v>
      </c>
    </row>
    <row r="16" spans="1:7" x14ac:dyDescent="0.2">
      <c r="A16" t="s">
        <v>38</v>
      </c>
      <c r="B16" s="16">
        <f>B15/1000000/'[1]CRS ODA Estimates'!D5</f>
        <v>0.76079313203740295</v>
      </c>
      <c r="C16" s="16">
        <f>C15/1000000/'[1]CRS ODA Estimates'!E5</f>
        <v>0.9172055643971645</v>
      </c>
      <c r="D16" s="16">
        <f>D15/1000000/'[1]CRS ODA Estimates'!F5</f>
        <v>0.57764255313586688</v>
      </c>
    </row>
    <row r="17" spans="1:4" x14ac:dyDescent="0.2">
      <c r="A17" t="s">
        <v>39</v>
      </c>
      <c r="B17" s="16">
        <f>1-((B3)/B15)</f>
        <v>0.43132686484241789</v>
      </c>
      <c r="C17" s="16">
        <f t="shared" ref="C17:D17" si="1">1-((C3)/C15)</f>
        <v>0.49095936804436369</v>
      </c>
      <c r="D17" s="16">
        <f t="shared" si="1"/>
        <v>0.44785464356073224</v>
      </c>
    </row>
    <row r="18" spans="1:4" x14ac:dyDescent="0.2">
      <c r="A18" t="s">
        <v>40</v>
      </c>
      <c r="B18" t="b">
        <f>B14=B15</f>
        <v>1</v>
      </c>
      <c r="C18" t="b">
        <f t="shared" ref="C18:D18" si="2">C14=C15</f>
        <v>1</v>
      </c>
      <c r="D18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Ghana_ODA2015-17</vt:lpstr>
      <vt:lpstr>SOURCE Ghana GS Unspecified</vt:lpstr>
      <vt:lpstr>SOURCE Ghana Education</vt:lpstr>
      <vt:lpstr>SOURCE Ghana 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2019-01-23T00:21:57Z</dcterms:created>
  <dcterms:modified xsi:type="dcterms:W3CDTF">2019-01-23T00:33:07Z</dcterms:modified>
</cp:coreProperties>
</file>