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ziliani/Desktop/"/>
    </mc:Choice>
  </mc:AlternateContent>
  <xr:revisionPtr revIDLastSave="0" documentId="8_{84C985D8-9318-3543-8897-D2CD2C8E24FF}" xr6:coauthVersionLast="47" xr6:coauthVersionMax="47" xr10:uidLastSave="{00000000-0000-0000-0000-000000000000}"/>
  <bookViews>
    <workbookView xWindow="0" yWindow="500" windowWidth="33600" windowHeight="19560" activeTab="1" xr2:uid="{00000000-000D-0000-FFFF-FFFF00000000}"/>
  </bookViews>
  <sheets>
    <sheet name="Main" sheetId="1" r:id="rId1"/>
    <sheet name="Model" sheetId="2" r:id="rId2"/>
    <sheet name="Manufacturing" sheetId="3" r:id="rId3"/>
    <sheet name="IP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8" i="2" l="1"/>
  <c r="AD38" i="2"/>
  <c r="AC38" i="2"/>
  <c r="AB38" i="2"/>
  <c r="AE42" i="2"/>
  <c r="AD98" i="2"/>
  <c r="AC98" i="2"/>
  <c r="AB98" i="2"/>
  <c r="AA98" i="2"/>
  <c r="AE98" i="2"/>
  <c r="AD91" i="2"/>
  <c r="AC91" i="2"/>
  <c r="AC92" i="2" s="1"/>
  <c r="AB91" i="2"/>
  <c r="AB92" i="2" s="1"/>
  <c r="AA91" i="2"/>
  <c r="AA92" i="2" s="1"/>
  <c r="AD92" i="2"/>
  <c r="AE91" i="2"/>
  <c r="AE92" i="2" s="1"/>
  <c r="AE84" i="2"/>
  <c r="AE88" i="2" s="1"/>
  <c r="AE100" i="2" s="1"/>
  <c r="AD84" i="2"/>
  <c r="AD88" i="2" s="1"/>
  <c r="AD100" i="2" s="1"/>
  <c r="AC84" i="2"/>
  <c r="AC88" i="2" s="1"/>
  <c r="AC100" i="2" s="1"/>
  <c r="AB84" i="2"/>
  <c r="AB88" i="2"/>
  <c r="AB100" i="2" s="1"/>
  <c r="AD121" i="2"/>
  <c r="AD103" i="2" s="1"/>
  <c r="AD119" i="2"/>
  <c r="AC119" i="2"/>
  <c r="AB123" i="2"/>
  <c r="AB114" i="2"/>
  <c r="AA123" i="2"/>
  <c r="AA114" i="2"/>
  <c r="AA115" i="2" s="1"/>
  <c r="AC114" i="2"/>
  <c r="AC115" i="2" s="1"/>
  <c r="AD114" i="2"/>
  <c r="AD115" i="2" s="1"/>
  <c r="AD123" i="2"/>
  <c r="AC123" i="2"/>
  <c r="AC121" i="2"/>
  <c r="AC103" i="2" s="1"/>
  <c r="AE123" i="2"/>
  <c r="AE121" i="2"/>
  <c r="AE103" i="2" s="1"/>
  <c r="AE119" i="2"/>
  <c r="AE114" i="2"/>
  <c r="AE115" i="2" s="1"/>
  <c r="AE74" i="2"/>
  <c r="AD66" i="2"/>
  <c r="AE66" i="2"/>
  <c r="AE64" i="2"/>
  <c r="AD64" i="2"/>
  <c r="AE62" i="2"/>
  <c r="AE48" i="2"/>
  <c r="AE51" i="2" s="1"/>
  <c r="AE53" i="2"/>
  <c r="AE75" i="2" s="1"/>
  <c r="AE37" i="2"/>
  <c r="AE72" i="2" s="1"/>
  <c r="AD42" i="2"/>
  <c r="AC66" i="2"/>
  <c r="AC64" i="2"/>
  <c r="AU69" i="2"/>
  <c r="AT130" i="2"/>
  <c r="AT131" i="2"/>
  <c r="Z123" i="2"/>
  <c r="Z121" i="2"/>
  <c r="Z119" i="2"/>
  <c r="Z114" i="2"/>
  <c r="Z113" i="2"/>
  <c r="Z104" i="2"/>
  <c r="AR52" i="2"/>
  <c r="AO9" i="2"/>
  <c r="S119" i="2"/>
  <c r="T119" i="2"/>
  <c r="U119" i="2"/>
  <c r="W119" i="2"/>
  <c r="AA119" i="2"/>
  <c r="AB119" i="2"/>
  <c r="AT41" i="2"/>
  <c r="AT40" i="2"/>
  <c r="AT90" i="2"/>
  <c r="AR90" i="2"/>
  <c r="AB25" i="2"/>
  <c r="AB28" i="2"/>
  <c r="AB15" i="2"/>
  <c r="AB26" i="2" s="1"/>
  <c r="AA7" i="2"/>
  <c r="W18" i="2"/>
  <c r="AA18" i="2"/>
  <c r="W16" i="2"/>
  <c r="AA16" i="2"/>
  <c r="X8" i="2"/>
  <c r="AB8" i="2"/>
  <c r="AB29" i="2" s="1"/>
  <c r="W14" i="2"/>
  <c r="AA14" i="2"/>
  <c r="AA3" i="2"/>
  <c r="AB3" i="2"/>
  <c r="AB24" i="2" s="1"/>
  <c r="AB21" i="2"/>
  <c r="AA21" i="2" s="1"/>
  <c r="AA9" i="2"/>
  <c r="Z9" i="2"/>
  <c r="Y9" i="2"/>
  <c r="X9" i="2"/>
  <c r="W9" i="2"/>
  <c r="U9" i="2"/>
  <c r="T9" i="2"/>
  <c r="S9" i="2"/>
  <c r="O9" i="2"/>
  <c r="M9" i="2"/>
  <c r="L9" i="2"/>
  <c r="K9" i="2"/>
  <c r="J9" i="2"/>
  <c r="I9" i="2"/>
  <c r="H9" i="2"/>
  <c r="G9" i="2"/>
  <c r="F9" i="2"/>
  <c r="E9" i="2"/>
  <c r="D9" i="2"/>
  <c r="C9" i="2"/>
  <c r="AB9" i="2"/>
  <c r="AB11" i="2"/>
  <c r="AA11" i="2"/>
  <c r="AB10" i="2"/>
  <c r="X17" i="2"/>
  <c r="AB17" i="2"/>
  <c r="AB4" i="2"/>
  <c r="AB23" i="2" s="1"/>
  <c r="AR2" i="2"/>
  <c r="AS2" i="2" s="1"/>
  <c r="AT2" i="2" s="1"/>
  <c r="AU41" i="2"/>
  <c r="AB74" i="2"/>
  <c r="AU54" i="2"/>
  <c r="AT45" i="2"/>
  <c r="AT9" i="2" s="1"/>
  <c r="AB121" i="2"/>
  <c r="AB113" i="2"/>
  <c r="AB104" i="2"/>
  <c r="AB66" i="2"/>
  <c r="AB64" i="2"/>
  <c r="AB53" i="2"/>
  <c r="Z84" i="2"/>
  <c r="Z88" i="2" s="1"/>
  <c r="Y84" i="2"/>
  <c r="Y88" i="2" s="1"/>
  <c r="X84" i="2"/>
  <c r="X88" i="2" s="1"/>
  <c r="AA88" i="2"/>
  <c r="AA100" i="2" s="1"/>
  <c r="AA121" i="2"/>
  <c r="AA103" i="2" s="1"/>
  <c r="AA53" i="2"/>
  <c r="AA75" i="2" s="1"/>
  <c r="AB42" i="2"/>
  <c r="AB20" i="2" s="1"/>
  <c r="AB37" i="2"/>
  <c r="AT36" i="2"/>
  <c r="AT35" i="2"/>
  <c r="AT50" i="2"/>
  <c r="AT49" i="2"/>
  <c r="AT47" i="2"/>
  <c r="AT46" i="2"/>
  <c r="AA37" i="2"/>
  <c r="Z37" i="2"/>
  <c r="Y37" i="2"/>
  <c r="X37" i="2"/>
  <c r="X38" i="2" s="1"/>
  <c r="AA42" i="2"/>
  <c r="AA20" i="2" s="1"/>
  <c r="Z42" i="2"/>
  <c r="Y42" i="2"/>
  <c r="Y20" i="2" s="1"/>
  <c r="X42" i="2"/>
  <c r="X20" i="2" s="1"/>
  <c r="AA74" i="2"/>
  <c r="AA66" i="2"/>
  <c r="Y66" i="2"/>
  <c r="X66" i="2"/>
  <c r="W66" i="2"/>
  <c r="AA64" i="2"/>
  <c r="Z64" i="2"/>
  <c r="Y64" i="2"/>
  <c r="X64" i="2"/>
  <c r="AA62" i="2"/>
  <c r="AA48" i="2"/>
  <c r="AA56" i="2" s="1"/>
  <c r="AA59" i="2" s="1"/>
  <c r="AL51" i="2"/>
  <c r="AM71" i="2" s="1"/>
  <c r="AK51" i="2"/>
  <c r="AJ51" i="2"/>
  <c r="AO71" i="2"/>
  <c r="AN71" i="2"/>
  <c r="AS60" i="2"/>
  <c r="W88" i="2"/>
  <c r="V88" i="2"/>
  <c r="W123" i="2"/>
  <c r="V124" i="2"/>
  <c r="W121" i="2"/>
  <c r="V115" i="2"/>
  <c r="W104" i="2"/>
  <c r="U80" i="2"/>
  <c r="W64" i="2"/>
  <c r="V64" i="2"/>
  <c r="W62" i="2"/>
  <c r="W53" i="2"/>
  <c r="W75" i="2" s="1"/>
  <c r="W48" i="2"/>
  <c r="W56" i="2" s="1"/>
  <c r="W42" i="2"/>
  <c r="W20" i="2" s="1"/>
  <c r="W37" i="2"/>
  <c r="W38" i="2" s="1"/>
  <c r="W74" i="2"/>
  <c r="V42" i="2"/>
  <c r="V20" i="2" s="1"/>
  <c r="O74" i="2"/>
  <c r="M74" i="2"/>
  <c r="L74" i="2"/>
  <c r="K74" i="2"/>
  <c r="AP50" i="2"/>
  <c r="AP49" i="2"/>
  <c r="AP47" i="2"/>
  <c r="AP46" i="2"/>
  <c r="AP45" i="2"/>
  <c r="AP9" i="2" s="1"/>
  <c r="AQ50" i="2"/>
  <c r="AQ49" i="2"/>
  <c r="AQ47" i="2"/>
  <c r="AQ46" i="2"/>
  <c r="AQ41" i="2"/>
  <c r="AQ40" i="2"/>
  <c r="AQ36" i="2"/>
  <c r="AQ35" i="2"/>
  <c r="AP41" i="2"/>
  <c r="AP40" i="2"/>
  <c r="AP36" i="2"/>
  <c r="AP35" i="2"/>
  <c r="K66" i="2"/>
  <c r="J66" i="2"/>
  <c r="G66" i="2"/>
  <c r="G69" i="2"/>
  <c r="H69" i="2"/>
  <c r="L69" i="2"/>
  <c r="K69" i="2"/>
  <c r="J69" i="2"/>
  <c r="K64" i="2"/>
  <c r="J64" i="2"/>
  <c r="G64" i="2"/>
  <c r="L62" i="2"/>
  <c r="K62" i="2"/>
  <c r="J62" i="2"/>
  <c r="G62" i="2"/>
  <c r="K53" i="2"/>
  <c r="K75" i="2" s="1"/>
  <c r="J53" i="2"/>
  <c r="J75" i="2" s="1"/>
  <c r="G53" i="2"/>
  <c r="G75" i="2" s="1"/>
  <c r="J48" i="2"/>
  <c r="J56" i="2" s="1"/>
  <c r="J59" i="2" s="1"/>
  <c r="K48" i="2"/>
  <c r="K56" i="2" s="1"/>
  <c r="K59" i="2" s="1"/>
  <c r="G48" i="2"/>
  <c r="G56" i="2" s="1"/>
  <c r="G59" i="2" s="1"/>
  <c r="AR36" i="2"/>
  <c r="AR35" i="2"/>
  <c r="AR49" i="2"/>
  <c r="AR41" i="2"/>
  <c r="AR40" i="2"/>
  <c r="AS41" i="2"/>
  <c r="AS40" i="2"/>
  <c r="AS36" i="2"/>
  <c r="AS35" i="2"/>
  <c r="V37" i="2"/>
  <c r="H66" i="2"/>
  <c r="H64" i="2"/>
  <c r="H62" i="2"/>
  <c r="H53" i="2"/>
  <c r="H75" i="2" s="1"/>
  <c r="H48" i="2"/>
  <c r="H56" i="2" s="1"/>
  <c r="H59" i="2" s="1"/>
  <c r="L66" i="2"/>
  <c r="L64" i="2"/>
  <c r="L53" i="2"/>
  <c r="L75" i="2" s="1"/>
  <c r="L48" i="2"/>
  <c r="L56" i="2" s="1"/>
  <c r="L59" i="2" s="1"/>
  <c r="I66" i="2"/>
  <c r="I64" i="2"/>
  <c r="I62" i="2"/>
  <c r="I53" i="2"/>
  <c r="I75" i="2" s="1"/>
  <c r="I48" i="2"/>
  <c r="I56" i="2" s="1"/>
  <c r="I59" i="2" s="1"/>
  <c r="M66" i="2"/>
  <c r="M64" i="2"/>
  <c r="M62" i="2"/>
  <c r="M53" i="2"/>
  <c r="M75" i="2" s="1"/>
  <c r="M48" i="2"/>
  <c r="M51" i="2" s="1"/>
  <c r="AR50" i="2"/>
  <c r="AR47" i="2"/>
  <c r="AR46" i="2"/>
  <c r="AS57" i="2"/>
  <c r="V50" i="2"/>
  <c r="V49" i="2"/>
  <c r="V47" i="2"/>
  <c r="V46" i="2"/>
  <c r="V61" i="2"/>
  <c r="S74" i="2"/>
  <c r="U37" i="2"/>
  <c r="U38" i="2" s="1"/>
  <c r="U42" i="2"/>
  <c r="U123" i="2"/>
  <c r="U121" i="2"/>
  <c r="U113" i="2"/>
  <c r="U104" i="2"/>
  <c r="U86" i="2"/>
  <c r="U85" i="2"/>
  <c r="U84" i="2"/>
  <c r="U83" i="2"/>
  <c r="U82" i="2"/>
  <c r="U81" i="2"/>
  <c r="U64" i="2"/>
  <c r="U62" i="2"/>
  <c r="U53" i="2"/>
  <c r="U75" i="2" s="1"/>
  <c r="U48" i="2"/>
  <c r="U51" i="2" s="1"/>
  <c r="T90" i="2"/>
  <c r="U90" i="2" s="1"/>
  <c r="T123" i="2"/>
  <c r="T121" i="2"/>
  <c r="T113" i="2"/>
  <c r="T104" i="2"/>
  <c r="T88" i="2"/>
  <c r="K4" i="1"/>
  <c r="T66" i="2"/>
  <c r="T64" i="2"/>
  <c r="T62" i="2"/>
  <c r="T53" i="2"/>
  <c r="T75" i="2" s="1"/>
  <c r="T37" i="2"/>
  <c r="T38" i="2" s="1"/>
  <c r="T42" i="2"/>
  <c r="T48" i="2"/>
  <c r="T56" i="2" s="1"/>
  <c r="T59" i="2" s="1"/>
  <c r="R88" i="2"/>
  <c r="Q88" i="2"/>
  <c r="P88" i="2"/>
  <c r="O88" i="2"/>
  <c r="N88" i="2"/>
  <c r="S123" i="2"/>
  <c r="S121" i="2"/>
  <c r="S104" i="2"/>
  <c r="S115" i="2" s="1"/>
  <c r="R66" i="2"/>
  <c r="R64" i="2"/>
  <c r="Q66" i="2"/>
  <c r="Q64" i="2"/>
  <c r="P66" i="2"/>
  <c r="N66" i="2"/>
  <c r="P64" i="2"/>
  <c r="N64" i="2"/>
  <c r="N62" i="2"/>
  <c r="R45" i="2"/>
  <c r="R53" i="2" s="1"/>
  <c r="R75" i="2" s="1"/>
  <c r="Q45" i="2"/>
  <c r="Q48" i="2" s="1"/>
  <c r="P45" i="2"/>
  <c r="P48" i="2" s="1"/>
  <c r="N45" i="2"/>
  <c r="N53" i="2" s="1"/>
  <c r="N75" i="2" s="1"/>
  <c r="S87" i="2"/>
  <c r="S88" i="2" s="1"/>
  <c r="O66" i="2"/>
  <c r="O64" i="2"/>
  <c r="R62" i="2"/>
  <c r="Q62" i="2"/>
  <c r="P62" i="2"/>
  <c r="O62" i="2"/>
  <c r="O53" i="2"/>
  <c r="O75" i="2" s="1"/>
  <c r="O48" i="2"/>
  <c r="O56" i="2" s="1"/>
  <c r="O59" i="2" s="1"/>
  <c r="S66" i="2"/>
  <c r="S64" i="2"/>
  <c r="S62" i="2"/>
  <c r="S53" i="2"/>
  <c r="S75" i="2" s="1"/>
  <c r="S48" i="2"/>
  <c r="S56" i="2" s="1"/>
  <c r="S59" i="2" s="1"/>
  <c r="R37" i="2"/>
  <c r="Q37" i="2"/>
  <c r="P37" i="2"/>
  <c r="O37" i="2"/>
  <c r="O38" i="2" s="1"/>
  <c r="N37" i="2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S37" i="2"/>
  <c r="S38" i="2" s="1"/>
  <c r="R42" i="2"/>
  <c r="Q42" i="2"/>
  <c r="P42" i="2"/>
  <c r="O42" i="2"/>
  <c r="N42" i="2"/>
  <c r="M42" i="2"/>
  <c r="L42" i="2"/>
  <c r="K42" i="2"/>
  <c r="J42" i="2"/>
  <c r="I42" i="2"/>
  <c r="H42" i="2"/>
  <c r="G42" i="2"/>
  <c r="S42" i="2"/>
  <c r="AE101" i="2" l="1"/>
  <c r="AD101" i="2"/>
  <c r="AD73" i="2"/>
  <c r="AA72" i="2"/>
  <c r="AC124" i="2"/>
  <c r="AE124" i="2"/>
  <c r="AE73" i="2"/>
  <c r="AD124" i="2"/>
  <c r="AB72" i="2"/>
  <c r="AC101" i="2"/>
  <c r="AE56" i="2"/>
  <c r="AE59" i="2" s="1"/>
  <c r="Z124" i="2"/>
  <c r="AU36" i="2"/>
  <c r="AU40" i="2"/>
  <c r="AU42" i="2" s="1"/>
  <c r="AU35" i="2"/>
  <c r="AR88" i="2"/>
  <c r="AR100" i="2" s="1"/>
  <c r="AT88" i="2"/>
  <c r="AT100" i="2" s="1"/>
  <c r="AS90" i="2"/>
  <c r="AR53" i="2"/>
  <c r="AB27" i="2"/>
  <c r="AB31" i="2"/>
  <c r="AB30" i="2"/>
  <c r="AU2" i="2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Z20" i="2"/>
  <c r="AU57" i="2"/>
  <c r="X73" i="2"/>
  <c r="AT37" i="2"/>
  <c r="AT20" i="2" s="1"/>
  <c r="P9" i="2"/>
  <c r="R9" i="2"/>
  <c r="Q9" i="2"/>
  <c r="N9" i="2"/>
  <c r="AU55" i="2"/>
  <c r="AC42" i="2"/>
  <c r="AC73" i="2" s="1"/>
  <c r="AB103" i="2"/>
  <c r="AU60" i="2"/>
  <c r="AV60" i="2" s="1"/>
  <c r="AU61" i="2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AC37" i="2"/>
  <c r="AC72" i="2" s="1"/>
  <c r="AB73" i="2"/>
  <c r="AB101" i="2"/>
  <c r="AP37" i="2"/>
  <c r="AP38" i="2" s="1"/>
  <c r="AT42" i="2"/>
  <c r="AU46" i="2"/>
  <c r="AB115" i="2"/>
  <c r="AU64" i="2"/>
  <c r="AU50" i="2"/>
  <c r="AS37" i="2"/>
  <c r="AU58" i="2"/>
  <c r="AU47" i="2"/>
  <c r="AU49" i="2"/>
  <c r="AB124" i="2"/>
  <c r="AA124" i="2"/>
  <c r="Y73" i="2"/>
  <c r="AK71" i="2"/>
  <c r="Z73" i="2"/>
  <c r="AA73" i="2"/>
  <c r="Z101" i="2"/>
  <c r="Z72" i="2"/>
  <c r="N38" i="2"/>
  <c r="Y72" i="2"/>
  <c r="AT48" i="2"/>
  <c r="AT51" i="2" s="1"/>
  <c r="AL71" i="2"/>
  <c r="AB62" i="2"/>
  <c r="Y38" i="2"/>
  <c r="AD62" i="2"/>
  <c r="AC62" i="2"/>
  <c r="R38" i="2"/>
  <c r="Y101" i="2"/>
  <c r="X72" i="2"/>
  <c r="P38" i="2"/>
  <c r="Q38" i="2"/>
  <c r="AD37" i="2"/>
  <c r="AD72" i="2" s="1"/>
  <c r="AA101" i="2"/>
  <c r="AA63" i="2"/>
  <c r="AA65" i="2" s="1"/>
  <c r="AA67" i="2" s="1"/>
  <c r="Z38" i="2"/>
  <c r="AA38" i="2"/>
  <c r="AA51" i="2"/>
  <c r="AE71" i="2" s="1"/>
  <c r="K7" i="1"/>
  <c r="AT64" i="2"/>
  <c r="K73" i="2"/>
  <c r="W103" i="2"/>
  <c r="AP48" i="2"/>
  <c r="AP51" i="2" s="1"/>
  <c r="AP71" i="2" s="1"/>
  <c r="AT58" i="2"/>
  <c r="V62" i="2"/>
  <c r="W124" i="2"/>
  <c r="AS61" i="2"/>
  <c r="AS62" i="2" s="1"/>
  <c r="T73" i="2"/>
  <c r="W59" i="2"/>
  <c r="W63" i="2" s="1"/>
  <c r="AT55" i="2"/>
  <c r="W115" i="2"/>
  <c r="P73" i="2"/>
  <c r="AR42" i="2"/>
  <c r="O73" i="2"/>
  <c r="R73" i="2"/>
  <c r="AS42" i="2"/>
  <c r="AQ37" i="2"/>
  <c r="AQ42" i="2"/>
  <c r="Q73" i="2"/>
  <c r="M72" i="2"/>
  <c r="S73" i="2"/>
  <c r="L72" i="2"/>
  <c r="P72" i="2"/>
  <c r="L63" i="2"/>
  <c r="L65" i="2" s="1"/>
  <c r="L67" i="2" s="1"/>
  <c r="L68" i="2" s="1"/>
  <c r="X62" i="2"/>
  <c r="U73" i="2"/>
  <c r="M73" i="2"/>
  <c r="Y62" i="2"/>
  <c r="K72" i="2"/>
  <c r="V73" i="2"/>
  <c r="Q72" i="2"/>
  <c r="R72" i="2"/>
  <c r="N73" i="2"/>
  <c r="AQ45" i="2"/>
  <c r="AQ9" i="2" s="1"/>
  <c r="N72" i="2"/>
  <c r="S72" i="2"/>
  <c r="L73" i="2"/>
  <c r="J51" i="2"/>
  <c r="J76" i="2" s="1"/>
  <c r="P74" i="2"/>
  <c r="AR37" i="2"/>
  <c r="J63" i="2"/>
  <c r="J65" i="2" s="1"/>
  <c r="J67" i="2" s="1"/>
  <c r="J68" i="2" s="1"/>
  <c r="AP42" i="2"/>
  <c r="K63" i="2"/>
  <c r="K65" i="2" s="1"/>
  <c r="K67" i="2" s="1"/>
  <c r="K68" i="2" s="1"/>
  <c r="AT69" i="2"/>
  <c r="N74" i="2"/>
  <c r="G51" i="2"/>
  <c r="G76" i="2" s="1"/>
  <c r="K51" i="2"/>
  <c r="O72" i="2"/>
  <c r="AS58" i="2"/>
  <c r="T72" i="2"/>
  <c r="W73" i="2"/>
  <c r="V72" i="2"/>
  <c r="U72" i="2"/>
  <c r="W72" i="2"/>
  <c r="G63" i="2"/>
  <c r="G65" i="2" s="1"/>
  <c r="G67" i="2" s="1"/>
  <c r="G68" i="2" s="1"/>
  <c r="AS50" i="2"/>
  <c r="R74" i="2"/>
  <c r="AT57" i="2"/>
  <c r="T74" i="2"/>
  <c r="U74" i="2"/>
  <c r="AR45" i="2"/>
  <c r="AR9" i="2" s="1"/>
  <c r="X53" i="2"/>
  <c r="X75" i="2" s="1"/>
  <c r="X48" i="2"/>
  <c r="X56" i="2" s="1"/>
  <c r="X59" i="2" s="1"/>
  <c r="Y48" i="2"/>
  <c r="Y56" i="2" s="1"/>
  <c r="Y59" i="2" s="1"/>
  <c r="M56" i="2"/>
  <c r="M59" i="2" s="1"/>
  <c r="M63" i="2" s="1"/>
  <c r="M65" i="2" s="1"/>
  <c r="M67" i="2" s="1"/>
  <c r="W51" i="2"/>
  <c r="AT61" i="2"/>
  <c r="AS55" i="2"/>
  <c r="V45" i="2"/>
  <c r="AS45" i="2" s="1"/>
  <c r="AS9" i="2" s="1"/>
  <c r="AT60" i="2"/>
  <c r="N48" i="2"/>
  <c r="N56" i="2" s="1"/>
  <c r="N59" i="2" s="1"/>
  <c r="N63" i="2" s="1"/>
  <c r="N65" i="2" s="1"/>
  <c r="N67" i="2" s="1"/>
  <c r="X74" i="2"/>
  <c r="Y74" i="2"/>
  <c r="Y53" i="2"/>
  <c r="Y75" i="2" s="1"/>
  <c r="T63" i="2"/>
  <c r="T65" i="2" s="1"/>
  <c r="T67" i="2" s="1"/>
  <c r="Q74" i="2"/>
  <c r="AS49" i="2"/>
  <c r="H63" i="2"/>
  <c r="H65" i="2" s="1"/>
  <c r="H67" i="2" s="1"/>
  <c r="H68" i="2" s="1"/>
  <c r="H51" i="2"/>
  <c r="H76" i="2" s="1"/>
  <c r="L51" i="2"/>
  <c r="I63" i="2"/>
  <c r="I65" i="2" s="1"/>
  <c r="I67" i="2" s="1"/>
  <c r="I68" i="2" s="1"/>
  <c r="I51" i="2"/>
  <c r="I76" i="2" s="1"/>
  <c r="AS46" i="2"/>
  <c r="AS47" i="2"/>
  <c r="U115" i="2"/>
  <c r="R101" i="2"/>
  <c r="U124" i="2"/>
  <c r="U87" i="2"/>
  <c r="U88" i="2" s="1"/>
  <c r="U56" i="2"/>
  <c r="U59" i="2" s="1"/>
  <c r="T51" i="2"/>
  <c r="T115" i="2"/>
  <c r="Q101" i="2"/>
  <c r="S101" i="2"/>
  <c r="T124" i="2"/>
  <c r="P53" i="2"/>
  <c r="P75" i="2" s="1"/>
  <c r="S124" i="2"/>
  <c r="Q53" i="2"/>
  <c r="Q75" i="2" s="1"/>
  <c r="R48" i="2"/>
  <c r="R56" i="2" s="1"/>
  <c r="R59" i="2" s="1"/>
  <c r="Q51" i="2"/>
  <c r="Q56" i="2"/>
  <c r="Q59" i="2" s="1"/>
  <c r="P51" i="2"/>
  <c r="P56" i="2"/>
  <c r="P59" i="2" s="1"/>
  <c r="O51" i="2"/>
  <c r="O63" i="2"/>
  <c r="O65" i="2" s="1"/>
  <c r="O67" i="2" s="1"/>
  <c r="S63" i="2"/>
  <c r="S65" i="2" s="1"/>
  <c r="S67" i="2" s="1"/>
  <c r="S51" i="2"/>
  <c r="AE63" i="2" l="1"/>
  <c r="AE65" i="2" s="1"/>
  <c r="AE67" i="2" s="1"/>
  <c r="AE76" i="2"/>
  <c r="AV62" i="2"/>
  <c r="AW60" i="2"/>
  <c r="AX60" i="2" s="1"/>
  <c r="AY60" i="2" s="1"/>
  <c r="AZ60" i="2" s="1"/>
  <c r="BA60" i="2" s="1"/>
  <c r="BB60" i="2" s="1"/>
  <c r="AU37" i="2"/>
  <c r="AU127" i="2" s="1"/>
  <c r="AU44" i="2" s="1"/>
  <c r="AT132" i="2"/>
  <c r="X101" i="2"/>
  <c r="AS88" i="2"/>
  <c r="AS100" i="2" s="1"/>
  <c r="AU73" i="2"/>
  <c r="AT72" i="2"/>
  <c r="V38" i="2"/>
  <c r="V9" i="2"/>
  <c r="AQ72" i="2"/>
  <c r="AD74" i="2"/>
  <c r="AV69" i="2"/>
  <c r="AW69" i="2" s="1"/>
  <c r="AX69" i="2" s="1"/>
  <c r="AY69" i="2" s="1"/>
  <c r="AZ69" i="2" s="1"/>
  <c r="BA69" i="2" s="1"/>
  <c r="BB69" i="2" s="1"/>
  <c r="BC69" i="2" s="1"/>
  <c r="BD69" i="2" s="1"/>
  <c r="BE69" i="2" s="1"/>
  <c r="AA71" i="2"/>
  <c r="W76" i="2"/>
  <c r="AA68" i="2"/>
  <c r="AA79" i="2"/>
  <c r="AA76" i="2"/>
  <c r="T101" i="2"/>
  <c r="W101" i="2"/>
  <c r="AR73" i="2"/>
  <c r="X51" i="2"/>
  <c r="X76" i="2" s="1"/>
  <c r="K71" i="2"/>
  <c r="AQ73" i="2"/>
  <c r="AR72" i="2"/>
  <c r="AS73" i="2"/>
  <c r="AV42" i="2"/>
  <c r="AT38" i="2"/>
  <c r="V101" i="2"/>
  <c r="AR48" i="2"/>
  <c r="AR51" i="2" s="1"/>
  <c r="AR76" i="2" s="1"/>
  <c r="AR75" i="2"/>
  <c r="AR38" i="2"/>
  <c r="AU62" i="2"/>
  <c r="AQ48" i="2"/>
  <c r="AQ51" i="2" s="1"/>
  <c r="AQ71" i="2" s="1"/>
  <c r="AQ38" i="2"/>
  <c r="AQ75" i="2"/>
  <c r="M76" i="2"/>
  <c r="O71" i="2"/>
  <c r="L76" i="2"/>
  <c r="L71" i="2"/>
  <c r="O76" i="2"/>
  <c r="AS72" i="2"/>
  <c r="M71" i="2"/>
  <c r="K76" i="2"/>
  <c r="Y51" i="2"/>
  <c r="Y71" i="2" s="1"/>
  <c r="W65" i="2"/>
  <c r="W67" i="2" s="1"/>
  <c r="W68" i="2" s="1"/>
  <c r="AT62" i="2"/>
  <c r="V48" i="2"/>
  <c r="V74" i="2"/>
  <c r="N51" i="2"/>
  <c r="Z62" i="2"/>
  <c r="W71" i="2"/>
  <c r="S76" i="2"/>
  <c r="R63" i="2"/>
  <c r="R65" i="2" s="1"/>
  <c r="R67" i="2" s="1"/>
  <c r="R79" i="2" s="1"/>
  <c r="P63" i="2"/>
  <c r="P65" i="2" s="1"/>
  <c r="P67" i="2" s="1"/>
  <c r="P68" i="2" s="1"/>
  <c r="P76" i="2"/>
  <c r="P71" i="2"/>
  <c r="Q63" i="2"/>
  <c r="Q65" i="2" s="1"/>
  <c r="Q67" i="2" s="1"/>
  <c r="Q79" i="2" s="1"/>
  <c r="Q76" i="2"/>
  <c r="T76" i="2"/>
  <c r="U71" i="2"/>
  <c r="Q71" i="2"/>
  <c r="R51" i="2"/>
  <c r="M68" i="2"/>
  <c r="M79" i="2"/>
  <c r="U101" i="2"/>
  <c r="T71" i="2"/>
  <c r="S71" i="2"/>
  <c r="T79" i="2"/>
  <c r="T68" i="2"/>
  <c r="N68" i="2"/>
  <c r="N79" i="2"/>
  <c r="O68" i="2"/>
  <c r="O79" i="2"/>
  <c r="S79" i="2"/>
  <c r="S68" i="2"/>
  <c r="AE68" i="2" l="1"/>
  <c r="AE79" i="2"/>
  <c r="AU33" i="2"/>
  <c r="AU20" i="2"/>
  <c r="AU130" i="2"/>
  <c r="BC60" i="2"/>
  <c r="BB62" i="2"/>
  <c r="BF69" i="2"/>
  <c r="AD53" i="2"/>
  <c r="AD75" i="2" s="1"/>
  <c r="AD48" i="2"/>
  <c r="AD51" i="2" s="1"/>
  <c r="X63" i="2"/>
  <c r="X65" i="2" s="1"/>
  <c r="X67" i="2" s="1"/>
  <c r="X104" i="2" s="1"/>
  <c r="X71" i="2"/>
  <c r="Y76" i="2"/>
  <c r="AS38" i="2"/>
  <c r="AS48" i="2"/>
  <c r="AS51" i="2" s="1"/>
  <c r="AT73" i="2"/>
  <c r="AR71" i="2"/>
  <c r="AQ76" i="2"/>
  <c r="R68" i="2"/>
  <c r="Q68" i="2"/>
  <c r="N76" i="2"/>
  <c r="N71" i="2"/>
  <c r="R71" i="2"/>
  <c r="W79" i="2"/>
  <c r="R76" i="2"/>
  <c r="Z48" i="2"/>
  <c r="Z74" i="2"/>
  <c r="AT52" i="2"/>
  <c r="P79" i="2"/>
  <c r="AS52" i="2"/>
  <c r="V53" i="2"/>
  <c r="V51" i="2"/>
  <c r="V71" i="2" s="1"/>
  <c r="V56" i="2"/>
  <c r="U63" i="2"/>
  <c r="U65" i="2" s="1"/>
  <c r="U67" i="2" s="1"/>
  <c r="U76" i="2"/>
  <c r="AD56" i="2" l="1"/>
  <c r="AD59" i="2" s="1"/>
  <c r="AD76" i="2" s="1"/>
  <c r="BD60" i="2"/>
  <c r="BC62" i="2"/>
  <c r="X103" i="2"/>
  <c r="X115" i="2"/>
  <c r="X79" i="2"/>
  <c r="Y63" i="2"/>
  <c r="Y65" i="2" s="1"/>
  <c r="X68" i="2"/>
  <c r="Z53" i="2"/>
  <c r="AT53" i="2" s="1"/>
  <c r="AT75" i="2" s="1"/>
  <c r="AS71" i="2"/>
  <c r="AS59" i="2"/>
  <c r="AS56" i="2"/>
  <c r="V59" i="2"/>
  <c r="AW62" i="2"/>
  <c r="AS53" i="2"/>
  <c r="AS75" i="2" s="1"/>
  <c r="V75" i="2"/>
  <c r="Z51" i="2"/>
  <c r="Z71" i="2" s="1"/>
  <c r="Z56" i="2"/>
  <c r="U68" i="2"/>
  <c r="U79" i="2"/>
  <c r="AD63" i="2" l="1"/>
  <c r="AD65" i="2" s="1"/>
  <c r="AD67" i="2" s="1"/>
  <c r="BE60" i="2"/>
  <c r="BD62" i="2"/>
  <c r="AD71" i="2"/>
  <c r="AT56" i="2"/>
  <c r="Z59" i="2"/>
  <c r="Y67" i="2"/>
  <c r="Y104" i="2" s="1"/>
  <c r="Z75" i="2"/>
  <c r="AU72" i="2"/>
  <c r="AX62" i="2"/>
  <c r="AV37" i="2"/>
  <c r="AV127" i="2" s="1"/>
  <c r="AW42" i="2"/>
  <c r="AV73" i="2"/>
  <c r="AS76" i="2"/>
  <c r="AS63" i="2"/>
  <c r="AT71" i="2"/>
  <c r="V76" i="2"/>
  <c r="V63" i="2"/>
  <c r="V65" i="2" s="1"/>
  <c r="V67" i="2" s="1"/>
  <c r="BE62" i="2" l="1"/>
  <c r="BF60" i="2"/>
  <c r="BF62" i="2" s="1"/>
  <c r="AV130" i="2"/>
  <c r="AV44" i="2"/>
  <c r="AD79" i="2"/>
  <c r="AD68" i="2"/>
  <c r="Y79" i="2"/>
  <c r="Y103" i="2"/>
  <c r="Y115" i="2"/>
  <c r="Y68" i="2"/>
  <c r="AV72" i="2"/>
  <c r="AY62" i="2"/>
  <c r="AW37" i="2"/>
  <c r="AW127" i="2" s="1"/>
  <c r="AW73" i="2"/>
  <c r="AX42" i="2"/>
  <c r="V68" i="2"/>
  <c r="V79" i="2"/>
  <c r="Z76" i="2"/>
  <c r="Z63" i="2"/>
  <c r="Z65" i="2" s="1"/>
  <c r="AT59" i="2"/>
  <c r="AW130" i="2" l="1"/>
  <c r="AW44" i="2"/>
  <c r="AW72" i="2"/>
  <c r="AT63" i="2"/>
  <c r="AT65" i="2" s="1"/>
  <c r="AT76" i="2"/>
  <c r="AY42" i="2"/>
  <c r="AX73" i="2"/>
  <c r="AX37" i="2"/>
  <c r="AX127" i="2" s="1"/>
  <c r="BA62" i="2"/>
  <c r="AZ62" i="2"/>
  <c r="Z67" i="2"/>
  <c r="AT66" i="2"/>
  <c r="AX130" i="2" l="1"/>
  <c r="AX44" i="2"/>
  <c r="Z103" i="2"/>
  <c r="AT103" i="2" s="1"/>
  <c r="Z115" i="2"/>
  <c r="AT67" i="2"/>
  <c r="AT68" i="2" s="1"/>
  <c r="AX72" i="2"/>
  <c r="AZ42" i="2"/>
  <c r="AY37" i="2"/>
  <c r="AY127" i="2" s="1"/>
  <c r="AY73" i="2"/>
  <c r="Z79" i="2"/>
  <c r="Z68" i="2"/>
  <c r="AY130" i="2" l="1"/>
  <c r="AY44" i="2"/>
  <c r="AY72" i="2"/>
  <c r="AZ37" i="2"/>
  <c r="AZ127" i="2" s="1"/>
  <c r="BA42" i="2"/>
  <c r="BB42" i="2" s="1"/>
  <c r="AZ73" i="2"/>
  <c r="BB37" i="2" l="1"/>
  <c r="BC42" i="2"/>
  <c r="BB73" i="2"/>
  <c r="AZ130" i="2"/>
  <c r="AZ44" i="2"/>
  <c r="AZ72" i="2"/>
  <c r="BA37" i="2"/>
  <c r="BA127" i="2" s="1"/>
  <c r="BA73" i="2"/>
  <c r="BA130" i="2" l="1"/>
  <c r="BA44" i="2"/>
  <c r="BD42" i="2"/>
  <c r="BC37" i="2"/>
  <c r="BC73" i="2"/>
  <c r="BB72" i="2"/>
  <c r="BB127" i="2"/>
  <c r="BA72" i="2"/>
  <c r="BB130" i="2" l="1"/>
  <c r="BB44" i="2"/>
  <c r="BC72" i="2"/>
  <c r="BC127" i="2"/>
  <c r="BE42" i="2"/>
  <c r="BD37" i="2"/>
  <c r="BD73" i="2"/>
  <c r="AB48" i="2"/>
  <c r="AB75" i="2"/>
  <c r="BC130" i="2" l="1"/>
  <c r="BC44" i="2"/>
  <c r="BD72" i="2"/>
  <c r="BD127" i="2"/>
  <c r="BF42" i="2"/>
  <c r="BE37" i="2"/>
  <c r="BE73" i="2"/>
  <c r="AU52" i="2"/>
  <c r="AC48" i="2"/>
  <c r="AU45" i="2"/>
  <c r="AC74" i="2"/>
  <c r="AB51" i="2"/>
  <c r="AB71" i="2" s="1"/>
  <c r="AB56" i="2"/>
  <c r="AB59" i="2" s="1"/>
  <c r="AB63" i="2" s="1"/>
  <c r="AB65" i="2" s="1"/>
  <c r="AU9" i="2" l="1"/>
  <c r="AU48" i="2"/>
  <c r="AU51" i="2" s="1"/>
  <c r="AU71" i="2" s="1"/>
  <c r="BE127" i="2"/>
  <c r="BE72" i="2"/>
  <c r="BF37" i="2"/>
  <c r="BF73" i="2"/>
  <c r="BD130" i="2"/>
  <c r="BD44" i="2"/>
  <c r="AU38" i="2"/>
  <c r="AV38" i="2" s="1"/>
  <c r="AC53" i="2"/>
  <c r="AC75" i="2" s="1"/>
  <c r="AC51" i="2"/>
  <c r="AC71" i="2" s="1"/>
  <c r="AC56" i="2"/>
  <c r="AC59" i="2" s="1"/>
  <c r="AB76" i="2"/>
  <c r="AB67" i="2"/>
  <c r="BF127" i="2" l="1"/>
  <c r="BF72" i="2"/>
  <c r="BE130" i="2"/>
  <c r="BE44" i="2"/>
  <c r="AV45" i="2"/>
  <c r="AW38" i="2"/>
  <c r="AU53" i="2"/>
  <c r="AU75" i="2" s="1"/>
  <c r="AU56" i="2"/>
  <c r="AU59" i="2"/>
  <c r="AC76" i="2"/>
  <c r="AC63" i="2"/>
  <c r="AC65" i="2" s="1"/>
  <c r="AB79" i="2"/>
  <c r="AB68" i="2"/>
  <c r="AV48" i="2" l="1"/>
  <c r="AV51" i="2" s="1"/>
  <c r="AV71" i="2" s="1"/>
  <c r="AV52" i="2"/>
  <c r="BF130" i="2"/>
  <c r="BF44" i="2"/>
  <c r="AX38" i="2"/>
  <c r="AW45" i="2"/>
  <c r="AC67" i="2"/>
  <c r="AU66" i="2"/>
  <c r="AU76" i="2"/>
  <c r="AU63" i="2"/>
  <c r="AU65" i="2" s="1"/>
  <c r="AW48" i="2" l="1"/>
  <c r="AW51" i="2" s="1"/>
  <c r="AW71" i="2" s="1"/>
  <c r="AW52" i="2"/>
  <c r="AV56" i="2"/>
  <c r="AV59" i="2" s="1"/>
  <c r="AV63" i="2" s="1"/>
  <c r="AY38" i="2"/>
  <c r="AX45" i="2"/>
  <c r="AX48" i="2" s="1"/>
  <c r="AX51" i="2" s="1"/>
  <c r="AU67" i="2"/>
  <c r="AU68" i="2" s="1"/>
  <c r="AC79" i="2"/>
  <c r="AC68" i="2"/>
  <c r="AV76" i="2" l="1"/>
  <c r="AX52" i="2"/>
  <c r="AX56" i="2"/>
  <c r="AX59" i="2" s="1"/>
  <c r="AW56" i="2"/>
  <c r="AW59" i="2" s="1"/>
  <c r="AW63" i="2" s="1"/>
  <c r="AX71" i="2"/>
  <c r="AZ38" i="2"/>
  <c r="AY45" i="2"/>
  <c r="AY48" i="2" s="1"/>
  <c r="AY51" i="2" s="1"/>
  <c r="AU103" i="2"/>
  <c r="AW76" i="2" l="1"/>
  <c r="AV64" i="2"/>
  <c r="AV65" i="2" s="1"/>
  <c r="AV66" i="2" s="1"/>
  <c r="AV67" i="2" s="1"/>
  <c r="AV68" i="2" s="1"/>
  <c r="AY52" i="2"/>
  <c r="AY56" i="2" s="1"/>
  <c r="AY59" i="2" s="1"/>
  <c r="AX63" i="2"/>
  <c r="AX76" i="2"/>
  <c r="AY71" i="2"/>
  <c r="BA38" i="2"/>
  <c r="AZ45" i="2"/>
  <c r="AZ48" i="2" s="1"/>
  <c r="AZ51" i="2" s="1"/>
  <c r="BA45" i="2" l="1"/>
  <c r="BA48" i="2" s="1"/>
  <c r="BA51" i="2" s="1"/>
  <c r="BA71" i="2" s="1"/>
  <c r="BB38" i="2"/>
  <c r="AV103" i="2"/>
  <c r="AW64" i="2" s="1"/>
  <c r="AW65" i="2" s="1"/>
  <c r="AW66" i="2" s="1"/>
  <c r="AW67" i="2" s="1"/>
  <c r="AW68" i="2" s="1"/>
  <c r="AZ52" i="2"/>
  <c r="AZ56" i="2" s="1"/>
  <c r="AZ59" i="2" s="1"/>
  <c r="AY63" i="2"/>
  <c r="AY76" i="2"/>
  <c r="AZ71" i="2"/>
  <c r="BA52" i="2" l="1"/>
  <c r="BA56" i="2" s="1"/>
  <c r="BA59" i="2" s="1"/>
  <c r="BA63" i="2" s="1"/>
  <c r="AW103" i="2"/>
  <c r="BC38" i="2"/>
  <c r="BB45" i="2"/>
  <c r="BB48" i="2" s="1"/>
  <c r="BB51" i="2" s="1"/>
  <c r="AZ76" i="2"/>
  <c r="AZ63" i="2"/>
  <c r="AX64" i="2"/>
  <c r="AX65" i="2" s="1"/>
  <c r="BA76" i="2" l="1"/>
  <c r="BB52" i="2"/>
  <c r="BB56" i="2" s="1"/>
  <c r="BB59" i="2" s="1"/>
  <c r="BB71" i="2"/>
  <c r="BD38" i="2"/>
  <c r="BC45" i="2"/>
  <c r="BC48" i="2" s="1"/>
  <c r="BC51" i="2" s="1"/>
  <c r="AX66" i="2"/>
  <c r="AX67" i="2" s="1"/>
  <c r="BC71" i="2" l="1"/>
  <c r="BC52" i="2"/>
  <c r="BC56" i="2" s="1"/>
  <c r="BC59" i="2" s="1"/>
  <c r="BE38" i="2"/>
  <c r="BD45" i="2"/>
  <c r="BD48" i="2" s="1"/>
  <c r="BD51" i="2" s="1"/>
  <c r="BB76" i="2"/>
  <c r="BB63" i="2"/>
  <c r="AX68" i="2"/>
  <c r="AX103" i="2"/>
  <c r="BC63" i="2" l="1"/>
  <c r="BC76" i="2"/>
  <c r="BD52" i="2"/>
  <c r="BD56" i="2" s="1"/>
  <c r="BD59" i="2" s="1"/>
  <c r="BD71" i="2"/>
  <c r="BF38" i="2"/>
  <c r="BF45" i="2" s="1"/>
  <c r="BF48" i="2" s="1"/>
  <c r="BF51" i="2" s="1"/>
  <c r="BE45" i="2"/>
  <c r="BE48" i="2" s="1"/>
  <c r="BE51" i="2" s="1"/>
  <c r="AY64" i="2"/>
  <c r="AY65" i="2" s="1"/>
  <c r="BD63" i="2" l="1"/>
  <c r="BD76" i="2"/>
  <c r="BE71" i="2"/>
  <c r="BE52" i="2"/>
  <c r="BE56" i="2" s="1"/>
  <c r="BE59" i="2" s="1"/>
  <c r="BF52" i="2"/>
  <c r="BF71" i="2"/>
  <c r="BF56" i="2"/>
  <c r="BF59" i="2" s="1"/>
  <c r="AY66" i="2"/>
  <c r="AY67" i="2" s="1"/>
  <c r="BF76" i="2" l="1"/>
  <c r="BF63" i="2"/>
  <c r="BE76" i="2"/>
  <c r="BE63" i="2"/>
  <c r="AY68" i="2"/>
  <c r="AY103" i="2"/>
  <c r="AZ64" i="2" l="1"/>
  <c r="AZ65" i="2" s="1"/>
  <c r="AZ66" i="2" l="1"/>
  <c r="AZ67" i="2" s="1"/>
  <c r="AZ68" i="2" l="1"/>
  <c r="AZ103" i="2"/>
  <c r="BA64" i="2" l="1"/>
  <c r="BA65" i="2" s="1"/>
  <c r="BA66" i="2" l="1"/>
  <c r="BA67" i="2" s="1"/>
  <c r="BA68" i="2" l="1"/>
  <c r="BA103" i="2"/>
  <c r="BB64" i="2" s="1"/>
  <c r="BB65" i="2" s="1"/>
  <c r="BB66" i="2" l="1"/>
  <c r="BB67" i="2" s="1"/>
  <c r="BB68" i="2" l="1"/>
  <c r="BB103" i="2"/>
  <c r="BC64" i="2" l="1"/>
  <c r="BC65" i="2" s="1"/>
  <c r="BC66" i="2" l="1"/>
  <c r="BC67" i="2" s="1"/>
  <c r="BC68" i="2" l="1"/>
  <c r="BC103" i="2"/>
  <c r="BD64" i="2" l="1"/>
  <c r="BD65" i="2" s="1"/>
  <c r="BD66" i="2" s="1"/>
  <c r="BD67" i="2" s="1"/>
  <c r="BD68" i="2" l="1"/>
  <c r="BD103" i="2"/>
  <c r="BE64" i="2" l="1"/>
  <c r="BE65" i="2" s="1"/>
  <c r="BE66" i="2" l="1"/>
  <c r="BE67" i="2" s="1"/>
  <c r="BE68" i="2" l="1"/>
  <c r="BE103" i="2"/>
  <c r="BF64" i="2" l="1"/>
  <c r="BF65" i="2" s="1"/>
  <c r="BF66" i="2" s="1"/>
  <c r="BF67" i="2" s="1"/>
  <c r="BF68" i="2" l="1"/>
  <c r="BG67" i="2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BF103" i="2"/>
  <c r="BH80" i="2" l="1"/>
  <c r="BH8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  <author>Martin Shkreli</author>
  </authors>
  <commentList>
    <comment ref="AT42" authorId="0" shapeId="0" xr:uid="{7D7449AA-B6F8-4EBC-88EB-E7879CDB3FA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  </r>
      </text>
    </comment>
    <comment ref="AS45" authorId="1" shapeId="0" xr:uid="{967D8758-D7BC-41A6-B5D6-1925877D7989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67210 actual</t>
        </r>
      </text>
    </comment>
  </commentList>
</comments>
</file>

<file path=xl/sharedStrings.xml><?xml version="1.0" encoding="utf-8"?>
<sst xmlns="http://schemas.openxmlformats.org/spreadsheetml/2006/main" count="199" uniqueCount="183">
  <si>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</si>
  <si>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</si>
  <si>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</si>
  <si>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</si>
  <si>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</si>
  <si>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</si>
  <si>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</si>
  <si>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</si>
  <si>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</si>
  <si>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</si>
  <si>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</si>
  <si>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</si>
  <si>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</si>
  <si>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</si>
  <si>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</si>
  <si>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</si>
  <si>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</si>
  <si>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</si>
  <si>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</si>
  <si>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</si>
  <si>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</si>
  <si>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</si>
  <si>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</si>
  <si>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</si>
  <si>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</si>
  <si>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</si>
  <si>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</si>
  <si>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</si>
  <si>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</si>
  <si>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</si>
  <si>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</si>
  <si>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</si>
  <si>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</si>
  <si>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</si>
  <si>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</si>
  <si>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</si>
  <si>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</si>
  <si>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</si>
  <si>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</si>
  <si>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</si>
  <si>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</si>
  <si>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</si>
  <si>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</si>
  <si>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</si>
  <si>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</si>
  <si>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</si>
  <si>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</si>
  <si>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</si>
  <si>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</si>
  <si>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</si>
  <si>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</si>
  <si>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</si>
  <si>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</si>
  <si>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</si>
  <si>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</si>
  <si>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</si>
  <si>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</si>
  <si>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</si>
  <si>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</si>
  <si>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</si>
  <si>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</si>
  <si>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</si>
  <si>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</si>
  <si>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</si>
  <si>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</si>
  <si>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</si>
  <si>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</si>
  <si>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</si>
  <si>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</si>
  <si>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</si>
  <si>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</si>
  <si>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</si>
  <si>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</si>
  <si>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</si>
  <si>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</si>
  <si>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</si>
  <si>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</si>
  <si>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</si>
  <si>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</si>
  <si>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</si>
  <si>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</si>
  <si>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</si>
  <si>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</si>
  <si>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</si>
  <si>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</si>
  <si>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</si>
  <si>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</si>
  <si>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</si>
  <si>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</si>
  <si>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</si>
  <si>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</si>
  <si>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</si>
  <si>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</si>
  <si>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</si>
  <si>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</si>
  <si>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</si>
  <si>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</si>
  <si>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</si>
  <si>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</si>
  <si>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</si>
  <si>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</si>
  <si>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</si>
  <si>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</si>
  <si>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</si>
  <si>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</si>
  <si>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</si>
  <si>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</si>
  <si>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</si>
  <si>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</si>
  <si>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</si>
  <si>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</si>
  <si>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</si>
  <si>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</si>
  <si>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</si>
  <si>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</si>
  <si>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</si>
  <si>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 COGS</t>
  </si>
  <si>
    <t>Q124</t>
  </si>
  <si>
    <t>Q224</t>
  </si>
  <si>
    <t>Q324</t>
  </si>
  <si>
    <t>Q424</t>
  </si>
  <si>
    <t>Q125</t>
  </si>
  <si>
    <t>Q225</t>
  </si>
  <si>
    <t>Q325</t>
  </si>
  <si>
    <t>Q425</t>
  </si>
  <si>
    <t>Optimus</t>
  </si>
  <si>
    <t>FSD:</t>
  </si>
  <si>
    <t>Toyota Revenue</t>
  </si>
  <si>
    <t>BYD Revenue</t>
  </si>
  <si>
    <t>BYD Production</t>
  </si>
  <si>
    <t>Toyota Production</t>
  </si>
  <si>
    <t>Porsche Revenue</t>
  </si>
  <si>
    <t>Tesla Revenue</t>
  </si>
  <si>
    <t>Porsche Deliveries</t>
  </si>
  <si>
    <t>Tesla Production</t>
  </si>
  <si>
    <t>Volkswagen Revenue</t>
  </si>
  <si>
    <t>Volkswagen Deliveries</t>
  </si>
  <si>
    <t>Mercedez-Benz Revenue</t>
  </si>
  <si>
    <t>Mercedez-Bens Production</t>
  </si>
  <si>
    <t>GM Deliveries</t>
  </si>
  <si>
    <t>BMW Production</t>
  </si>
  <si>
    <t>GM Revenue</t>
  </si>
  <si>
    <t>Toyota ASP</t>
  </si>
  <si>
    <t>Volkswagen ASP</t>
  </si>
  <si>
    <t>GM ASP</t>
  </si>
  <si>
    <t>BYD ASP</t>
  </si>
  <si>
    <t>BMW ASP</t>
  </si>
  <si>
    <t>Mercedez ASP</t>
  </si>
  <si>
    <t>Tesla ASP</t>
  </si>
  <si>
    <t>Porsche ASP</t>
  </si>
  <si>
    <t>Ford Revenue</t>
  </si>
  <si>
    <t>BMW Revenue</t>
  </si>
  <si>
    <t>Ford Deliveries</t>
  </si>
  <si>
    <t>Ford ASP</t>
  </si>
  <si>
    <t>FSD DR</t>
  </si>
  <si>
    <t>Model 3: $29,490 - is a four-door mid-size sedan, mass market</t>
  </si>
  <si>
    <t>Buffalo</t>
  </si>
  <si>
    <t>Lahtrop, CA</t>
  </si>
  <si>
    <t>Roadster</t>
  </si>
  <si>
    <t>FSD DR Additions</t>
  </si>
  <si>
    <t>FSD DR RevRec</t>
  </si>
  <si>
    <t>Estimated FSD users added</t>
  </si>
  <si>
    <t>FSD DR y/y</t>
  </si>
  <si>
    <t>FSD penetration</t>
  </si>
  <si>
    <t>Software Revenue</t>
  </si>
  <si>
    <t>Energy Storage</t>
  </si>
  <si>
    <t>Powerwall - consumer product</t>
  </si>
  <si>
    <t>Megapack - industrial</t>
  </si>
  <si>
    <t>Model S: four-door sedan</t>
  </si>
  <si>
    <t>Model Y: $30,990 - compact SUV</t>
  </si>
  <si>
    <t>Model X: mid-sized SUV</t>
  </si>
  <si>
    <t>Cybercab: Robotaxi style product, will compete with Cruise and Waymo. Launch 2025.</t>
  </si>
  <si>
    <t>Solar Roof</t>
  </si>
  <si>
    <t>Insurance</t>
  </si>
  <si>
    <t>IPO 6/29/2010</t>
  </si>
  <si>
    <t>August 2020 split</t>
  </si>
  <si>
    <t>August 2022 split</t>
  </si>
  <si>
    <t>Investments</t>
  </si>
  <si>
    <t>CFFI</t>
  </si>
  <si>
    <t>Financing</t>
  </si>
  <si>
    <t>NCI</t>
  </si>
  <si>
    <t>Other</t>
  </si>
  <si>
    <t>CFFF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</si>
</sst>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7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right"/>
    </xf>
    <xf numFmtId="2" fontId="11" fillId="0" borderId="0" xfId="0" applyNumberFormat="1" applyFont="1" applyAlignment="1">
      <alignment horizontal="right"/>
    </xf>
    <xf numFmtId="3" fontId="11" fillId="0" borderId="0" xfId="0" applyNumberFormat="1" applyFont="1"/>
    <xf numFmtId="3" fontId="11" fillId="0" borderId="0" xfId="0" applyNumberFormat="1" applyFont="1" applyAlignment="1">
      <alignment horizontal="right"/>
    </xf>
    <xf numFmtId="3" fontId="12" fillId="0" borderId="0" xfId="0" applyNumberFormat="1" applyFont="1"/>
    <xf numFmtId="3" fontId="12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10" fillId="0" borderId="0" xfId="0" applyFont="1"/>
    <xf numFmtId="3" fontId="10" fillId="0" borderId="0" xfId="0" applyNumberFormat="1" applyFont="1"/>
    <xf numFmtId="2" fontId="10" fillId="0" borderId="0" xfId="0" applyNumberFormat="1" applyFont="1"/>
    <xf numFmtId="3" fontId="9" fillId="0" borderId="0" xfId="0" applyNumberFormat="1" applyFont="1" applyAlignment="1">
      <alignment horizontal="right"/>
    </xf>
    <xf numFmtId="3" fontId="9" fillId="0" borderId="0" xfId="0" applyNumberFormat="1" applyFont="1"/>
    <xf numFmtId="0" fontId="14" fillId="0" borderId="0" xfId="1" applyFont="1"/>
    <xf numFmtId="0" fontId="8" fillId="0" borderId="0" xfId="0" applyFont="1"/>
    <xf numFmtId="0" fontId="8" fillId="0" borderId="0" xfId="0" applyFont="1" applyAlignment="1">
      <alignment horizontal="right"/>
    </xf>
    <xf numFmtId="9" fontId="11" fillId="0" borderId="0" xfId="0" applyNumberFormat="1" applyFont="1" applyAlignment="1">
      <alignment horizontal="right"/>
    </xf>
    <xf numFmtId="3" fontId="7" fillId="0" borderId="0" xfId="0" applyNumberFormat="1" applyFont="1"/>
    <xf numFmtId="0" fontId="7" fillId="0" borderId="0" xfId="0" applyFont="1"/>
    <xf numFmtId="4" fontId="11" fillId="0" borderId="0" xfId="0" applyNumberFormat="1" applyFont="1"/>
    <xf numFmtId="0" fontId="6" fillId="0" borderId="0" xfId="0" applyFont="1"/>
    <xf numFmtId="9" fontId="12" fillId="0" borderId="0" xfId="0" applyNumberFormat="1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9" fontId="12" fillId="0" borderId="0" xfId="0" applyNumberFormat="1" applyFont="1"/>
    <xf numFmtId="9" fontId="11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/>
    <xf numFmtId="3" fontId="5" fillId="0" borderId="0" xfId="0" applyNumberFormat="1" applyFont="1"/>
    <xf numFmtId="164" fontId="11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13" fillId="0" borderId="0" xfId="1"/>
    <xf numFmtId="3" fontId="5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15" fillId="0" borderId="0" xfId="1" applyFont="1"/>
    <xf numFmtId="3" fontId="11" fillId="2" borderId="0" xfId="0" applyNumberFormat="1" applyFont="1" applyFill="1"/>
    <xf numFmtId="3" fontId="3" fillId="0" borderId="0" xfId="0" applyNumberFormat="1" applyFont="1"/>
    <xf numFmtId="9" fontId="3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/>
    <xf numFmtId="0" fontId="18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33950</xdr:colOff>
      <xdr:row>0</xdr:row>
      <xdr:rowOff>100264</xdr:rowOff>
    </xdr:from>
    <xdr:to>
      <xdr:col>31</xdr:col>
      <xdr:colOff>38203</xdr:colOff>
      <xdr:row>148</xdr:row>
      <xdr:rowOff>106833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9835924" y="100264"/>
          <a:ext cx="4253" cy="23748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21322</xdr:colOff>
      <xdr:row>0</xdr:row>
      <xdr:rowOff>0</xdr:rowOff>
    </xdr:from>
    <xdr:to>
      <xdr:col>46</xdr:col>
      <xdr:colOff>21322</xdr:colOff>
      <xdr:row>136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8857006" y="0"/>
          <a:ext cx="0" cy="19591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42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zoomScale="130" zoomScaleNormal="130" workbookViewId="0">
      <selection activeCell="K3" sqref="K3"/>
    </sheetView>
  </sheetViews>
  <sheetFormatPr baseColWidth="10" defaultColWidth="9.1640625" defaultRowHeight="13" x14ac:dyDescent="0.15"/>
  <cols>
    <col min="1" max="16384" width="9.1640625" style="9"/>
  </cols>
  <sheetData>
    <row r="2" spans="2:12" x14ac:dyDescent="0.15">
      <c r="B2" s="9" t="s">
        <v>125</v>
      </c>
      <c r="J2" s="9" t="s">
        <v>0</v>
      </c>
      <c r="K2" s="11">
        <v>364</v>
      </c>
    </row>
    <row r="3" spans="2:12" x14ac:dyDescent="0.15">
      <c r="B3" s="43" t="s">
        <v>169</v>
      </c>
      <c r="C3" s="32"/>
      <c r="J3" s="9" t="s">
        <v>1</v>
      </c>
      <c r="K3" s="10">
        <v>3521</v>
      </c>
      <c r="L3" s="46" t="s">
        <v>120</v>
      </c>
    </row>
    <row r="4" spans="2:12" x14ac:dyDescent="0.15">
      <c r="B4" s="33" t="s">
        <v>155</v>
      </c>
      <c r="J4" s="9" t="s">
        <v>2</v>
      </c>
      <c r="K4" s="10">
        <f>K2*K3</f>
        <v>1281644</v>
      </c>
    </row>
    <row r="5" spans="2:12" x14ac:dyDescent="0.15">
      <c r="B5" s="43" t="s">
        <v>168</v>
      </c>
      <c r="J5" s="9" t="s">
        <v>3</v>
      </c>
      <c r="K5" s="10">
        <v>36996</v>
      </c>
      <c r="L5" s="46" t="s">
        <v>120</v>
      </c>
    </row>
    <row r="6" spans="2:12" x14ac:dyDescent="0.15">
      <c r="B6" s="43" t="s">
        <v>170</v>
      </c>
      <c r="J6" s="9" t="s">
        <v>4</v>
      </c>
      <c r="K6" s="18">
        <v>7529</v>
      </c>
      <c r="L6" s="46" t="s">
        <v>120</v>
      </c>
    </row>
    <row r="7" spans="2:12" x14ac:dyDescent="0.15">
      <c r="B7" s="33" t="s">
        <v>107</v>
      </c>
      <c r="J7" s="9" t="s">
        <v>5</v>
      </c>
      <c r="K7" s="10">
        <f>K4-K5+K6</f>
        <v>1252177</v>
      </c>
    </row>
    <row r="8" spans="2:12" x14ac:dyDescent="0.15">
      <c r="B8" s="33" t="s">
        <v>158</v>
      </c>
    </row>
    <row r="9" spans="2:12" x14ac:dyDescent="0.15">
      <c r="B9" s="33" t="s">
        <v>105</v>
      </c>
    </row>
    <row r="10" spans="2:12" x14ac:dyDescent="0.15">
      <c r="B10" s="33" t="s">
        <v>126</v>
      </c>
    </row>
    <row r="11" spans="2:12" x14ac:dyDescent="0.15">
      <c r="B11" s="43" t="s">
        <v>171</v>
      </c>
      <c r="J11" s="9" t="s">
        <v>7</v>
      </c>
    </row>
    <row r="12" spans="2:12" x14ac:dyDescent="0.15">
      <c r="B12" s="43" t="s">
        <v>172</v>
      </c>
    </row>
    <row r="13" spans="2:12" x14ac:dyDescent="0.15">
      <c r="B13" s="43" t="s">
        <v>173</v>
      </c>
    </row>
    <row r="15" spans="2:12" x14ac:dyDescent="0.15">
      <c r="B15" s="44" t="s">
        <v>165</v>
      </c>
    </row>
    <row r="16" spans="2:12" x14ac:dyDescent="0.15">
      <c r="B16" s="43" t="s">
        <v>166</v>
      </c>
    </row>
    <row r="17" spans="2:10" x14ac:dyDescent="0.15">
      <c r="B17" s="43" t="s">
        <v>167</v>
      </c>
    </row>
    <row r="19" spans="2:10" x14ac:dyDescent="0.15">
      <c r="J19" s="43" t="s">
        <v>174</v>
      </c>
    </row>
    <row r="20" spans="2:10" x14ac:dyDescent="0.15">
      <c r="B20" s="9" t="s">
        <v>6</v>
      </c>
      <c r="J20" s="43" t="s">
        <v>175</v>
      </c>
    </row>
    <row r="21" spans="2:10" x14ac:dyDescent="0.15">
      <c r="J21" s="43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DE132"/>
  <sheetViews>
    <sheetView tabSelected="1" zoomScale="125" zoomScaleNormal="125" workbookViewId="0">
      <pane xSplit="2" ySplit="2" topLeftCell="AW66" activePane="bottomRight" state="frozen"/>
      <selection pane="topRight" activeCell="C1" sqref="C1"/>
      <selection pane="bottomLeft" activeCell="A3" sqref="A3"/>
      <selection pane="bottomRight" activeCell="AE81" sqref="AE81"/>
    </sheetView>
  </sheetViews>
  <sheetFormatPr baseColWidth="10" defaultColWidth="9.1640625" defaultRowHeight="13" x14ac:dyDescent="0.15"/>
  <cols>
    <col min="1" max="1" width="5.1640625" style="1" bestFit="1" customWidth="1"/>
    <col min="2" max="2" width="25" style="1" customWidth="1"/>
    <col min="3" max="18" width="9.1640625" style="2"/>
    <col min="19" max="19" width="8.6640625" style="2" customWidth="1"/>
    <col min="20" max="23" width="9.1640625" style="2"/>
    <col min="24" max="24" width="9.6640625" style="2" customWidth="1"/>
    <col min="25" max="25" width="9.1640625" style="2"/>
    <col min="26" max="26" width="8.33203125" style="2" customWidth="1"/>
    <col min="27" max="31" width="9.5" style="2" customWidth="1"/>
    <col min="32" max="34" width="8.5" style="2" customWidth="1"/>
    <col min="35" max="43" width="9.1640625" style="1"/>
    <col min="44" max="46" width="9.6640625" style="1" customWidth="1"/>
    <col min="47" max="47" width="10.6640625" style="1" customWidth="1"/>
    <col min="48" max="58" width="9.6640625" style="1" customWidth="1"/>
    <col min="59" max="59" width="9.1640625" style="1"/>
    <col min="60" max="60" width="9.5" style="1" customWidth="1"/>
    <col min="61" max="16384" width="9.1640625" style="1"/>
  </cols>
  <sheetData>
    <row r="1" spans="1:58" x14ac:dyDescent="0.15">
      <c r="A1" s="14" t="s">
        <v>8</v>
      </c>
    </row>
    <row r="2" spans="1:58" x14ac:dyDescent="0.15">
      <c r="A2" s="14"/>
      <c r="C2" s="27" t="s">
        <v>94</v>
      </c>
      <c r="D2" s="27" t="s">
        <v>95</v>
      </c>
      <c r="E2" s="27" t="s">
        <v>96</v>
      </c>
      <c r="F2" s="27" t="s">
        <v>97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16" t="s">
        <v>85</v>
      </c>
      <c r="X2" s="16" t="s">
        <v>86</v>
      </c>
      <c r="Y2" s="16" t="s">
        <v>87</v>
      </c>
      <c r="Z2" s="16" t="s">
        <v>88</v>
      </c>
      <c r="AA2" s="27" t="s">
        <v>117</v>
      </c>
      <c r="AB2" s="27" t="s">
        <v>118</v>
      </c>
      <c r="AC2" s="27" t="s">
        <v>119</v>
      </c>
      <c r="AD2" s="27" t="s">
        <v>120</v>
      </c>
      <c r="AE2" s="31" t="s">
        <v>121</v>
      </c>
      <c r="AF2" s="31" t="s">
        <v>122</v>
      </c>
      <c r="AG2" s="31" t="s">
        <v>123</v>
      </c>
      <c r="AH2" s="31" t="s">
        <v>124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f>+AQ2+1</f>
        <v>2021</v>
      </c>
      <c r="AS2" s="1">
        <f t="shared" ref="AS2" si="0">+AR2+1</f>
        <v>2022</v>
      </c>
      <c r="AT2" s="1">
        <f t="shared" ref="AT2" si="1">+AS2+1</f>
        <v>2023</v>
      </c>
      <c r="AU2" s="1">
        <f>+AT2+1</f>
        <v>2024</v>
      </c>
      <c r="AV2" s="1">
        <f t="shared" ref="AV2" si="2">+AU2+1</f>
        <v>2025</v>
      </c>
      <c r="AW2" s="1">
        <f t="shared" ref="AW2" si="3">+AV2+1</f>
        <v>2026</v>
      </c>
      <c r="AX2" s="1">
        <f t="shared" ref="AX2" si="4">+AW2+1</f>
        <v>2027</v>
      </c>
      <c r="AY2" s="1">
        <f t="shared" ref="AY2" si="5">+AX2+1</f>
        <v>2028</v>
      </c>
      <c r="AZ2" s="1">
        <f t="shared" ref="AZ2" si="6">+AY2+1</f>
        <v>2029</v>
      </c>
      <c r="BA2" s="1">
        <f t="shared" ref="BA2" si="7">+AZ2+1</f>
        <v>2030</v>
      </c>
      <c r="BB2" s="1">
        <f>+BA2+1</f>
        <v>2031</v>
      </c>
      <c r="BC2" s="1">
        <f>+BB2+1</f>
        <v>2032</v>
      </c>
      <c r="BD2" s="1">
        <f>+BC2+1</f>
        <v>2033</v>
      </c>
      <c r="BE2" s="1">
        <f>+BD2+1</f>
        <v>2034</v>
      </c>
      <c r="BF2" s="1">
        <f>+BE2+1</f>
        <v>2035</v>
      </c>
    </row>
    <row r="3" spans="1:58" x14ac:dyDescent="0.15">
      <c r="A3" s="14"/>
      <c r="B3" s="33" t="s">
        <v>135</v>
      </c>
      <c r="C3" s="27"/>
      <c r="D3" s="27"/>
      <c r="E3" s="27"/>
      <c r="F3" s="27"/>
      <c r="W3" s="16"/>
      <c r="X3" s="16"/>
      <c r="Y3" s="16"/>
      <c r="Z3" s="16"/>
      <c r="AA3" s="36">
        <f>158800/2*1.12</f>
        <v>88928.000000000015</v>
      </c>
      <c r="AB3" s="36">
        <f>158800/2*1.12</f>
        <v>88928.000000000015</v>
      </c>
      <c r="AC3" s="27"/>
      <c r="AD3" s="27"/>
      <c r="AE3" s="31"/>
      <c r="AF3" s="31"/>
      <c r="AG3" s="31"/>
      <c r="AH3" s="31"/>
    </row>
    <row r="4" spans="1:58" x14ac:dyDescent="0.15">
      <c r="A4" s="14"/>
      <c r="B4" s="33" t="s">
        <v>127</v>
      </c>
      <c r="C4" s="27"/>
      <c r="D4" s="27"/>
      <c r="E4" s="27"/>
      <c r="F4" s="27"/>
      <c r="W4" s="16"/>
      <c r="X4" s="16"/>
      <c r="Y4" s="16"/>
      <c r="Z4" s="16"/>
      <c r="AA4" s="27"/>
      <c r="AB4" s="36">
        <f>10845224/145</f>
        <v>74794.64827586207</v>
      </c>
      <c r="AC4" s="27"/>
      <c r="AD4" s="27"/>
      <c r="AE4" s="31"/>
      <c r="AF4" s="31"/>
      <c r="AG4" s="31"/>
      <c r="AH4" s="31"/>
    </row>
    <row r="5" spans="1:58" x14ac:dyDescent="0.15">
      <c r="A5" s="14"/>
      <c r="B5" s="33" t="s">
        <v>141</v>
      </c>
      <c r="C5" s="27"/>
      <c r="D5" s="27"/>
      <c r="E5" s="27"/>
      <c r="F5" s="27"/>
      <c r="W5" s="16"/>
      <c r="X5" s="36">
        <v>41254</v>
      </c>
      <c r="Y5" s="16"/>
      <c r="Z5" s="16"/>
      <c r="AA5" s="27"/>
      <c r="AB5" s="36">
        <v>44060</v>
      </c>
      <c r="AC5" s="27"/>
      <c r="AD5" s="27"/>
      <c r="AE5" s="31"/>
      <c r="AF5" s="31"/>
      <c r="AG5" s="31"/>
      <c r="AH5" s="31"/>
    </row>
    <row r="6" spans="1:58" x14ac:dyDescent="0.15">
      <c r="A6" s="14"/>
      <c r="B6" s="33" t="s">
        <v>150</v>
      </c>
      <c r="C6" s="27"/>
      <c r="D6" s="27"/>
      <c r="E6" s="27"/>
      <c r="F6" s="27"/>
      <c r="W6" s="16"/>
      <c r="X6" s="36">
        <v>44811</v>
      </c>
      <c r="Y6" s="16"/>
      <c r="Z6" s="16"/>
      <c r="AA6" s="27"/>
      <c r="AB6" s="36">
        <v>42427</v>
      </c>
      <c r="AC6" s="27"/>
      <c r="AD6" s="27"/>
      <c r="AE6" s="31"/>
      <c r="AF6" s="31"/>
      <c r="AG6" s="31"/>
      <c r="AH6" s="31"/>
    </row>
    <row r="7" spans="1:58" x14ac:dyDescent="0.15">
      <c r="A7" s="14"/>
      <c r="B7" s="33" t="s">
        <v>151</v>
      </c>
      <c r="C7" s="27"/>
      <c r="D7" s="27"/>
      <c r="E7" s="27"/>
      <c r="F7" s="27"/>
      <c r="W7" s="16"/>
      <c r="X7" s="36"/>
      <c r="Y7" s="16"/>
      <c r="Z7" s="16"/>
      <c r="AA7" s="35">
        <f>63009-AB7</f>
        <v>30939</v>
      </c>
      <c r="AB7" s="36">
        <v>32070</v>
      </c>
      <c r="AC7" s="27"/>
      <c r="AD7" s="27"/>
      <c r="AE7" s="31"/>
      <c r="AF7" s="31"/>
      <c r="AG7" s="31"/>
      <c r="AH7" s="31"/>
    </row>
    <row r="8" spans="1:58" x14ac:dyDescent="0.15">
      <c r="A8" s="14"/>
      <c r="B8" s="33" t="s">
        <v>137</v>
      </c>
      <c r="C8" s="27"/>
      <c r="D8" s="27"/>
      <c r="E8" s="27"/>
      <c r="F8" s="27"/>
      <c r="W8" s="36"/>
      <c r="X8" s="36">
        <f>28244*1.12</f>
        <v>31633.280000000002</v>
      </c>
      <c r="Y8" s="16"/>
      <c r="Z8" s="16"/>
      <c r="AA8" s="27"/>
      <c r="AB8" s="36">
        <f>27710*1.12</f>
        <v>31035.200000000004</v>
      </c>
      <c r="AC8" s="27"/>
      <c r="AD8" s="27"/>
      <c r="AE8" s="31"/>
      <c r="AF8" s="31"/>
      <c r="AG8" s="31"/>
      <c r="AH8" s="31"/>
    </row>
    <row r="9" spans="1:58" s="23" customFormat="1" x14ac:dyDescent="0.15">
      <c r="A9" s="38"/>
      <c r="B9" s="23" t="s">
        <v>132</v>
      </c>
      <c r="C9" s="7">
        <f t="shared" ref="C9:AB9" si="8">+C45</f>
        <v>0</v>
      </c>
      <c r="D9" s="7">
        <f t="shared" si="8"/>
        <v>0</v>
      </c>
      <c r="E9" s="7">
        <f t="shared" si="8"/>
        <v>0</v>
      </c>
      <c r="F9" s="7">
        <f t="shared" si="8"/>
        <v>0</v>
      </c>
      <c r="G9" s="7">
        <f t="shared" si="8"/>
        <v>3509</v>
      </c>
      <c r="H9" s="7">
        <f t="shared" si="8"/>
        <v>5168</v>
      </c>
      <c r="I9" s="7">
        <f t="shared" si="8"/>
        <v>5132</v>
      </c>
      <c r="J9" s="7">
        <f t="shared" si="8"/>
        <v>6143</v>
      </c>
      <c r="K9" s="7">
        <f t="shared" si="8"/>
        <v>4893</v>
      </c>
      <c r="L9" s="7">
        <f t="shared" si="8"/>
        <v>4911</v>
      </c>
      <c r="M9" s="7">
        <f t="shared" si="8"/>
        <v>7346</v>
      </c>
      <c r="N9" s="7">
        <f t="shared" si="8"/>
        <v>8633</v>
      </c>
      <c r="O9" s="7">
        <f t="shared" si="8"/>
        <v>8187</v>
      </c>
      <c r="P9" s="7">
        <f t="shared" si="8"/>
        <v>9520</v>
      </c>
      <c r="Q9" s="7">
        <f t="shared" si="8"/>
        <v>11393</v>
      </c>
      <c r="R9" s="7">
        <f t="shared" si="8"/>
        <v>15025</v>
      </c>
      <c r="S9" s="7">
        <f t="shared" si="8"/>
        <v>15514</v>
      </c>
      <c r="T9" s="7">
        <f t="shared" si="8"/>
        <v>13670</v>
      </c>
      <c r="U9" s="7">
        <f t="shared" si="8"/>
        <v>17785</v>
      </c>
      <c r="V9" s="7">
        <f t="shared" si="8"/>
        <v>21035</v>
      </c>
      <c r="W9" s="7">
        <f t="shared" si="8"/>
        <v>18878</v>
      </c>
      <c r="X9" s="7">
        <f t="shared" si="8"/>
        <v>20419</v>
      </c>
      <c r="Y9" s="7">
        <f t="shared" si="8"/>
        <v>18582</v>
      </c>
      <c r="Z9" s="7">
        <f t="shared" si="8"/>
        <v>20630</v>
      </c>
      <c r="AA9" s="7">
        <f t="shared" si="8"/>
        <v>16460</v>
      </c>
      <c r="AB9" s="7">
        <f t="shared" si="8"/>
        <v>18530</v>
      </c>
      <c r="AC9" s="24"/>
      <c r="AD9" s="24"/>
      <c r="AE9" s="24"/>
      <c r="AF9" s="24"/>
      <c r="AG9" s="24"/>
      <c r="AH9" s="24"/>
      <c r="AO9" s="6">
        <f t="shared" ref="AO9:AU9" si="9">+AO45</f>
        <v>0</v>
      </c>
      <c r="AP9" s="6">
        <f t="shared" si="9"/>
        <v>19952</v>
      </c>
      <c r="AQ9" s="6">
        <f t="shared" si="9"/>
        <v>25783</v>
      </c>
      <c r="AR9" s="6">
        <f t="shared" si="9"/>
        <v>44125</v>
      </c>
      <c r="AS9" s="6">
        <f t="shared" si="9"/>
        <v>68004</v>
      </c>
      <c r="AT9" s="6">
        <f t="shared" si="9"/>
        <v>78509</v>
      </c>
      <c r="AU9" s="6">
        <f t="shared" si="9"/>
        <v>72480</v>
      </c>
    </row>
    <row r="10" spans="1:58" x14ac:dyDescent="0.15">
      <c r="A10" s="14"/>
      <c r="B10" s="33" t="s">
        <v>128</v>
      </c>
      <c r="C10" s="27"/>
      <c r="D10" s="27"/>
      <c r="E10" s="27"/>
      <c r="F10" s="27"/>
      <c r="W10" s="16"/>
      <c r="X10" s="16"/>
      <c r="Y10" s="16"/>
      <c r="Z10" s="16"/>
      <c r="AA10" s="35">
        <v>16300</v>
      </c>
      <c r="AB10" s="35">
        <f>(228316.903/7)-AA10</f>
        <v>16316.700428571428</v>
      </c>
      <c r="AC10" s="27"/>
      <c r="AD10" s="27"/>
      <c r="AE10" s="31"/>
      <c r="AF10" s="31"/>
      <c r="AG10" s="31"/>
      <c r="AH10" s="31"/>
    </row>
    <row r="11" spans="1:58" x14ac:dyDescent="0.15">
      <c r="A11" s="14"/>
      <c r="B11" s="33" t="s">
        <v>131</v>
      </c>
      <c r="C11" s="27"/>
      <c r="D11" s="27"/>
      <c r="E11" s="27"/>
      <c r="F11" s="27"/>
      <c r="W11" s="16"/>
      <c r="X11" s="37"/>
      <c r="Y11" s="37"/>
      <c r="Z11" s="37"/>
      <c r="AA11" s="36">
        <f>9728.5/1.12</f>
        <v>8686.1607142857138</v>
      </c>
      <c r="AB11" s="35">
        <f>9728.5/1.12</f>
        <v>8686.1607142857138</v>
      </c>
      <c r="AC11" s="27"/>
      <c r="AD11" s="27"/>
      <c r="AE11" s="31"/>
      <c r="AF11" s="31"/>
      <c r="AG11" s="31"/>
      <c r="AH11" s="31"/>
    </row>
    <row r="12" spans="1:58" x14ac:dyDescent="0.15">
      <c r="A12" s="14"/>
      <c r="B12" s="33"/>
      <c r="C12" s="27"/>
      <c r="D12" s="27"/>
      <c r="E12" s="27"/>
      <c r="F12" s="27"/>
      <c r="W12" s="16"/>
      <c r="X12" s="37"/>
      <c r="Y12" s="37"/>
      <c r="Z12" s="37"/>
      <c r="AA12" s="36"/>
      <c r="AB12" s="35"/>
      <c r="AC12" s="27"/>
      <c r="AD12" s="27"/>
      <c r="AE12" s="31"/>
      <c r="AF12" s="31"/>
      <c r="AG12" s="31"/>
      <c r="AH12" s="31"/>
    </row>
    <row r="13" spans="1:58" x14ac:dyDescent="0.15">
      <c r="A13" s="14"/>
      <c r="B13" s="33" t="s">
        <v>130</v>
      </c>
      <c r="C13" s="27"/>
      <c r="D13" s="27"/>
      <c r="E13" s="27"/>
      <c r="F13" s="27"/>
      <c r="W13" s="16"/>
      <c r="X13" s="16"/>
      <c r="Y13" s="16"/>
      <c r="Z13" s="16"/>
      <c r="AA13" s="27"/>
      <c r="AB13" s="36">
        <v>2186000</v>
      </c>
      <c r="AC13" s="27"/>
      <c r="AD13" s="27"/>
      <c r="AE13" s="31"/>
      <c r="AF13" s="31"/>
      <c r="AG13" s="31"/>
      <c r="AH13" s="31"/>
    </row>
    <row r="14" spans="1:58" x14ac:dyDescent="0.15">
      <c r="A14" s="14"/>
      <c r="B14" s="33" t="s">
        <v>136</v>
      </c>
      <c r="C14" s="27"/>
      <c r="D14" s="27"/>
      <c r="E14" s="27"/>
      <c r="F14" s="27"/>
      <c r="W14" s="37">
        <f>4372000-X14</f>
        <v>2041000</v>
      </c>
      <c r="X14" s="37">
        <v>2331000</v>
      </c>
      <c r="Y14" s="37"/>
      <c r="Z14" s="37"/>
      <c r="AA14" s="35">
        <f>4348000-AB14</f>
        <v>2104000</v>
      </c>
      <c r="AB14" s="36">
        <v>2244000</v>
      </c>
      <c r="AC14" s="27"/>
      <c r="AD14" s="27"/>
      <c r="AE14" s="31"/>
      <c r="AF14" s="31"/>
      <c r="AG14" s="31"/>
      <c r="AH14" s="31"/>
    </row>
    <row r="15" spans="1:58" x14ac:dyDescent="0.15">
      <c r="A15" s="14"/>
      <c r="B15" s="33" t="s">
        <v>152</v>
      </c>
      <c r="C15" s="27"/>
      <c r="D15" s="27"/>
      <c r="E15" s="27"/>
      <c r="F15" s="27"/>
      <c r="W15" s="37"/>
      <c r="X15" s="37"/>
      <c r="Y15" s="37"/>
      <c r="Z15" s="37"/>
      <c r="AA15" s="35"/>
      <c r="AB15" s="35">
        <f>375000+26000+741000</f>
        <v>1142000</v>
      </c>
      <c r="AC15" s="27"/>
      <c r="AD15" s="27"/>
      <c r="AE15" s="31"/>
      <c r="AF15" s="31"/>
      <c r="AG15" s="31"/>
      <c r="AH15" s="31"/>
    </row>
    <row r="16" spans="1:58" x14ac:dyDescent="0.15">
      <c r="A16" s="14"/>
      <c r="B16" s="33" t="s">
        <v>139</v>
      </c>
      <c r="C16" s="27"/>
      <c r="D16" s="27"/>
      <c r="E16" s="27"/>
      <c r="F16" s="27"/>
      <c r="W16" s="37">
        <f>1844000-X16</f>
        <v>865000</v>
      </c>
      <c r="X16" s="36">
        <v>979000</v>
      </c>
      <c r="Y16" s="37"/>
      <c r="Z16" s="37"/>
      <c r="AA16" s="35">
        <f>1938000-AB16</f>
        <v>895000</v>
      </c>
      <c r="AB16" s="36">
        <v>1043000</v>
      </c>
      <c r="AC16" s="27"/>
      <c r="AD16" s="27"/>
      <c r="AE16" s="31"/>
      <c r="AF16" s="31"/>
      <c r="AG16" s="31"/>
      <c r="AH16" s="31"/>
    </row>
    <row r="17" spans="1:47" x14ac:dyDescent="0.15">
      <c r="A17" s="14"/>
      <c r="B17" s="33" t="s">
        <v>129</v>
      </c>
      <c r="C17" s="27"/>
      <c r="D17" s="27"/>
      <c r="E17" s="27"/>
      <c r="F17" s="27"/>
      <c r="W17" s="16"/>
      <c r="X17" s="37">
        <f>252657+246259+209448</f>
        <v>708364</v>
      </c>
      <c r="Y17" s="37"/>
      <c r="Z17" s="37"/>
      <c r="AA17" s="35"/>
      <c r="AB17" s="35">
        <f>341671+344008+334039</f>
        <v>1019718</v>
      </c>
      <c r="AC17" s="27"/>
      <c r="AD17" s="27"/>
      <c r="AE17" s="31"/>
      <c r="AF17" s="31"/>
      <c r="AG17" s="31"/>
      <c r="AH17" s="31"/>
    </row>
    <row r="18" spans="1:47" x14ac:dyDescent="0.15">
      <c r="A18" s="14"/>
      <c r="B18" s="33" t="s">
        <v>140</v>
      </c>
      <c r="C18" s="27"/>
      <c r="D18" s="27"/>
      <c r="E18" s="27"/>
      <c r="F18" s="27"/>
      <c r="W18" s="37">
        <f>1214864-X18</f>
        <v>588138</v>
      </c>
      <c r="X18" s="37">
        <v>626726</v>
      </c>
      <c r="Y18" s="37"/>
      <c r="Z18" s="37"/>
      <c r="AA18" s="35">
        <f>1213276-AB18</f>
        <v>594533</v>
      </c>
      <c r="AB18" s="35">
        <v>618743</v>
      </c>
      <c r="AC18" s="27"/>
      <c r="AD18" s="27"/>
      <c r="AE18" s="31"/>
      <c r="AF18" s="31"/>
      <c r="AG18" s="31"/>
      <c r="AH18" s="31"/>
    </row>
    <row r="19" spans="1:47" x14ac:dyDescent="0.15">
      <c r="A19" s="14"/>
      <c r="B19" s="33" t="s">
        <v>138</v>
      </c>
      <c r="C19" s="27"/>
      <c r="D19" s="27"/>
      <c r="E19" s="27"/>
      <c r="F19" s="27"/>
      <c r="W19" s="16"/>
      <c r="X19" s="37">
        <v>515746</v>
      </c>
      <c r="Y19" s="37"/>
      <c r="Z19" s="37"/>
      <c r="AA19" s="35"/>
      <c r="AB19" s="35">
        <v>496712</v>
      </c>
      <c r="AC19" s="27"/>
      <c r="AD19" s="27"/>
      <c r="AE19" s="31"/>
      <c r="AF19" s="31"/>
      <c r="AG19" s="31"/>
      <c r="AH19" s="31"/>
    </row>
    <row r="20" spans="1:47" s="23" customFormat="1" x14ac:dyDescent="0.15">
      <c r="A20" s="38"/>
      <c r="B20" s="23" t="s">
        <v>134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7">
        <f t="shared" ref="V20:AA20" si="10">+V42</f>
        <v>439701</v>
      </c>
      <c r="W20" s="7">
        <f t="shared" si="10"/>
        <v>440808</v>
      </c>
      <c r="X20" s="7">
        <f t="shared" si="10"/>
        <v>479700</v>
      </c>
      <c r="Y20" s="7">
        <f t="shared" si="10"/>
        <v>430488</v>
      </c>
      <c r="Z20" s="7">
        <f t="shared" si="10"/>
        <v>494989</v>
      </c>
      <c r="AA20" s="7">
        <f t="shared" si="10"/>
        <v>433371</v>
      </c>
      <c r="AB20" s="7">
        <f>+AB42</f>
        <v>410831</v>
      </c>
      <c r="AC20" s="24"/>
      <c r="AD20" s="24"/>
      <c r="AE20" s="24"/>
      <c r="AF20" s="24"/>
      <c r="AG20" s="24"/>
      <c r="AH20" s="24"/>
      <c r="AT20" s="6">
        <f>+AT37</f>
        <v>1808581</v>
      </c>
      <c r="AU20" s="6">
        <f>+AU37</f>
        <v>1789226</v>
      </c>
    </row>
    <row r="21" spans="1:47" x14ac:dyDescent="0.15">
      <c r="A21" s="14"/>
      <c r="B21" s="33" t="s">
        <v>133</v>
      </c>
      <c r="C21" s="27"/>
      <c r="D21" s="27"/>
      <c r="E21" s="27"/>
      <c r="F21" s="27"/>
      <c r="W21" s="16"/>
      <c r="X21" s="37"/>
      <c r="Y21" s="37"/>
      <c r="Z21" s="37"/>
      <c r="AA21" s="36">
        <f>+AB21</f>
        <v>77972.5</v>
      </c>
      <c r="AB21" s="35">
        <f>155945/2</f>
        <v>77972.5</v>
      </c>
      <c r="AC21" s="27"/>
      <c r="AD21" s="27"/>
      <c r="AE21" s="31"/>
      <c r="AF21" s="31"/>
      <c r="AG21" s="31"/>
      <c r="AH21" s="31"/>
    </row>
    <row r="22" spans="1:47" x14ac:dyDescent="0.15">
      <c r="A22" s="14"/>
      <c r="B22" s="33"/>
      <c r="C22" s="27"/>
      <c r="D22" s="27"/>
      <c r="E22" s="27"/>
      <c r="F22" s="27"/>
      <c r="W22" s="16"/>
      <c r="X22" s="37"/>
      <c r="Y22" s="37"/>
      <c r="Z22" s="37"/>
      <c r="AA22" s="36"/>
      <c r="AB22" s="35"/>
      <c r="AC22" s="27"/>
      <c r="AD22" s="27"/>
      <c r="AE22" s="31"/>
      <c r="AF22" s="31"/>
      <c r="AG22" s="31"/>
      <c r="AH22" s="31"/>
    </row>
    <row r="23" spans="1:47" x14ac:dyDescent="0.15">
      <c r="A23" s="14"/>
      <c r="B23" s="33" t="s">
        <v>142</v>
      </c>
      <c r="C23" s="27"/>
      <c r="D23" s="27"/>
      <c r="E23" s="27"/>
      <c r="F23" s="27"/>
      <c r="W23" s="16"/>
      <c r="X23" s="37"/>
      <c r="Y23" s="37"/>
      <c r="Z23" s="37"/>
      <c r="AA23" s="36"/>
      <c r="AB23" s="35">
        <f>+AB4*1000000/AB13</f>
        <v>34215.301132599299</v>
      </c>
      <c r="AC23" s="27"/>
      <c r="AD23" s="27"/>
      <c r="AE23" s="31"/>
      <c r="AF23" s="31"/>
      <c r="AG23" s="31"/>
      <c r="AH23" s="31"/>
    </row>
    <row r="24" spans="1:47" x14ac:dyDescent="0.15">
      <c r="A24" s="14"/>
      <c r="B24" s="33" t="s">
        <v>143</v>
      </c>
      <c r="C24" s="27"/>
      <c r="D24" s="27"/>
      <c r="E24" s="27"/>
      <c r="F24" s="27"/>
      <c r="W24" s="16"/>
      <c r="X24" s="37"/>
      <c r="Y24" s="37"/>
      <c r="Z24" s="37"/>
      <c r="AA24" s="36"/>
      <c r="AB24" s="36">
        <f>+AB3*1000000/AB14</f>
        <v>39629.233511586463</v>
      </c>
      <c r="AC24" s="27"/>
      <c r="AD24" s="27"/>
      <c r="AE24" s="31"/>
      <c r="AF24" s="31"/>
      <c r="AG24" s="31"/>
      <c r="AH24" s="31"/>
    </row>
    <row r="25" spans="1:47" x14ac:dyDescent="0.15">
      <c r="A25" s="14"/>
      <c r="B25" s="33" t="s">
        <v>144</v>
      </c>
      <c r="C25" s="27"/>
      <c r="D25" s="27"/>
      <c r="E25" s="27"/>
      <c r="F25" s="27"/>
      <c r="W25" s="16"/>
      <c r="X25" s="37"/>
      <c r="Y25" s="37"/>
      <c r="Z25" s="37"/>
      <c r="AA25" s="36"/>
      <c r="AB25" s="35">
        <f>+AB5*1000000/AB16</f>
        <v>42243.528283796739</v>
      </c>
      <c r="AC25" s="27"/>
      <c r="AD25" s="27"/>
      <c r="AE25" s="31"/>
      <c r="AF25" s="31"/>
      <c r="AG25" s="31"/>
      <c r="AH25" s="31"/>
    </row>
    <row r="26" spans="1:47" x14ac:dyDescent="0.15">
      <c r="A26" s="14"/>
      <c r="B26" s="33" t="s">
        <v>153</v>
      </c>
      <c r="C26" s="27"/>
      <c r="D26" s="27"/>
      <c r="E26" s="27"/>
      <c r="F26" s="27"/>
      <c r="W26" s="16"/>
      <c r="X26" s="37"/>
      <c r="Y26" s="37"/>
      <c r="Z26" s="37"/>
      <c r="AA26" s="36"/>
      <c r="AB26" s="35">
        <f>+AB6*1000000/AB15</f>
        <v>37151.488616462346</v>
      </c>
      <c r="AC26" s="27"/>
      <c r="AD26" s="27"/>
      <c r="AE26" s="31"/>
      <c r="AF26" s="31"/>
      <c r="AG26" s="31"/>
      <c r="AH26" s="31"/>
    </row>
    <row r="27" spans="1:47" x14ac:dyDescent="0.15">
      <c r="A27" s="14"/>
      <c r="B27" s="33" t="s">
        <v>145</v>
      </c>
      <c r="C27" s="27"/>
      <c r="D27" s="27"/>
      <c r="E27" s="27"/>
      <c r="F27" s="27"/>
      <c r="W27" s="16"/>
      <c r="X27" s="37"/>
      <c r="Y27" s="37"/>
      <c r="Z27" s="37"/>
      <c r="AA27" s="36"/>
      <c r="AB27" s="35">
        <f>+AB10*1000000/AB17</f>
        <v>16001.188984181341</v>
      </c>
      <c r="AC27" s="27"/>
      <c r="AD27" s="27"/>
      <c r="AE27" s="31"/>
      <c r="AF27" s="31"/>
      <c r="AG27" s="31"/>
      <c r="AH27" s="31"/>
    </row>
    <row r="28" spans="1:47" x14ac:dyDescent="0.15">
      <c r="A28" s="14"/>
      <c r="B28" s="33" t="s">
        <v>146</v>
      </c>
      <c r="C28" s="27"/>
      <c r="D28" s="27"/>
      <c r="E28" s="27"/>
      <c r="F28" s="27"/>
      <c r="W28" s="16"/>
      <c r="X28" s="37"/>
      <c r="Y28" s="37"/>
      <c r="Z28" s="37"/>
      <c r="AA28" s="36"/>
      <c r="AB28" s="35">
        <f>+AB7*1000000/AB18</f>
        <v>51830.889399960892</v>
      </c>
      <c r="AC28" s="27"/>
      <c r="AD28" s="27"/>
      <c r="AE28" s="31"/>
      <c r="AF28" s="31"/>
      <c r="AG28" s="31"/>
      <c r="AH28" s="31"/>
    </row>
    <row r="29" spans="1:47" x14ac:dyDescent="0.15">
      <c r="A29" s="14"/>
      <c r="B29" s="33" t="s">
        <v>147</v>
      </c>
      <c r="C29" s="27"/>
      <c r="D29" s="27"/>
      <c r="E29" s="27"/>
      <c r="F29" s="27"/>
      <c r="W29" s="16"/>
      <c r="X29" s="37"/>
      <c r="Y29" s="37"/>
      <c r="Z29" s="37"/>
      <c r="AA29" s="36"/>
      <c r="AB29" s="35">
        <f>+AB8*1000000/AB19</f>
        <v>62481.27687674146</v>
      </c>
      <c r="AC29" s="27"/>
      <c r="AD29" s="27"/>
      <c r="AE29" s="31"/>
      <c r="AF29" s="31"/>
      <c r="AG29" s="31"/>
      <c r="AH29" s="31"/>
    </row>
    <row r="30" spans="1:47" x14ac:dyDescent="0.15">
      <c r="A30" s="14"/>
      <c r="B30" s="33" t="s">
        <v>148</v>
      </c>
      <c r="C30" s="27"/>
      <c r="D30" s="27"/>
      <c r="E30" s="27"/>
      <c r="F30" s="27"/>
      <c r="W30" s="16"/>
      <c r="X30" s="37"/>
      <c r="Y30" s="37"/>
      <c r="Z30" s="37"/>
      <c r="AA30" s="36"/>
      <c r="AB30" s="35">
        <f>+AB9*1000000/AB20</f>
        <v>45103.704442946124</v>
      </c>
      <c r="AC30" s="27"/>
      <c r="AD30" s="27"/>
      <c r="AE30" s="31"/>
      <c r="AF30" s="31"/>
      <c r="AG30" s="31"/>
      <c r="AH30" s="31"/>
    </row>
    <row r="31" spans="1:47" x14ac:dyDescent="0.15">
      <c r="A31" s="14"/>
      <c r="B31" s="33" t="s">
        <v>149</v>
      </c>
      <c r="C31" s="27"/>
      <c r="D31" s="27"/>
      <c r="E31" s="27"/>
      <c r="F31" s="27"/>
      <c r="W31" s="16"/>
      <c r="X31" s="37"/>
      <c r="Y31" s="37"/>
      <c r="Z31" s="37"/>
      <c r="AA31" s="36"/>
      <c r="AB31" s="35">
        <f>+AB11*1000000/AB21</f>
        <v>111400.31054904887</v>
      </c>
      <c r="AC31" s="27"/>
      <c r="AD31" s="27"/>
      <c r="AE31" s="31"/>
      <c r="AF31" s="31"/>
      <c r="AG31" s="31"/>
      <c r="AH31" s="31"/>
    </row>
    <row r="32" spans="1:47" x14ac:dyDescent="0.15">
      <c r="A32" s="14"/>
      <c r="B32" s="33"/>
      <c r="C32" s="27"/>
      <c r="D32" s="27"/>
      <c r="E32" s="27"/>
      <c r="F32" s="27"/>
      <c r="W32" s="16"/>
      <c r="X32" s="37"/>
      <c r="Y32" s="37"/>
      <c r="Z32" s="37"/>
      <c r="AA32" s="36"/>
      <c r="AB32" s="35"/>
      <c r="AC32" s="27"/>
      <c r="AD32" s="27"/>
      <c r="AE32" s="31"/>
      <c r="AF32" s="31"/>
      <c r="AG32" s="31"/>
      <c r="AH32" s="31"/>
    </row>
    <row r="33" spans="1:58" x14ac:dyDescent="0.15">
      <c r="A33" s="14"/>
      <c r="C33" s="27"/>
      <c r="D33" s="27"/>
      <c r="E33" s="27"/>
      <c r="F33" s="27"/>
      <c r="W33" s="16"/>
      <c r="X33" s="16"/>
      <c r="Y33" s="16"/>
      <c r="Z33" s="16"/>
      <c r="AA33" s="27"/>
      <c r="AC33" s="27"/>
      <c r="AD33" s="27"/>
      <c r="AE33" s="31"/>
      <c r="AF33" s="31"/>
      <c r="AG33" s="31"/>
      <c r="AH33" s="31"/>
      <c r="AU33" s="1">
        <f>+AU37*8/1000</f>
        <v>14313.808000000001</v>
      </c>
    </row>
    <row r="34" spans="1:58" s="4" customFormat="1" x14ac:dyDescent="0.15">
      <c r="B34" s="13" t="s">
        <v>84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v>100000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58" s="4" customFormat="1" x14ac:dyDescent="0.15">
      <c r="B35" s="4" t="s">
        <v>9</v>
      </c>
      <c r="C35" s="5"/>
      <c r="D35" s="5"/>
      <c r="E35" s="5"/>
      <c r="F35" s="5"/>
      <c r="G35" s="5">
        <v>12091</v>
      </c>
      <c r="H35" s="5">
        <v>17722</v>
      </c>
      <c r="I35" s="5">
        <v>17483</v>
      </c>
      <c r="J35" s="5">
        <v>19475</v>
      </c>
      <c r="K35" s="5">
        <v>12230</v>
      </c>
      <c r="L35" s="5">
        <v>10600</v>
      </c>
      <c r="M35" s="5">
        <v>15200</v>
      </c>
      <c r="N35" s="5">
        <v>18920</v>
      </c>
      <c r="O35" s="5">
        <v>2020</v>
      </c>
      <c r="P35" s="5">
        <v>1890</v>
      </c>
      <c r="Q35" s="5">
        <v>9275</v>
      </c>
      <c r="R35" s="5">
        <v>11750</v>
      </c>
      <c r="S35" s="5">
        <v>14724</v>
      </c>
      <c r="T35" s="5">
        <v>16162</v>
      </c>
      <c r="U35" s="5">
        <v>18672</v>
      </c>
      <c r="V35" s="5">
        <v>17147</v>
      </c>
      <c r="W35" s="5">
        <v>10695</v>
      </c>
      <c r="X35" s="5">
        <v>19225</v>
      </c>
      <c r="Y35" s="5">
        <v>15985</v>
      </c>
      <c r="Z35" s="5">
        <v>22969</v>
      </c>
      <c r="AA35" s="5">
        <v>17027</v>
      </c>
      <c r="AB35" s="5">
        <v>21551</v>
      </c>
      <c r="AC35" s="5">
        <v>22915</v>
      </c>
      <c r="AD35" s="5">
        <v>23640</v>
      </c>
      <c r="AE35" s="5">
        <v>12881</v>
      </c>
      <c r="AF35" s="5"/>
      <c r="AG35" s="5"/>
      <c r="AH35" s="5"/>
      <c r="AP35" s="4">
        <f>SUM(G35:J35)</f>
        <v>66771</v>
      </c>
      <c r="AQ35" s="4">
        <f>SUM(K35:N35)</f>
        <v>56950</v>
      </c>
      <c r="AR35" s="4">
        <f>SUM(O35:R35)</f>
        <v>24935</v>
      </c>
      <c r="AS35" s="4">
        <f>SUM(S35:V35)</f>
        <v>66705</v>
      </c>
      <c r="AT35" s="4">
        <f>SUM(W35:Z35)</f>
        <v>68874</v>
      </c>
      <c r="AU35" s="4">
        <f>SUM(AA35:AD35)</f>
        <v>85133</v>
      </c>
    </row>
    <row r="36" spans="1:58" s="4" customFormat="1" x14ac:dyDescent="0.15">
      <c r="B36" s="4" t="s">
        <v>10</v>
      </c>
      <c r="C36" s="5"/>
      <c r="D36" s="5"/>
      <c r="E36" s="5"/>
      <c r="F36" s="5"/>
      <c r="G36" s="5">
        <v>50928</v>
      </c>
      <c r="H36" s="5">
        <v>77634</v>
      </c>
      <c r="I36" s="5">
        <v>79703</v>
      </c>
      <c r="J36" s="5">
        <v>92620</v>
      </c>
      <c r="K36" s="5">
        <v>76266</v>
      </c>
      <c r="L36" s="5">
        <v>80050</v>
      </c>
      <c r="M36" s="5">
        <v>124100</v>
      </c>
      <c r="N36" s="5">
        <v>161650</v>
      </c>
      <c r="O36" s="5">
        <v>182780</v>
      </c>
      <c r="P36" s="5">
        <v>199360</v>
      </c>
      <c r="Q36" s="5">
        <v>232025</v>
      </c>
      <c r="R36" s="5">
        <v>296850</v>
      </c>
      <c r="S36" s="5">
        <v>295324</v>
      </c>
      <c r="T36" s="5">
        <v>238533</v>
      </c>
      <c r="U36" s="5">
        <v>325158</v>
      </c>
      <c r="V36" s="5">
        <v>388131</v>
      </c>
      <c r="W36" s="5">
        <v>412180</v>
      </c>
      <c r="X36" s="5">
        <v>446915</v>
      </c>
      <c r="Y36" s="5">
        <v>419074</v>
      </c>
      <c r="Z36" s="5">
        <v>461538</v>
      </c>
      <c r="AA36" s="5">
        <v>369783</v>
      </c>
      <c r="AB36" s="5">
        <v>422405</v>
      </c>
      <c r="AC36" s="5">
        <v>439975</v>
      </c>
      <c r="AD36" s="5">
        <v>471930</v>
      </c>
      <c r="AE36" s="5">
        <v>323800</v>
      </c>
      <c r="AF36" s="5"/>
      <c r="AG36" s="5"/>
      <c r="AH36" s="5"/>
      <c r="AP36" s="4">
        <f>SUM(G36:J36)</f>
        <v>300885</v>
      </c>
      <c r="AQ36" s="4">
        <f>SUM(K36:N36)</f>
        <v>442066</v>
      </c>
      <c r="AR36" s="4">
        <f>SUM(O36:R36)</f>
        <v>911015</v>
      </c>
      <c r="AS36" s="4">
        <f>SUM(S36:V36)</f>
        <v>1247146</v>
      </c>
      <c r="AT36" s="4">
        <f>SUM(W36:Z36)</f>
        <v>1739707</v>
      </c>
      <c r="AU36" s="4">
        <f>SUM(AA36:AD36)</f>
        <v>1704093</v>
      </c>
    </row>
    <row r="37" spans="1:58" s="6" customFormat="1" x14ac:dyDescent="0.15">
      <c r="B37" s="6" t="s">
        <v>11</v>
      </c>
      <c r="C37" s="7"/>
      <c r="D37" s="7"/>
      <c r="E37" s="7"/>
      <c r="F37" s="7"/>
      <c r="G37" s="7">
        <f t="shared" ref="G37:R37" si="11">G36+G35</f>
        <v>63019</v>
      </c>
      <c r="H37" s="7">
        <f t="shared" si="11"/>
        <v>95356</v>
      </c>
      <c r="I37" s="7">
        <f t="shared" si="11"/>
        <v>97186</v>
      </c>
      <c r="J37" s="7">
        <f t="shared" si="11"/>
        <v>112095</v>
      </c>
      <c r="K37" s="7">
        <f t="shared" si="11"/>
        <v>88496</v>
      </c>
      <c r="L37" s="7">
        <f t="shared" si="11"/>
        <v>90650</v>
      </c>
      <c r="M37" s="7">
        <f t="shared" si="11"/>
        <v>139300</v>
      </c>
      <c r="N37" s="7">
        <f t="shared" si="11"/>
        <v>180570</v>
      </c>
      <c r="O37" s="7">
        <f t="shared" si="11"/>
        <v>184800</v>
      </c>
      <c r="P37" s="7">
        <f t="shared" si="11"/>
        <v>201250</v>
      </c>
      <c r="Q37" s="7">
        <f t="shared" si="11"/>
        <v>241300</v>
      </c>
      <c r="R37" s="7">
        <f t="shared" si="11"/>
        <v>308600</v>
      </c>
      <c r="S37" s="7">
        <f t="shared" ref="S37:AD37" si="12">S36+S35</f>
        <v>310048</v>
      </c>
      <c r="T37" s="7">
        <f t="shared" si="12"/>
        <v>254695</v>
      </c>
      <c r="U37" s="7">
        <f t="shared" si="12"/>
        <v>343830</v>
      </c>
      <c r="V37" s="7">
        <f t="shared" si="12"/>
        <v>405278</v>
      </c>
      <c r="W37" s="7">
        <f t="shared" si="12"/>
        <v>422875</v>
      </c>
      <c r="X37" s="7">
        <f t="shared" si="12"/>
        <v>466140</v>
      </c>
      <c r="Y37" s="7">
        <f t="shared" si="12"/>
        <v>435059</v>
      </c>
      <c r="Z37" s="7">
        <f t="shared" si="12"/>
        <v>484507</v>
      </c>
      <c r="AA37" s="7">
        <f t="shared" si="12"/>
        <v>386810</v>
      </c>
      <c r="AB37" s="7">
        <f t="shared" si="12"/>
        <v>443956</v>
      </c>
      <c r="AC37" s="7">
        <f>AC36+AC35</f>
        <v>462890</v>
      </c>
      <c r="AD37" s="7">
        <f t="shared" si="12"/>
        <v>495570</v>
      </c>
      <c r="AE37" s="7">
        <f t="shared" ref="AE37" si="13">AE36+AE35</f>
        <v>336681</v>
      </c>
      <c r="AF37" s="7"/>
      <c r="AG37" s="7"/>
      <c r="AH37" s="7"/>
      <c r="AP37" s="6">
        <f t="shared" ref="AP37:AT37" si="14">+AP35+AP36</f>
        <v>367656</v>
      </c>
      <c r="AQ37" s="6">
        <f t="shared" si="14"/>
        <v>499016</v>
      </c>
      <c r="AR37" s="6">
        <f t="shared" si="14"/>
        <v>935950</v>
      </c>
      <c r="AS37" s="6">
        <f t="shared" si="14"/>
        <v>1313851</v>
      </c>
      <c r="AT37" s="6">
        <f t="shared" si="14"/>
        <v>1808581</v>
      </c>
      <c r="AU37" s="6">
        <f>+AU35+AU36</f>
        <v>1789226</v>
      </c>
      <c r="AV37" s="6">
        <f t="shared" ref="AV37:AY37" si="15">AV42</f>
        <v>2305475.9</v>
      </c>
      <c r="AW37" s="6">
        <f t="shared" si="15"/>
        <v>2881844.875</v>
      </c>
      <c r="AX37" s="6">
        <f t="shared" si="15"/>
        <v>3458213.85</v>
      </c>
      <c r="AY37" s="6">
        <f t="shared" si="15"/>
        <v>4149856.62</v>
      </c>
      <c r="AZ37" s="6">
        <f t="shared" ref="AZ37:BA37" si="16">AZ42</f>
        <v>4772335.1129999999</v>
      </c>
      <c r="BA37" s="6">
        <f t="shared" si="16"/>
        <v>5249568.6243000003</v>
      </c>
      <c r="BB37" s="6">
        <f t="shared" ref="BB37:BF37" si="17">BB42</f>
        <v>5512047.0555150006</v>
      </c>
      <c r="BC37" s="6">
        <f t="shared" si="17"/>
        <v>5787649.4082907513</v>
      </c>
      <c r="BD37" s="6">
        <f t="shared" si="17"/>
        <v>6077031.8787052892</v>
      </c>
      <c r="BE37" s="6">
        <f t="shared" si="17"/>
        <v>6380883.4726405535</v>
      </c>
      <c r="BF37" s="6">
        <f t="shared" si="17"/>
        <v>6699927.6462725811</v>
      </c>
    </row>
    <row r="38" spans="1:58" s="4" customFormat="1" x14ac:dyDescent="0.15">
      <c r="B38" s="4" t="s">
        <v>12</v>
      </c>
      <c r="C38" s="5"/>
      <c r="D38" s="5"/>
      <c r="E38" s="5"/>
      <c r="F38" s="5"/>
      <c r="G38" s="5">
        <f t="shared" ref="G38:AE38" si="18">G45*1000000/G37</f>
        <v>55681.619828940478</v>
      </c>
      <c r="H38" s="5">
        <f t="shared" si="18"/>
        <v>54196.904232560089</v>
      </c>
      <c r="I38" s="5">
        <f t="shared" si="18"/>
        <v>52805.95970613051</v>
      </c>
      <c r="J38" s="5">
        <f t="shared" si="18"/>
        <v>54801.730674873994</v>
      </c>
      <c r="K38" s="5">
        <f t="shared" si="18"/>
        <v>55290.634604953899</v>
      </c>
      <c r="L38" s="5">
        <f t="shared" si="18"/>
        <v>54175.399889685606</v>
      </c>
      <c r="M38" s="5">
        <f t="shared" si="18"/>
        <v>52735.10409188801</v>
      </c>
      <c r="N38" s="5">
        <f t="shared" si="18"/>
        <v>47809.713684443705</v>
      </c>
      <c r="O38" s="5">
        <f t="shared" si="18"/>
        <v>44301.948051948049</v>
      </c>
      <c r="P38" s="5">
        <f t="shared" si="18"/>
        <v>47304.34782608696</v>
      </c>
      <c r="Q38" s="5">
        <f t="shared" si="18"/>
        <v>47215.084956485705</v>
      </c>
      <c r="R38" s="5">
        <f t="shared" si="18"/>
        <v>48687.621516526247</v>
      </c>
      <c r="S38" s="5">
        <f t="shared" si="18"/>
        <v>50037.413561771078</v>
      </c>
      <c r="T38" s="5">
        <f t="shared" si="18"/>
        <v>53672.039105596894</v>
      </c>
      <c r="U38" s="5">
        <f t="shared" si="18"/>
        <v>51726.143733821948</v>
      </c>
      <c r="V38" s="5">
        <f t="shared" si="18"/>
        <v>51902.644604444358</v>
      </c>
      <c r="W38" s="5">
        <f t="shared" si="18"/>
        <v>44642.033697901272</v>
      </c>
      <c r="X38" s="5">
        <f t="shared" si="18"/>
        <v>43804.436435405674</v>
      </c>
      <c r="Y38" s="5">
        <f t="shared" si="18"/>
        <v>42711.448332295156</v>
      </c>
      <c r="Z38" s="5">
        <f t="shared" si="18"/>
        <v>42579.364178432923</v>
      </c>
      <c r="AA38" s="5">
        <f t="shared" si="18"/>
        <v>42553.191489361699</v>
      </c>
      <c r="AB38" s="5">
        <f t="shared" si="18"/>
        <v>41738.370469145593</v>
      </c>
      <c r="AC38" s="5">
        <f t="shared" si="18"/>
        <v>40681.371384130136</v>
      </c>
      <c r="AD38" s="5">
        <f t="shared" si="18"/>
        <v>37651.59311499889</v>
      </c>
      <c r="AE38" s="5">
        <f t="shared" si="18"/>
        <v>38389.454706383789</v>
      </c>
      <c r="AF38" s="5"/>
      <c r="AG38" s="5"/>
      <c r="AH38" s="5"/>
      <c r="AP38" s="5">
        <f t="shared" ref="AP38:AU38" si="19">AP45/AP37*1000000</f>
        <v>54268.120199316756</v>
      </c>
      <c r="AQ38" s="5">
        <f t="shared" si="19"/>
        <v>51667.681998172404</v>
      </c>
      <c r="AR38" s="5">
        <f t="shared" si="19"/>
        <v>47144.612425877451</v>
      </c>
      <c r="AS38" s="5">
        <f t="shared" si="19"/>
        <v>51759.293862089384</v>
      </c>
      <c r="AT38" s="5">
        <f t="shared" si="19"/>
        <v>43409.169951470241</v>
      </c>
      <c r="AU38" s="5">
        <f t="shared" si="19"/>
        <v>40509.136352814006</v>
      </c>
      <c r="AV38" s="4">
        <f>AU38*1.03</f>
        <v>41724.410443398425</v>
      </c>
      <c r="AW38" s="4">
        <f>AV38*1.03</f>
        <v>42976.142756700378</v>
      </c>
      <c r="AX38" s="4">
        <f>AW38*1.03</f>
        <v>44265.427039401387</v>
      </c>
      <c r="AY38" s="4">
        <f>AX38*1.03</f>
        <v>45593.38985058343</v>
      </c>
      <c r="AZ38" s="4">
        <f t="shared" ref="AZ38:BA38" si="20">AY38*1.03</f>
        <v>46961.191546100934</v>
      </c>
      <c r="BA38" s="4">
        <f t="shared" si="20"/>
        <v>48370.027292483966</v>
      </c>
      <c r="BB38" s="4">
        <f t="shared" ref="BB38" si="21">BA38*1.03</f>
        <v>49821.128111258484</v>
      </c>
      <c r="BC38" s="4">
        <f t="shared" ref="BC38" si="22">BB38*1.03</f>
        <v>51315.761954596237</v>
      </c>
      <c r="BD38" s="4">
        <f t="shared" ref="BD38" si="23">BC38*1.03</f>
        <v>52855.234813234129</v>
      </c>
      <c r="BE38" s="4">
        <f t="shared" ref="BE38" si="24">BD38*1.03</f>
        <v>54440.891857631155</v>
      </c>
      <c r="BF38" s="4">
        <f t="shared" ref="BF38" si="25">BE38*1.03</f>
        <v>56074.118613360093</v>
      </c>
    </row>
    <row r="39" spans="1:58" s="4" customFormat="1" x14ac:dyDescent="0.1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s="4" customFormat="1" x14ac:dyDescent="0.15">
      <c r="B40" s="4" t="s">
        <v>13</v>
      </c>
      <c r="C40" s="5"/>
      <c r="D40" s="5"/>
      <c r="E40" s="5"/>
      <c r="F40" s="5"/>
      <c r="G40" s="5">
        <v>14163</v>
      </c>
      <c r="H40" s="5">
        <v>14517</v>
      </c>
      <c r="I40" s="5">
        <v>16318</v>
      </c>
      <c r="J40" s="5">
        <v>17933</v>
      </c>
      <c r="K40" s="5">
        <v>15390</v>
      </c>
      <c r="L40" s="5">
        <v>6326</v>
      </c>
      <c r="M40" s="5">
        <v>16992</v>
      </c>
      <c r="N40" s="5">
        <v>16097</v>
      </c>
      <c r="O40" s="5">
        <v>0</v>
      </c>
      <c r="P40" s="5">
        <v>2340</v>
      </c>
      <c r="Q40" s="5">
        <v>8941</v>
      </c>
      <c r="R40" s="5">
        <v>13109</v>
      </c>
      <c r="S40" s="5">
        <v>14218</v>
      </c>
      <c r="T40" s="5">
        <v>16411</v>
      </c>
      <c r="U40" s="5">
        <v>19935</v>
      </c>
      <c r="V40" s="5">
        <v>20613</v>
      </c>
      <c r="W40" s="5">
        <v>19437</v>
      </c>
      <c r="X40" s="5">
        <v>19489</v>
      </c>
      <c r="Y40" s="5">
        <v>13688</v>
      </c>
      <c r="Z40" s="5">
        <v>18212</v>
      </c>
      <c r="AA40" s="5">
        <v>20995</v>
      </c>
      <c r="AB40" s="5">
        <v>24255</v>
      </c>
      <c r="AC40" s="5">
        <v>26128</v>
      </c>
      <c r="AD40" s="5">
        <v>22727</v>
      </c>
      <c r="AE40" s="5">
        <v>17161</v>
      </c>
      <c r="AF40" s="5"/>
      <c r="AG40" s="5"/>
      <c r="AH40" s="5"/>
      <c r="AP40" s="4">
        <f>SUM(G40:J40)</f>
        <v>62931</v>
      </c>
      <c r="AQ40" s="4">
        <f>SUM(K40:N40)</f>
        <v>54805</v>
      </c>
      <c r="AR40" s="4">
        <f>SUM(O40:R40)</f>
        <v>24390</v>
      </c>
      <c r="AS40" s="4">
        <f>SUM(S40:V40)</f>
        <v>71177</v>
      </c>
      <c r="AT40" s="4">
        <f t="shared" ref="AT40:AT41" si="26">SUM(W40:Z40)</f>
        <v>70826</v>
      </c>
      <c r="AU40" s="4">
        <f t="shared" ref="AU40:AU41" si="27">SUM(AA40:AD40)</f>
        <v>94105</v>
      </c>
    </row>
    <row r="41" spans="1:58" s="4" customFormat="1" x14ac:dyDescent="0.15">
      <c r="B41" s="4" t="s">
        <v>14</v>
      </c>
      <c r="C41" s="5"/>
      <c r="D41" s="5"/>
      <c r="E41" s="5"/>
      <c r="F41" s="5"/>
      <c r="G41" s="5">
        <v>62975</v>
      </c>
      <c r="H41" s="5">
        <v>72531</v>
      </c>
      <c r="I41" s="5">
        <v>79837</v>
      </c>
      <c r="J41" s="5">
        <v>86958</v>
      </c>
      <c r="K41" s="5">
        <v>87282</v>
      </c>
      <c r="L41" s="5">
        <v>75946</v>
      </c>
      <c r="M41" s="5">
        <v>128044</v>
      </c>
      <c r="N41" s="5">
        <v>163660</v>
      </c>
      <c r="O41" s="5">
        <v>180338</v>
      </c>
      <c r="P41" s="5">
        <v>204081</v>
      </c>
      <c r="Q41" s="5">
        <v>228882</v>
      </c>
      <c r="R41" s="5">
        <v>292731</v>
      </c>
      <c r="S41" s="5">
        <v>291189</v>
      </c>
      <c r="T41" s="5">
        <v>242169</v>
      </c>
      <c r="U41" s="5">
        <v>345988</v>
      </c>
      <c r="V41" s="5">
        <v>419088</v>
      </c>
      <c r="W41" s="5">
        <v>421371</v>
      </c>
      <c r="X41" s="5">
        <v>460211</v>
      </c>
      <c r="Y41" s="5">
        <v>416800</v>
      </c>
      <c r="Z41" s="5">
        <v>476777</v>
      </c>
      <c r="AA41" s="5">
        <v>412376</v>
      </c>
      <c r="AB41" s="5">
        <v>386576</v>
      </c>
      <c r="AC41" s="5">
        <v>443668</v>
      </c>
      <c r="AD41" s="5">
        <v>436718</v>
      </c>
      <c r="AE41" s="5">
        <v>345454</v>
      </c>
      <c r="AF41" s="5"/>
      <c r="AG41" s="5"/>
      <c r="AH41" s="5"/>
      <c r="AP41" s="4">
        <f>SUM(G41:J41)</f>
        <v>302301</v>
      </c>
      <c r="AQ41" s="4">
        <f>SUM(K41:N41)</f>
        <v>454932</v>
      </c>
      <c r="AR41" s="4">
        <f>SUM(O41:R41)</f>
        <v>906032</v>
      </c>
      <c r="AS41" s="4">
        <f>SUM(S41:V41)</f>
        <v>1298434</v>
      </c>
      <c r="AT41" s="4">
        <f t="shared" si="26"/>
        <v>1775159</v>
      </c>
      <c r="AU41" s="4">
        <f t="shared" si="27"/>
        <v>1679338</v>
      </c>
    </row>
    <row r="42" spans="1:58" s="6" customFormat="1" x14ac:dyDescent="0.15">
      <c r="B42" s="6" t="s">
        <v>15</v>
      </c>
      <c r="C42" s="7"/>
      <c r="D42" s="7"/>
      <c r="E42" s="7"/>
      <c r="F42" s="7"/>
      <c r="G42" s="7">
        <f t="shared" ref="G42:R42" si="28">G41+G40</f>
        <v>77138</v>
      </c>
      <c r="H42" s="7">
        <f t="shared" si="28"/>
        <v>87048</v>
      </c>
      <c r="I42" s="7">
        <f t="shared" si="28"/>
        <v>96155</v>
      </c>
      <c r="J42" s="7">
        <f t="shared" si="28"/>
        <v>104891</v>
      </c>
      <c r="K42" s="7">
        <f t="shared" si="28"/>
        <v>102672</v>
      </c>
      <c r="L42" s="7">
        <f t="shared" si="28"/>
        <v>82272</v>
      </c>
      <c r="M42" s="7">
        <f t="shared" si="28"/>
        <v>145036</v>
      </c>
      <c r="N42" s="7">
        <f t="shared" si="28"/>
        <v>179757</v>
      </c>
      <c r="O42" s="7">
        <f t="shared" si="28"/>
        <v>180338</v>
      </c>
      <c r="P42" s="7">
        <f t="shared" si="28"/>
        <v>206421</v>
      </c>
      <c r="Q42" s="7">
        <f t="shared" si="28"/>
        <v>237823</v>
      </c>
      <c r="R42" s="7">
        <f t="shared" si="28"/>
        <v>305840</v>
      </c>
      <c r="S42" s="7">
        <f>S41+S40</f>
        <v>305407</v>
      </c>
      <c r="T42" s="7">
        <f>T41+T40</f>
        <v>258580</v>
      </c>
      <c r="U42" s="7">
        <f t="shared" ref="U42:AB42" si="29">+U40+U41</f>
        <v>365923</v>
      </c>
      <c r="V42" s="7">
        <f t="shared" si="29"/>
        <v>439701</v>
      </c>
      <c r="W42" s="7">
        <f t="shared" si="29"/>
        <v>440808</v>
      </c>
      <c r="X42" s="7">
        <f t="shared" si="29"/>
        <v>479700</v>
      </c>
      <c r="Y42" s="7">
        <f t="shared" si="29"/>
        <v>430488</v>
      </c>
      <c r="Z42" s="7">
        <f t="shared" si="29"/>
        <v>494989</v>
      </c>
      <c r="AA42" s="7">
        <f t="shared" si="29"/>
        <v>433371</v>
      </c>
      <c r="AB42" s="7">
        <f t="shared" si="29"/>
        <v>410831</v>
      </c>
      <c r="AC42" s="7">
        <f>+AC40+AC41</f>
        <v>469796</v>
      </c>
      <c r="AD42" s="7">
        <f>+AD41+AD40</f>
        <v>459445</v>
      </c>
      <c r="AE42" s="7">
        <f>+AE41+AE40</f>
        <v>362615</v>
      </c>
      <c r="AF42" s="7"/>
      <c r="AG42" s="7"/>
      <c r="AH42" s="7"/>
      <c r="AP42" s="6">
        <f>+AP40+AP41</f>
        <v>365232</v>
      </c>
      <c r="AQ42" s="6">
        <f>+AQ40+AQ41</f>
        <v>509737</v>
      </c>
      <c r="AR42" s="6">
        <f>+AR40+AR41</f>
        <v>930422</v>
      </c>
      <c r="AS42" s="6">
        <f>+AS40+AS41</f>
        <v>1369611</v>
      </c>
      <c r="AT42" s="6">
        <f>SUM(W42:Z42)</f>
        <v>1845985</v>
      </c>
      <c r="AU42" s="6">
        <f>+AU40+AU41</f>
        <v>1773443</v>
      </c>
      <c r="AV42" s="6">
        <f>AU42*1.3</f>
        <v>2305475.9</v>
      </c>
      <c r="AW42" s="6">
        <f>AV42*1.25</f>
        <v>2881844.875</v>
      </c>
      <c r="AX42" s="6">
        <f>AW42*1.2</f>
        <v>3458213.85</v>
      </c>
      <c r="AY42" s="6">
        <f>AX42*1.2</f>
        <v>4149856.62</v>
      </c>
      <c r="AZ42" s="6">
        <f>AY42*1.15</f>
        <v>4772335.1129999999</v>
      </c>
      <c r="BA42" s="6">
        <f>AZ42*1.1</f>
        <v>5249568.6243000003</v>
      </c>
      <c r="BB42" s="6">
        <f>+BA42*1.05</f>
        <v>5512047.0555150006</v>
      </c>
      <c r="BC42" s="6">
        <f t="shared" ref="BC42:BF42" si="30">+BB42*1.05</f>
        <v>5787649.4082907513</v>
      </c>
      <c r="BD42" s="6">
        <f t="shared" si="30"/>
        <v>6077031.8787052892</v>
      </c>
      <c r="BE42" s="6">
        <f t="shared" si="30"/>
        <v>6380883.4726405535</v>
      </c>
      <c r="BF42" s="6">
        <f t="shared" si="30"/>
        <v>6699927.6462725811</v>
      </c>
    </row>
    <row r="43" spans="1:58" s="4" customFormat="1" x14ac:dyDescent="0.1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T43" s="26"/>
    </row>
    <row r="44" spans="1:58" s="4" customFormat="1" x14ac:dyDescent="0.15">
      <c r="B44" s="40" t="s">
        <v>164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T44" s="26"/>
      <c r="AU44" s="4">
        <f>+AU127-AT127</f>
        <v>516.65696000000003</v>
      </c>
      <c r="AV44" s="4">
        <f>+AV127-$AT$127</f>
        <v>1750.0091519999996</v>
      </c>
      <c r="AW44" s="4">
        <f t="shared" ref="AW44:BF44" si="31">+AW127-$AT$127</f>
        <v>3409.9517999999998</v>
      </c>
      <c r="AX44" s="4">
        <f t="shared" si="31"/>
        <v>5438.7705919999999</v>
      </c>
      <c r="AY44" s="4">
        <f t="shared" si="31"/>
        <v>8094.6788288000007</v>
      </c>
      <c r="AZ44" s="4">
        <f t="shared" si="31"/>
        <v>11016.177889280001</v>
      </c>
      <c r="BA44" s="4">
        <f t="shared" si="31"/>
        <v>13917.757637983999</v>
      </c>
      <c r="BB44" s="4">
        <f t="shared" si="31"/>
        <v>15114.659284324402</v>
      </c>
      <c r="BC44" s="4">
        <f t="shared" si="31"/>
        <v>16393.454201203884</v>
      </c>
      <c r="BD44" s="4">
        <f t="shared" si="31"/>
        <v>17759.339461560503</v>
      </c>
      <c r="BE44" s="4">
        <f t="shared" si="31"/>
        <v>19217.827112449773</v>
      </c>
      <c r="BF44" s="4">
        <f t="shared" si="31"/>
        <v>20774.762679774063</v>
      </c>
    </row>
    <row r="45" spans="1:58" s="4" customFormat="1" x14ac:dyDescent="0.15">
      <c r="B45" s="4" t="s">
        <v>32</v>
      </c>
      <c r="C45" s="5"/>
      <c r="D45" s="5"/>
      <c r="E45" s="5"/>
      <c r="F45" s="5"/>
      <c r="G45" s="5">
        <v>3509</v>
      </c>
      <c r="H45" s="5">
        <v>5168</v>
      </c>
      <c r="I45" s="5">
        <v>5132</v>
      </c>
      <c r="J45" s="5">
        <v>6143</v>
      </c>
      <c r="K45" s="5">
        <v>4893</v>
      </c>
      <c r="L45" s="5">
        <v>4911</v>
      </c>
      <c r="M45" s="5">
        <v>7346</v>
      </c>
      <c r="N45" s="5">
        <f>9034-N46</f>
        <v>8633</v>
      </c>
      <c r="O45" s="5">
        <v>8187</v>
      </c>
      <c r="P45" s="5">
        <f>9874-354</f>
        <v>9520</v>
      </c>
      <c r="Q45" s="5">
        <f>11672-279</f>
        <v>11393</v>
      </c>
      <c r="R45" s="8">
        <f>15339-314</f>
        <v>15025</v>
      </c>
      <c r="S45" s="5">
        <v>15514</v>
      </c>
      <c r="T45" s="12">
        <v>13670</v>
      </c>
      <c r="U45" s="5">
        <v>17785</v>
      </c>
      <c r="V45" s="5">
        <f>+R45*1.4</f>
        <v>21035</v>
      </c>
      <c r="W45" s="5">
        <v>18878</v>
      </c>
      <c r="X45" s="5">
        <v>20419</v>
      </c>
      <c r="Y45" s="5">
        <v>18582</v>
      </c>
      <c r="Z45" s="5">
        <v>20630</v>
      </c>
      <c r="AA45" s="5">
        <v>16460</v>
      </c>
      <c r="AB45" s="36">
        <v>18530</v>
      </c>
      <c r="AC45" s="5">
        <v>18831</v>
      </c>
      <c r="AD45" s="5">
        <v>18659</v>
      </c>
      <c r="AE45" s="5">
        <v>12925</v>
      </c>
      <c r="AF45" s="5"/>
      <c r="AG45" s="5"/>
      <c r="AH45" s="5"/>
      <c r="AP45" s="4">
        <f t="shared" ref="AP45:AP50" si="32">SUM(G45:J45)</f>
        <v>19952</v>
      </c>
      <c r="AQ45" s="4">
        <f>SUM(K45:N45)</f>
        <v>25783</v>
      </c>
      <c r="AR45" s="4">
        <f>SUM(O45:R45)</f>
        <v>44125</v>
      </c>
      <c r="AS45" s="39">
        <f>SUM(S45:V45)</f>
        <v>68004</v>
      </c>
      <c r="AT45" s="4">
        <f>SUM(W45:Z45)</f>
        <v>78509</v>
      </c>
      <c r="AU45" s="4">
        <f>SUM(AA45:AD45)</f>
        <v>72480</v>
      </c>
      <c r="AV45" s="4">
        <f t="shared" ref="AV45:BA45" si="33">AV38*AV42/1000000</f>
        <v>96194.622718963379</v>
      </c>
      <c r="AW45" s="4">
        <f t="shared" si="33"/>
        <v>123850.57675066536</v>
      </c>
      <c r="AX45" s="4">
        <f t="shared" si="33"/>
        <v>153079.31286382239</v>
      </c>
      <c r="AY45" s="4">
        <f t="shared" si="33"/>
        <v>189206.03069968446</v>
      </c>
      <c r="AZ45" s="4">
        <f t="shared" si="33"/>
        <v>224114.54336377623</v>
      </c>
      <c r="BA45" s="4">
        <f t="shared" si="33"/>
        <v>253921.7776311585</v>
      </c>
      <c r="BB45" s="4">
        <f t="shared" ref="BB45:BF45" si="34">BB38*BB42/1000000</f>
        <v>274616.40250809793</v>
      </c>
      <c r="BC45" s="4">
        <f t="shared" si="34"/>
        <v>296997.63931250793</v>
      </c>
      <c r="BD45" s="4">
        <f t="shared" si="34"/>
        <v>321202.94691647741</v>
      </c>
      <c r="BE45" s="4">
        <f t="shared" si="34"/>
        <v>347380.98709017033</v>
      </c>
      <c r="BF45" s="4">
        <f t="shared" si="34"/>
        <v>375692.53753801924</v>
      </c>
    </row>
    <row r="46" spans="1:58" s="4" customFormat="1" x14ac:dyDescent="0.15">
      <c r="B46" s="4" t="s">
        <v>33</v>
      </c>
      <c r="C46" s="5"/>
      <c r="D46" s="5"/>
      <c r="E46" s="5"/>
      <c r="F46" s="5"/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401</v>
      </c>
      <c r="O46" s="5">
        <v>518</v>
      </c>
      <c r="P46" s="5">
        <v>354</v>
      </c>
      <c r="Q46" s="5">
        <v>279</v>
      </c>
      <c r="R46" s="5">
        <v>314</v>
      </c>
      <c r="S46" s="5">
        <v>679</v>
      </c>
      <c r="T46" s="5">
        <v>344</v>
      </c>
      <c r="U46" s="5">
        <v>286</v>
      </c>
      <c r="V46" s="5">
        <f t="shared" ref="V46:V47" si="35">+R46*1.4</f>
        <v>439.59999999999997</v>
      </c>
      <c r="W46" s="5">
        <v>521</v>
      </c>
      <c r="X46" s="5">
        <v>282</v>
      </c>
      <c r="Y46" s="5">
        <v>554</v>
      </c>
      <c r="Z46" s="5">
        <v>433</v>
      </c>
      <c r="AA46" s="5">
        <v>442</v>
      </c>
      <c r="AB46" s="5">
        <v>890</v>
      </c>
      <c r="AC46" s="5">
        <v>739</v>
      </c>
      <c r="AD46" s="5">
        <v>692</v>
      </c>
      <c r="AE46" s="5">
        <v>595</v>
      </c>
      <c r="AF46" s="5"/>
      <c r="AG46" s="5"/>
      <c r="AH46" s="5"/>
      <c r="AP46" s="4">
        <f t="shared" si="32"/>
        <v>0</v>
      </c>
      <c r="AQ46" s="4">
        <f>SUM(K46:N46)</f>
        <v>401</v>
      </c>
      <c r="AR46" s="4">
        <f t="shared" ref="AR46:AR52" si="36">SUM(O46:R46)</f>
        <v>1465</v>
      </c>
      <c r="AS46" s="4">
        <f t="shared" ref="AR46:AS61" si="37">SUM(S46:V46)</f>
        <v>1748.6</v>
      </c>
      <c r="AT46" s="4">
        <f>SUM(W46:Z46)</f>
        <v>1790</v>
      </c>
      <c r="AU46" s="4">
        <f>SUM(AA46:AD46)</f>
        <v>2763</v>
      </c>
    </row>
    <row r="47" spans="1:58" s="4" customFormat="1" x14ac:dyDescent="0.15">
      <c r="B47" s="4" t="s">
        <v>34</v>
      </c>
      <c r="C47" s="5"/>
      <c r="D47" s="5"/>
      <c r="E47" s="5"/>
      <c r="F47" s="5"/>
      <c r="G47" s="5">
        <v>215</v>
      </c>
      <c r="H47" s="5">
        <v>208</v>
      </c>
      <c r="I47" s="5">
        <v>221</v>
      </c>
      <c r="J47" s="5">
        <v>225</v>
      </c>
      <c r="K47" s="5">
        <v>239</v>
      </c>
      <c r="L47" s="5">
        <v>268</v>
      </c>
      <c r="M47" s="5">
        <v>265</v>
      </c>
      <c r="N47" s="5">
        <v>280</v>
      </c>
      <c r="O47" s="5">
        <v>297</v>
      </c>
      <c r="P47" s="5">
        <v>332</v>
      </c>
      <c r="Q47" s="5">
        <v>385</v>
      </c>
      <c r="R47" s="5">
        <v>628</v>
      </c>
      <c r="S47" s="5">
        <v>668</v>
      </c>
      <c r="T47" s="5">
        <v>588</v>
      </c>
      <c r="U47" s="5">
        <v>621</v>
      </c>
      <c r="V47" s="5">
        <f t="shared" si="35"/>
        <v>879.19999999999993</v>
      </c>
      <c r="W47" s="5">
        <v>564</v>
      </c>
      <c r="X47" s="5">
        <v>567</v>
      </c>
      <c r="Y47" s="5">
        <v>489</v>
      </c>
      <c r="Z47" s="5">
        <v>500</v>
      </c>
      <c r="AA47" s="5">
        <v>476</v>
      </c>
      <c r="AB47" s="5">
        <v>458</v>
      </c>
      <c r="AC47" s="5">
        <v>446</v>
      </c>
      <c r="AD47" s="5">
        <v>447</v>
      </c>
      <c r="AE47" s="5">
        <v>447</v>
      </c>
      <c r="AF47" s="5"/>
      <c r="AG47" s="5"/>
      <c r="AH47" s="5"/>
      <c r="AP47" s="4">
        <f t="shared" si="32"/>
        <v>869</v>
      </c>
      <c r="AQ47" s="4">
        <f>SUM(K47:N47)</f>
        <v>1052</v>
      </c>
      <c r="AR47" s="4">
        <f t="shared" si="36"/>
        <v>1642</v>
      </c>
      <c r="AS47" s="4">
        <f t="shared" si="37"/>
        <v>2756.2</v>
      </c>
      <c r="AT47" s="4">
        <f>SUM(W47:Z47)</f>
        <v>2120</v>
      </c>
      <c r="AU47" s="4">
        <f>SUM(AA47:AD47)</f>
        <v>1827</v>
      </c>
    </row>
    <row r="48" spans="1:58" s="6" customFormat="1" x14ac:dyDescent="0.15">
      <c r="B48" s="6" t="s">
        <v>35</v>
      </c>
      <c r="C48" s="7"/>
      <c r="D48" s="7"/>
      <c r="E48" s="7"/>
      <c r="F48" s="7"/>
      <c r="G48" s="7">
        <f t="shared" ref="G48:K48" si="38">SUM(G45:G47)</f>
        <v>3724</v>
      </c>
      <c r="H48" s="7">
        <f t="shared" si="38"/>
        <v>5376</v>
      </c>
      <c r="I48" s="7">
        <f t="shared" si="38"/>
        <v>5353</v>
      </c>
      <c r="J48" s="7">
        <f t="shared" si="38"/>
        <v>6368</v>
      </c>
      <c r="K48" s="7">
        <f t="shared" si="38"/>
        <v>5132</v>
      </c>
      <c r="L48" s="7">
        <f t="shared" ref="L48" si="39">SUM(L45:L47)</f>
        <v>5179</v>
      </c>
      <c r="M48" s="7">
        <f t="shared" ref="M48:R48" si="40">SUM(M45:M47)</f>
        <v>7611</v>
      </c>
      <c r="N48" s="7">
        <f t="shared" si="40"/>
        <v>9314</v>
      </c>
      <c r="O48" s="7">
        <f t="shared" si="40"/>
        <v>9002</v>
      </c>
      <c r="P48" s="7">
        <f t="shared" si="40"/>
        <v>10206</v>
      </c>
      <c r="Q48" s="7">
        <f t="shared" si="40"/>
        <v>12057</v>
      </c>
      <c r="R48" s="7">
        <f t="shared" si="40"/>
        <v>15967</v>
      </c>
      <c r="S48" s="7">
        <f>SUM(S45:S47)</f>
        <v>16861</v>
      </c>
      <c r="T48" s="7">
        <f>SUM(T45:T47)</f>
        <v>14602</v>
      </c>
      <c r="U48" s="7">
        <f>SUM(U45:U47)</f>
        <v>18692</v>
      </c>
      <c r="V48" s="7">
        <f t="shared" ref="V48:AD48" si="41">SUM(V45:V47)</f>
        <v>22353.8</v>
      </c>
      <c r="W48" s="7">
        <f t="shared" si="41"/>
        <v>19963</v>
      </c>
      <c r="X48" s="7">
        <f t="shared" si="41"/>
        <v>21268</v>
      </c>
      <c r="Y48" s="7">
        <f t="shared" si="41"/>
        <v>19625</v>
      </c>
      <c r="Z48" s="7">
        <f t="shared" si="41"/>
        <v>21563</v>
      </c>
      <c r="AA48" s="7">
        <f t="shared" si="41"/>
        <v>17378</v>
      </c>
      <c r="AB48" s="7">
        <f t="shared" si="41"/>
        <v>19878</v>
      </c>
      <c r="AC48" s="7">
        <f>SUM(AC45:AC47)</f>
        <v>20016</v>
      </c>
      <c r="AD48" s="7">
        <f t="shared" si="41"/>
        <v>19798</v>
      </c>
      <c r="AE48" s="7">
        <f t="shared" ref="AE48" si="42">SUM(AE45:AE47)</f>
        <v>13967</v>
      </c>
      <c r="AF48" s="7"/>
      <c r="AG48" s="7"/>
      <c r="AH48" s="7"/>
      <c r="AP48" s="6">
        <f>SUM(AP45:AP47)</f>
        <v>20821</v>
      </c>
      <c r="AQ48" s="6">
        <f>SUM(AQ45:AQ47)</f>
        <v>27236</v>
      </c>
      <c r="AR48" s="6">
        <f>SUM(AR45:AR47)</f>
        <v>47232</v>
      </c>
      <c r="AS48" s="6">
        <f>SUM(AS45:AS47)</f>
        <v>72508.800000000003</v>
      </c>
      <c r="AT48" s="6">
        <f>SUM(AT45:AT47)</f>
        <v>82419</v>
      </c>
      <c r="AU48" s="6">
        <f>AU45+AU46+AU47</f>
        <v>77070</v>
      </c>
      <c r="AV48" s="6">
        <f>AV45+AV46+AV47</f>
        <v>96194.622718963379</v>
      </c>
      <c r="AW48" s="6">
        <f>AW45+AW46+AW47</f>
        <v>123850.57675066536</v>
      </c>
      <c r="AX48" s="6">
        <f>AX45+AX46+AX47</f>
        <v>153079.31286382239</v>
      </c>
      <c r="AY48" s="6">
        <f>AY45+AY46+AY47</f>
        <v>189206.03069968446</v>
      </c>
      <c r="AZ48" s="6">
        <f t="shared" ref="AZ48:BF48" si="43">AZ45+AZ46+AZ47</f>
        <v>224114.54336377623</v>
      </c>
      <c r="BA48" s="6">
        <f t="shared" si="43"/>
        <v>253921.7776311585</v>
      </c>
      <c r="BB48" s="6">
        <f t="shared" si="43"/>
        <v>274616.40250809793</v>
      </c>
      <c r="BC48" s="6">
        <f t="shared" si="43"/>
        <v>296997.63931250793</v>
      </c>
      <c r="BD48" s="6">
        <f t="shared" si="43"/>
        <v>321202.94691647741</v>
      </c>
      <c r="BE48" s="6">
        <f t="shared" si="43"/>
        <v>347380.98709017033</v>
      </c>
      <c r="BF48" s="6">
        <f t="shared" si="43"/>
        <v>375692.53753801924</v>
      </c>
    </row>
    <row r="49" spans="2:58" s="4" customFormat="1" x14ac:dyDescent="0.15">
      <c r="B49" s="4" t="s">
        <v>36</v>
      </c>
      <c r="C49" s="5"/>
      <c r="D49" s="5"/>
      <c r="E49" s="5"/>
      <c r="F49" s="5"/>
      <c r="G49" s="5">
        <v>324</v>
      </c>
      <c r="H49" s="5">
        <v>369</v>
      </c>
      <c r="I49" s="5">
        <v>402</v>
      </c>
      <c r="J49" s="5">
        <v>436</v>
      </c>
      <c r="K49" s="5">
        <v>293</v>
      </c>
      <c r="L49" s="5">
        <v>370</v>
      </c>
      <c r="M49" s="5">
        <v>579</v>
      </c>
      <c r="N49" s="5">
        <v>752</v>
      </c>
      <c r="O49" s="5">
        <v>494</v>
      </c>
      <c r="P49" s="5">
        <v>801</v>
      </c>
      <c r="Q49" s="5">
        <v>806</v>
      </c>
      <c r="R49" s="5">
        <v>688</v>
      </c>
      <c r="S49" s="5">
        <v>616</v>
      </c>
      <c r="T49" s="5">
        <v>866</v>
      </c>
      <c r="U49" s="5">
        <v>1117</v>
      </c>
      <c r="V49" s="5">
        <f t="shared" ref="V49:V50" si="44">+R49*1.4</f>
        <v>963.19999999999993</v>
      </c>
      <c r="W49" s="5">
        <v>1529</v>
      </c>
      <c r="X49" s="5">
        <v>1509</v>
      </c>
      <c r="Y49" s="5">
        <v>1559</v>
      </c>
      <c r="Z49" s="5">
        <v>1438</v>
      </c>
      <c r="AA49" s="5">
        <v>1635</v>
      </c>
      <c r="AB49" s="5">
        <v>3014</v>
      </c>
      <c r="AC49" s="5">
        <v>2376</v>
      </c>
      <c r="AD49" s="5">
        <v>3061</v>
      </c>
      <c r="AE49" s="5">
        <v>2730</v>
      </c>
      <c r="AF49" s="5"/>
      <c r="AG49" s="5"/>
      <c r="AH49" s="5"/>
      <c r="AJ49" s="4">
        <v>1921.877</v>
      </c>
      <c r="AK49" s="4">
        <v>3007.0120000000002</v>
      </c>
      <c r="AL49" s="4">
        <v>3740.973</v>
      </c>
      <c r="AP49" s="4">
        <f t="shared" si="32"/>
        <v>1531</v>
      </c>
      <c r="AQ49" s="4">
        <f>SUM(K49:N49)</f>
        <v>1994</v>
      </c>
      <c r="AR49" s="4">
        <f>SUM(O49:R49)</f>
        <v>2789</v>
      </c>
      <c r="AS49" s="4">
        <f t="shared" si="37"/>
        <v>3562.2</v>
      </c>
      <c r="AT49" s="4">
        <f>SUM(W49:Z49)</f>
        <v>6035</v>
      </c>
      <c r="AU49" s="4">
        <f>SUM(AA49:AD49)</f>
        <v>10086</v>
      </c>
    </row>
    <row r="50" spans="2:58" s="4" customFormat="1" x14ac:dyDescent="0.15">
      <c r="B50" s="4" t="s">
        <v>37</v>
      </c>
      <c r="C50" s="5"/>
      <c r="D50" s="5"/>
      <c r="E50" s="5"/>
      <c r="F50" s="5"/>
      <c r="G50" s="5">
        <v>493</v>
      </c>
      <c r="H50" s="5">
        <v>605</v>
      </c>
      <c r="I50" s="5">
        <v>548</v>
      </c>
      <c r="J50" s="5">
        <v>580</v>
      </c>
      <c r="K50" s="5">
        <v>560</v>
      </c>
      <c r="L50" s="5">
        <v>487</v>
      </c>
      <c r="M50" s="5">
        <v>581</v>
      </c>
      <c r="N50" s="5">
        <v>678</v>
      </c>
      <c r="O50" s="5">
        <v>893</v>
      </c>
      <c r="P50" s="5">
        <v>951</v>
      </c>
      <c r="Q50" s="5">
        <v>894</v>
      </c>
      <c r="R50" s="5">
        <v>1064</v>
      </c>
      <c r="S50" s="5">
        <v>1279</v>
      </c>
      <c r="T50" s="5">
        <v>1466</v>
      </c>
      <c r="U50" s="5">
        <v>1645</v>
      </c>
      <c r="V50" s="5">
        <f t="shared" si="44"/>
        <v>1489.6</v>
      </c>
      <c r="W50" s="5">
        <v>1837</v>
      </c>
      <c r="X50" s="5">
        <v>2150</v>
      </c>
      <c r="Y50" s="5">
        <v>2166</v>
      </c>
      <c r="Z50" s="5">
        <v>2166</v>
      </c>
      <c r="AA50" s="5">
        <v>2288</v>
      </c>
      <c r="AB50" s="5">
        <v>2608</v>
      </c>
      <c r="AC50" s="5">
        <v>2790</v>
      </c>
      <c r="AD50" s="5">
        <v>2848</v>
      </c>
      <c r="AE50" s="5">
        <v>2638</v>
      </c>
      <c r="AF50" s="5"/>
      <c r="AG50" s="5"/>
      <c r="AH50" s="5"/>
      <c r="AJ50" s="4">
        <v>91.619</v>
      </c>
      <c r="AK50" s="4">
        <v>191.34399999999999</v>
      </c>
      <c r="AL50" s="4">
        <v>305.05200000000002</v>
      </c>
      <c r="AP50" s="4">
        <f t="shared" si="32"/>
        <v>2226</v>
      </c>
      <c r="AQ50" s="4">
        <f>SUM(K50:N50)</f>
        <v>2306</v>
      </c>
      <c r="AR50" s="4">
        <f t="shared" si="36"/>
        <v>3802</v>
      </c>
      <c r="AS50" s="4">
        <f t="shared" si="37"/>
        <v>5879.6</v>
      </c>
      <c r="AT50" s="4">
        <f>SUM(W50:Z50)</f>
        <v>8319</v>
      </c>
      <c r="AU50" s="4">
        <f>SUM(AA50:AD50)</f>
        <v>10534</v>
      </c>
    </row>
    <row r="51" spans="2:58" s="6" customFormat="1" x14ac:dyDescent="0.15">
      <c r="B51" s="6" t="s">
        <v>38</v>
      </c>
      <c r="C51" s="7"/>
      <c r="D51" s="7"/>
      <c r="E51" s="7"/>
      <c r="F51" s="7"/>
      <c r="G51" s="7">
        <f t="shared" ref="G51:K51" si="45">SUM(G48:G50)</f>
        <v>4541</v>
      </c>
      <c r="H51" s="7">
        <f t="shared" si="45"/>
        <v>6350</v>
      </c>
      <c r="I51" s="7">
        <f t="shared" si="45"/>
        <v>6303</v>
      </c>
      <c r="J51" s="7">
        <f t="shared" si="45"/>
        <v>7384</v>
      </c>
      <c r="K51" s="7">
        <f t="shared" si="45"/>
        <v>5985</v>
      </c>
      <c r="L51" s="7">
        <f t="shared" ref="L51" si="46">SUM(L48:L50)</f>
        <v>6036</v>
      </c>
      <c r="M51" s="7">
        <f t="shared" ref="M51:R51" si="47">SUM(M48:M50)</f>
        <v>8771</v>
      </c>
      <c r="N51" s="7">
        <f t="shared" si="47"/>
        <v>10744</v>
      </c>
      <c r="O51" s="7">
        <f t="shared" si="47"/>
        <v>10389</v>
      </c>
      <c r="P51" s="7">
        <f t="shared" si="47"/>
        <v>11958</v>
      </c>
      <c r="Q51" s="7">
        <f t="shared" si="47"/>
        <v>13757</v>
      </c>
      <c r="R51" s="7">
        <f t="shared" si="47"/>
        <v>17719</v>
      </c>
      <c r="S51" s="7">
        <f>SUM(S48:S50)</f>
        <v>18756</v>
      </c>
      <c r="T51" s="7">
        <f>SUM(T48:T50)</f>
        <v>16934</v>
      </c>
      <c r="U51" s="7">
        <f>SUM(U48:U50)</f>
        <v>21454</v>
      </c>
      <c r="V51" s="7">
        <f t="shared" ref="V51:AD51" si="48">SUM(V48:V50)</f>
        <v>24806.6</v>
      </c>
      <c r="W51" s="7">
        <f t="shared" si="48"/>
        <v>23329</v>
      </c>
      <c r="X51" s="7">
        <f t="shared" si="48"/>
        <v>24927</v>
      </c>
      <c r="Y51" s="7">
        <f t="shared" si="48"/>
        <v>23350</v>
      </c>
      <c r="Z51" s="7">
        <f t="shared" si="48"/>
        <v>25167</v>
      </c>
      <c r="AA51" s="7">
        <f t="shared" si="48"/>
        <v>21301</v>
      </c>
      <c r="AB51" s="7">
        <f t="shared" si="48"/>
        <v>25500</v>
      </c>
      <c r="AC51" s="7">
        <f>SUM(AC48:AC50)</f>
        <v>25182</v>
      </c>
      <c r="AD51" s="7">
        <f t="shared" si="48"/>
        <v>25707</v>
      </c>
      <c r="AE51" s="7">
        <f t="shared" ref="AE51" si="49">SUM(AE48:AE50)</f>
        <v>19335</v>
      </c>
      <c r="AF51" s="7"/>
      <c r="AG51" s="7"/>
      <c r="AH51" s="7"/>
      <c r="AJ51" s="6">
        <f>AJ49+AJ50</f>
        <v>2013.4959999999999</v>
      </c>
      <c r="AK51" s="6">
        <f>AK49+AK50</f>
        <v>3198.3560000000002</v>
      </c>
      <c r="AL51" s="6">
        <f>AL49+AL50</f>
        <v>4046.0250000000001</v>
      </c>
      <c r="AM51" s="6">
        <v>7000.1319999999996</v>
      </c>
      <c r="AN51" s="6">
        <v>11758.751</v>
      </c>
      <c r="AO51" s="6">
        <v>21461.268</v>
      </c>
      <c r="AP51" s="6">
        <f t="shared" ref="AP51:AS51" si="50">SUM(AP48:AP50)</f>
        <v>24578</v>
      </c>
      <c r="AQ51" s="6">
        <f t="shared" si="50"/>
        <v>31536</v>
      </c>
      <c r="AR51" s="6">
        <f t="shared" si="50"/>
        <v>53823</v>
      </c>
      <c r="AS51" s="6">
        <f t="shared" si="50"/>
        <v>81950.600000000006</v>
      </c>
      <c r="AT51" s="6">
        <f>SUM(AT48:AT50)</f>
        <v>96773</v>
      </c>
      <c r="AU51" s="6">
        <f>SUM(AU48:AU50)+AU44</f>
        <v>98206.656959999993</v>
      </c>
      <c r="AV51" s="6">
        <f>SUM(AV48:AV50)+AV44</f>
        <v>97944.631870963378</v>
      </c>
      <c r="AW51" s="6">
        <f>SUM(AW48:AW50)+AW44</f>
        <v>127260.52855066536</v>
      </c>
      <c r="AX51" s="6">
        <f t="shared" ref="AX51:BA51" si="51">SUM(AX48:AX50)+AX44</f>
        <v>158518.08345582237</v>
      </c>
      <c r="AY51" s="6">
        <f t="shared" si="51"/>
        <v>197300.70952848447</v>
      </c>
      <c r="AZ51" s="6">
        <f t="shared" si="51"/>
        <v>235130.72125305622</v>
      </c>
      <c r="BA51" s="6">
        <f t="shared" si="51"/>
        <v>267839.53526914248</v>
      </c>
      <c r="BB51" s="6">
        <f t="shared" ref="BB51" si="52">SUM(BB48:BB50)+BB44</f>
        <v>289731.06179242232</v>
      </c>
      <c r="BC51" s="6">
        <f t="shared" ref="BC51" si="53">SUM(BC48:BC50)+BC44</f>
        <v>313391.09351371182</v>
      </c>
      <c r="BD51" s="6">
        <f t="shared" ref="BD51" si="54">SUM(BD48:BD50)+BD44</f>
        <v>338962.28637803788</v>
      </c>
      <c r="BE51" s="6">
        <f t="shared" ref="BE51" si="55">SUM(BE48:BE50)+BE44</f>
        <v>366598.81420262012</v>
      </c>
      <c r="BF51" s="6">
        <f t="shared" ref="BF51" si="56">SUM(BF48:BF50)+BF44</f>
        <v>396467.30021779332</v>
      </c>
    </row>
    <row r="52" spans="2:58" s="4" customFormat="1" x14ac:dyDescent="0.15">
      <c r="B52" s="4" t="s">
        <v>39</v>
      </c>
      <c r="C52" s="5"/>
      <c r="D52" s="5"/>
      <c r="E52" s="5"/>
      <c r="F52" s="5"/>
      <c r="G52" s="5">
        <v>2856</v>
      </c>
      <c r="H52" s="5">
        <v>4254</v>
      </c>
      <c r="I52" s="5">
        <v>4014</v>
      </c>
      <c r="J52" s="5">
        <v>4815</v>
      </c>
      <c r="K52" s="5">
        <v>3699</v>
      </c>
      <c r="L52" s="5">
        <v>3714</v>
      </c>
      <c r="M52" s="5">
        <v>5361</v>
      </c>
      <c r="N52" s="5">
        <v>6922</v>
      </c>
      <c r="O52" s="5">
        <v>6457</v>
      </c>
      <c r="P52" s="5">
        <v>7119</v>
      </c>
      <c r="Q52" s="5">
        <v>8150</v>
      </c>
      <c r="R52" s="5">
        <v>10689</v>
      </c>
      <c r="S52" s="5">
        <v>10914</v>
      </c>
      <c r="T52" s="5">
        <v>10153</v>
      </c>
      <c r="U52" s="5">
        <v>13099</v>
      </c>
      <c r="V52" s="5">
        <v>15433</v>
      </c>
      <c r="W52" s="5">
        <v>15422</v>
      </c>
      <c r="X52" s="5">
        <v>16841</v>
      </c>
      <c r="Y52" s="5">
        <v>15656</v>
      </c>
      <c r="Z52" s="5">
        <v>17202</v>
      </c>
      <c r="AA52" s="5">
        <v>13897</v>
      </c>
      <c r="AB52" s="5">
        <v>15962</v>
      </c>
      <c r="AC52" s="5">
        <v>15743</v>
      </c>
      <c r="AD52" s="5">
        <v>16268</v>
      </c>
      <c r="AE52" s="5">
        <v>11461</v>
      </c>
      <c r="AF52" s="5"/>
      <c r="AG52" s="5"/>
      <c r="AH52" s="5"/>
      <c r="AJ52" s="4">
        <v>1483.3209999999999</v>
      </c>
      <c r="AR52" s="4">
        <f t="shared" si="36"/>
        <v>32415</v>
      </c>
      <c r="AS52" s="4">
        <f t="shared" si="37"/>
        <v>49599</v>
      </c>
      <c r="AT52" s="4">
        <f t="shared" ref="AT52:AT66" si="57">SUM(W52:Z52)</f>
        <v>65121</v>
      </c>
      <c r="AU52" s="4">
        <f t="shared" ref="AU52:AU59" si="58">SUM(AA52:AD52)</f>
        <v>61870</v>
      </c>
      <c r="AV52" s="4">
        <f>AV45*0.8</f>
        <v>76955.698175170706</v>
      </c>
      <c r="AW52" s="4">
        <f>AW45*0.79</f>
        <v>97841.955633025646</v>
      </c>
      <c r="AX52" s="4">
        <f>AX51*0.78</f>
        <v>123644.10509554145</v>
      </c>
      <c r="AY52" s="4">
        <f>AY51*0.77</f>
        <v>151921.54633693304</v>
      </c>
      <c r="AZ52" s="4">
        <f>AZ51*0.76</f>
        <v>178699.34815232272</v>
      </c>
      <c r="BA52" s="4">
        <f>BA51*0.75</f>
        <v>200879.65145185686</v>
      </c>
      <c r="BB52" s="4">
        <f t="shared" ref="BB52:BF52" si="59">BB51*0.75</f>
        <v>217298.29634431674</v>
      </c>
      <c r="BC52" s="4">
        <f t="shared" si="59"/>
        <v>235043.32013528387</v>
      </c>
      <c r="BD52" s="4">
        <f t="shared" si="59"/>
        <v>254221.71478352841</v>
      </c>
      <c r="BE52" s="4">
        <f t="shared" si="59"/>
        <v>274949.11065196508</v>
      </c>
      <c r="BF52" s="4">
        <f t="shared" si="59"/>
        <v>297350.47516334499</v>
      </c>
    </row>
    <row r="53" spans="2:58" s="4" customFormat="1" x14ac:dyDescent="0.15">
      <c r="B53" s="4" t="s">
        <v>40</v>
      </c>
      <c r="C53" s="5"/>
      <c r="D53" s="5"/>
      <c r="E53" s="5"/>
      <c r="F53" s="5"/>
      <c r="G53" s="5">
        <f t="shared" ref="G53:N53" si="60">G45-G52</f>
        <v>653</v>
      </c>
      <c r="H53" s="5">
        <f t="shared" si="60"/>
        <v>914</v>
      </c>
      <c r="I53" s="5">
        <f t="shared" si="60"/>
        <v>1118</v>
      </c>
      <c r="J53" s="5">
        <f t="shared" si="60"/>
        <v>1328</v>
      </c>
      <c r="K53" s="5">
        <f t="shared" si="60"/>
        <v>1194</v>
      </c>
      <c r="L53" s="5">
        <f t="shared" si="60"/>
        <v>1197</v>
      </c>
      <c r="M53" s="5">
        <f t="shared" si="60"/>
        <v>1985</v>
      </c>
      <c r="N53" s="5">
        <f t="shared" si="60"/>
        <v>1711</v>
      </c>
      <c r="O53" s="5">
        <f t="shared" ref="O53:R53" si="61">O45-O52</f>
        <v>1730</v>
      </c>
      <c r="P53" s="5">
        <f t="shared" si="61"/>
        <v>2401</v>
      </c>
      <c r="Q53" s="5">
        <f t="shared" si="61"/>
        <v>3243</v>
      </c>
      <c r="R53" s="5">
        <f t="shared" si="61"/>
        <v>4336</v>
      </c>
      <c r="S53" s="5">
        <f>S45-S52</f>
        <v>4600</v>
      </c>
      <c r="T53" s="5">
        <f>T45-T52</f>
        <v>3517</v>
      </c>
      <c r="U53" s="5">
        <f>U45-U52</f>
        <v>4686</v>
      </c>
      <c r="V53" s="5">
        <f t="shared" ref="V53:Z53" si="62">V45-V52</f>
        <v>5602</v>
      </c>
      <c r="W53" s="5">
        <f>W45-W52</f>
        <v>3456</v>
      </c>
      <c r="X53" s="5">
        <f t="shared" si="62"/>
        <v>3578</v>
      </c>
      <c r="Y53" s="5">
        <f t="shared" si="62"/>
        <v>2926</v>
      </c>
      <c r="Z53" s="5">
        <f t="shared" si="62"/>
        <v>3428</v>
      </c>
      <c r="AA53" s="5">
        <f>AA45-AA52</f>
        <v>2563</v>
      </c>
      <c r="AB53" s="5">
        <f>AB45-AB52</f>
        <v>2568</v>
      </c>
      <c r="AC53" s="5">
        <f>AC45-AC52</f>
        <v>3088</v>
      </c>
      <c r="AD53" s="5">
        <f>AD45-AD52</f>
        <v>2391</v>
      </c>
      <c r="AE53" s="5">
        <f>AE45-AE52</f>
        <v>1464</v>
      </c>
      <c r="AF53" s="5"/>
      <c r="AG53" s="5"/>
      <c r="AH53" s="5"/>
      <c r="AR53" s="4">
        <f t="shared" si="37"/>
        <v>17139</v>
      </c>
      <c r="AS53" s="4">
        <f t="shared" si="37"/>
        <v>18405</v>
      </c>
      <c r="AT53" s="4">
        <f t="shared" si="57"/>
        <v>13388</v>
      </c>
      <c r="AU53" s="4">
        <f t="shared" si="58"/>
        <v>10610</v>
      </c>
    </row>
    <row r="54" spans="2:58" s="4" customFormat="1" x14ac:dyDescent="0.15">
      <c r="B54" s="29" t="s">
        <v>116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U54" s="4">
        <f t="shared" si="58"/>
        <v>0</v>
      </c>
    </row>
    <row r="55" spans="2:58" s="4" customFormat="1" x14ac:dyDescent="0.15">
      <c r="B55" s="4" t="s">
        <v>41</v>
      </c>
      <c r="C55" s="5"/>
      <c r="D55" s="5"/>
      <c r="E55" s="5"/>
      <c r="F55" s="5"/>
      <c r="G55" s="5">
        <v>117</v>
      </c>
      <c r="H55" s="5">
        <v>106</v>
      </c>
      <c r="I55" s="5">
        <v>117</v>
      </c>
      <c r="J55" s="5">
        <v>119</v>
      </c>
      <c r="K55" s="5">
        <v>122</v>
      </c>
      <c r="L55" s="5">
        <v>148</v>
      </c>
      <c r="M55" s="5">
        <v>145</v>
      </c>
      <c r="N55" s="5">
        <v>148</v>
      </c>
      <c r="O55" s="5">
        <v>160</v>
      </c>
      <c r="P55" s="5">
        <v>188</v>
      </c>
      <c r="Q55" s="5">
        <v>234</v>
      </c>
      <c r="R55" s="5">
        <v>396</v>
      </c>
      <c r="S55" s="5">
        <v>408</v>
      </c>
      <c r="T55" s="5">
        <v>369</v>
      </c>
      <c r="U55" s="5">
        <v>381</v>
      </c>
      <c r="V55" s="5">
        <v>352</v>
      </c>
      <c r="W55" s="5">
        <v>333</v>
      </c>
      <c r="X55" s="5">
        <v>338</v>
      </c>
      <c r="Y55" s="5">
        <v>301</v>
      </c>
      <c r="Z55" s="5">
        <v>296</v>
      </c>
      <c r="AA55" s="5">
        <v>269</v>
      </c>
      <c r="AB55" s="5">
        <v>245</v>
      </c>
      <c r="AC55" s="5">
        <v>247</v>
      </c>
      <c r="AD55" s="5">
        <v>242</v>
      </c>
      <c r="AE55" s="5">
        <v>239</v>
      </c>
      <c r="AF55" s="5"/>
      <c r="AG55" s="5"/>
      <c r="AH55" s="5"/>
      <c r="AS55" s="4">
        <f t="shared" si="37"/>
        <v>1510</v>
      </c>
      <c r="AT55" s="4">
        <f t="shared" si="57"/>
        <v>1268</v>
      </c>
      <c r="AU55" s="4">
        <f t="shared" si="58"/>
        <v>1003</v>
      </c>
    </row>
    <row r="56" spans="2:58" s="4" customFormat="1" x14ac:dyDescent="0.15">
      <c r="B56" s="4" t="s">
        <v>42</v>
      </c>
      <c r="C56" s="5"/>
      <c r="D56" s="5"/>
      <c r="E56" s="5"/>
      <c r="F56" s="5"/>
      <c r="G56" s="5">
        <f t="shared" ref="G56:K56" si="63">G48-G55-G52</f>
        <v>751</v>
      </c>
      <c r="H56" s="5">
        <f t="shared" si="63"/>
        <v>1016</v>
      </c>
      <c r="I56" s="5">
        <f t="shared" si="63"/>
        <v>1222</v>
      </c>
      <c r="J56" s="5">
        <f t="shared" si="63"/>
        <v>1434</v>
      </c>
      <c r="K56" s="5">
        <f t="shared" si="63"/>
        <v>1311</v>
      </c>
      <c r="L56" s="5">
        <f t="shared" ref="L56" si="64">L48-L55-L52</f>
        <v>1317</v>
      </c>
      <c r="M56" s="5">
        <f t="shared" ref="M56:N56" si="65">M48-M55-M52</f>
        <v>2105</v>
      </c>
      <c r="N56" s="5">
        <f t="shared" si="65"/>
        <v>2244</v>
      </c>
      <c r="O56" s="5">
        <f>O48-O55-O52</f>
        <v>2385</v>
      </c>
      <c r="P56" s="5">
        <f t="shared" ref="P56:S56" si="66">P48-P55-P52</f>
        <v>2899</v>
      </c>
      <c r="Q56" s="5">
        <f t="shared" si="66"/>
        <v>3673</v>
      </c>
      <c r="R56" s="5">
        <f t="shared" si="66"/>
        <v>4882</v>
      </c>
      <c r="S56" s="5">
        <f t="shared" si="66"/>
        <v>5539</v>
      </c>
      <c r="T56" s="5">
        <f>T48-T55-T52</f>
        <v>4080</v>
      </c>
      <c r="U56" s="5">
        <f>U48-U55-U52</f>
        <v>5212</v>
      </c>
      <c r="V56" s="5">
        <f t="shared" ref="V56:AD56" si="67">V48-V55-V52</f>
        <v>6568.7999999999993</v>
      </c>
      <c r="W56" s="5">
        <f>W48-W55-W52</f>
        <v>4208</v>
      </c>
      <c r="X56" s="5">
        <f t="shared" si="67"/>
        <v>4089</v>
      </c>
      <c r="Y56" s="5">
        <f t="shared" si="67"/>
        <v>3668</v>
      </c>
      <c r="Z56" s="5">
        <f t="shared" si="67"/>
        <v>4065</v>
      </c>
      <c r="AA56" s="5">
        <f t="shared" si="67"/>
        <v>3212</v>
      </c>
      <c r="AB56" s="5">
        <f>AB48-AB55-AB52</f>
        <v>3671</v>
      </c>
      <c r="AC56" s="5">
        <f t="shared" si="67"/>
        <v>4026</v>
      </c>
      <c r="AD56" s="5">
        <f t="shared" si="67"/>
        <v>3288</v>
      </c>
      <c r="AE56" s="5">
        <f t="shared" ref="AE56" si="68">AE48-AE55-AE52</f>
        <v>2267</v>
      </c>
      <c r="AF56" s="5"/>
      <c r="AG56" s="5"/>
      <c r="AH56" s="5"/>
      <c r="AS56" s="4">
        <f t="shared" si="37"/>
        <v>21399.8</v>
      </c>
      <c r="AT56" s="4">
        <f>SUM(W56:Z56)</f>
        <v>16030</v>
      </c>
      <c r="AU56" s="4">
        <f t="shared" si="58"/>
        <v>14197</v>
      </c>
      <c r="AV56" s="4">
        <f>AV51-AV52</f>
        <v>20988.933695792672</v>
      </c>
      <c r="AW56" s="4">
        <f t="shared" ref="AW56:BF56" si="69">AW51-AW52</f>
        <v>29418.572917639714</v>
      </c>
      <c r="AX56" s="4">
        <f t="shared" si="69"/>
        <v>34873.978360280918</v>
      </c>
      <c r="AY56" s="4">
        <f t="shared" si="69"/>
        <v>45379.16319155143</v>
      </c>
      <c r="AZ56" s="4">
        <f t="shared" si="69"/>
        <v>56431.373100733501</v>
      </c>
      <c r="BA56" s="4">
        <f t="shared" si="69"/>
        <v>66959.883817285619</v>
      </c>
      <c r="BB56" s="4">
        <f t="shared" si="69"/>
        <v>72432.76544810558</v>
      </c>
      <c r="BC56" s="4">
        <f t="shared" si="69"/>
        <v>78347.773378427955</v>
      </c>
      <c r="BD56" s="4">
        <f t="shared" si="69"/>
        <v>84740.571594509471</v>
      </c>
      <c r="BE56" s="4">
        <f t="shared" si="69"/>
        <v>91649.703550655046</v>
      </c>
      <c r="BF56" s="4">
        <f t="shared" si="69"/>
        <v>99116.825054448331</v>
      </c>
    </row>
    <row r="57" spans="2:58" s="4" customFormat="1" x14ac:dyDescent="0.15">
      <c r="B57" s="4" t="s">
        <v>43</v>
      </c>
      <c r="C57" s="5"/>
      <c r="D57" s="5"/>
      <c r="E57" s="5"/>
      <c r="F57" s="5"/>
      <c r="G57" s="5">
        <v>316</v>
      </c>
      <c r="H57" s="5">
        <v>326</v>
      </c>
      <c r="I57" s="5">
        <v>314</v>
      </c>
      <c r="J57" s="5">
        <v>385</v>
      </c>
      <c r="K57" s="5">
        <v>282</v>
      </c>
      <c r="L57" s="5">
        <v>349</v>
      </c>
      <c r="M57" s="5">
        <v>558</v>
      </c>
      <c r="N57" s="5">
        <v>787</v>
      </c>
      <c r="O57" s="5">
        <v>595</v>
      </c>
      <c r="P57" s="5">
        <v>781</v>
      </c>
      <c r="Q57" s="5">
        <v>803</v>
      </c>
      <c r="R57" s="5">
        <v>739</v>
      </c>
      <c r="S57" s="5">
        <v>688</v>
      </c>
      <c r="T57" s="5">
        <v>769</v>
      </c>
      <c r="U57" s="5">
        <v>1013</v>
      </c>
      <c r="V57" s="5">
        <v>1151</v>
      </c>
      <c r="W57" s="5">
        <v>1361</v>
      </c>
      <c r="X57" s="5">
        <v>1231</v>
      </c>
      <c r="Y57" s="5">
        <v>1178</v>
      </c>
      <c r="Z57" s="5">
        <v>1124</v>
      </c>
      <c r="AA57" s="5">
        <v>1232</v>
      </c>
      <c r="AB57" s="5">
        <v>2274</v>
      </c>
      <c r="AC57" s="5">
        <v>1651</v>
      </c>
      <c r="AD57" s="5">
        <v>2289</v>
      </c>
      <c r="AE57" s="5">
        <v>1945</v>
      </c>
      <c r="AF57" s="5"/>
      <c r="AG57" s="5"/>
      <c r="AH57" s="5"/>
      <c r="AS57" s="4">
        <f t="shared" si="37"/>
        <v>3621</v>
      </c>
      <c r="AT57" s="4">
        <f t="shared" si="57"/>
        <v>4894</v>
      </c>
      <c r="AU57" s="4">
        <f t="shared" si="58"/>
        <v>7446</v>
      </c>
    </row>
    <row r="58" spans="2:58" s="4" customFormat="1" x14ac:dyDescent="0.15">
      <c r="B58" s="4" t="s">
        <v>44</v>
      </c>
      <c r="C58" s="5"/>
      <c r="D58" s="5"/>
      <c r="E58" s="5"/>
      <c r="F58" s="5"/>
      <c r="G58" s="5">
        <v>686</v>
      </c>
      <c r="H58" s="5">
        <v>743</v>
      </c>
      <c r="I58" s="5">
        <v>667</v>
      </c>
      <c r="J58" s="5">
        <v>674</v>
      </c>
      <c r="K58" s="5">
        <v>648</v>
      </c>
      <c r="L58" s="5">
        <v>558</v>
      </c>
      <c r="M58" s="5">
        <v>644</v>
      </c>
      <c r="N58" s="5">
        <v>821</v>
      </c>
      <c r="O58" s="5">
        <v>962</v>
      </c>
      <c r="P58" s="5">
        <v>986</v>
      </c>
      <c r="Q58" s="5">
        <v>910</v>
      </c>
      <c r="R58" s="5">
        <v>1048</v>
      </c>
      <c r="S58" s="5">
        <v>1286</v>
      </c>
      <c r="T58" s="5">
        <v>1410</v>
      </c>
      <c r="U58" s="5">
        <v>1579</v>
      </c>
      <c r="V58" s="5">
        <v>1605</v>
      </c>
      <c r="W58" s="5">
        <v>1702</v>
      </c>
      <c r="X58" s="5">
        <v>1984</v>
      </c>
      <c r="Y58" s="5">
        <v>2037</v>
      </c>
      <c r="Z58" s="5">
        <v>2107</v>
      </c>
      <c r="AA58" s="5">
        <v>2207</v>
      </c>
      <c r="AB58" s="5">
        <v>2441</v>
      </c>
      <c r="AC58" s="5">
        <v>2544</v>
      </c>
      <c r="AD58" s="5">
        <v>2729</v>
      </c>
      <c r="AE58" s="5">
        <v>2537</v>
      </c>
      <c r="AF58" s="5"/>
      <c r="AG58" s="5"/>
      <c r="AH58" s="5"/>
      <c r="AS58" s="4">
        <f t="shared" si="37"/>
        <v>5880</v>
      </c>
      <c r="AT58" s="4">
        <f t="shared" si="57"/>
        <v>7830</v>
      </c>
      <c r="AU58" s="4">
        <f t="shared" si="58"/>
        <v>9921</v>
      </c>
    </row>
    <row r="59" spans="2:58" s="4" customFormat="1" x14ac:dyDescent="0.15">
      <c r="B59" s="4" t="s">
        <v>45</v>
      </c>
      <c r="C59" s="5"/>
      <c r="D59" s="5"/>
      <c r="E59" s="5"/>
      <c r="F59" s="5"/>
      <c r="G59" s="5">
        <f t="shared" ref="G59:K59" si="70">G56+G49+G50-G57-G58</f>
        <v>566</v>
      </c>
      <c r="H59" s="5">
        <f t="shared" si="70"/>
        <v>921</v>
      </c>
      <c r="I59" s="5">
        <f t="shared" si="70"/>
        <v>1191</v>
      </c>
      <c r="J59" s="5">
        <f t="shared" si="70"/>
        <v>1391</v>
      </c>
      <c r="K59" s="5">
        <f t="shared" si="70"/>
        <v>1234</v>
      </c>
      <c r="L59" s="5">
        <f t="shared" ref="L59" si="71">L56+L49+L50-L57-L58</f>
        <v>1267</v>
      </c>
      <c r="M59" s="5">
        <f t="shared" ref="M59:T59" si="72">M56+M49+M50-M57-M58</f>
        <v>2063</v>
      </c>
      <c r="N59" s="5">
        <f t="shared" si="72"/>
        <v>2066</v>
      </c>
      <c r="O59" s="5">
        <f t="shared" si="72"/>
        <v>2215</v>
      </c>
      <c r="P59" s="5">
        <f t="shared" si="72"/>
        <v>2884</v>
      </c>
      <c r="Q59" s="5">
        <f t="shared" si="72"/>
        <v>3660</v>
      </c>
      <c r="R59" s="5">
        <f t="shared" si="72"/>
        <v>4847</v>
      </c>
      <c r="S59" s="5">
        <f t="shared" si="72"/>
        <v>5460</v>
      </c>
      <c r="T59" s="5">
        <f t="shared" si="72"/>
        <v>4233</v>
      </c>
      <c r="U59" s="5">
        <f t="shared" ref="U59:AD59" si="73">U56+U49+U50-U57-U58</f>
        <v>5382</v>
      </c>
      <c r="V59" s="5">
        <f t="shared" si="73"/>
        <v>6265.5999999999985</v>
      </c>
      <c r="W59" s="5">
        <f t="shared" si="73"/>
        <v>4511</v>
      </c>
      <c r="X59" s="5">
        <f t="shared" si="73"/>
        <v>4533</v>
      </c>
      <c r="Y59" s="5">
        <f t="shared" si="73"/>
        <v>4178</v>
      </c>
      <c r="Z59" s="5">
        <f t="shared" si="73"/>
        <v>4438</v>
      </c>
      <c r="AA59" s="5">
        <f t="shared" si="73"/>
        <v>3696</v>
      </c>
      <c r="AB59" s="5">
        <f t="shared" si="73"/>
        <v>4578</v>
      </c>
      <c r="AC59" s="5">
        <f t="shared" si="73"/>
        <v>4997</v>
      </c>
      <c r="AD59" s="5">
        <f t="shared" si="73"/>
        <v>4179</v>
      </c>
      <c r="AE59" s="5">
        <f t="shared" ref="AE59" si="74">AE56+AE49+AE50-AE57-AE58</f>
        <v>3153</v>
      </c>
      <c r="AF59" s="5"/>
      <c r="AG59" s="5"/>
      <c r="AH59" s="5"/>
      <c r="AS59" s="5">
        <f t="shared" ref="AS59" si="75">+AS51*0.25</f>
        <v>20487.650000000001</v>
      </c>
      <c r="AT59" s="4">
        <f t="shared" si="57"/>
        <v>17660</v>
      </c>
      <c r="AU59" s="4">
        <f t="shared" si="58"/>
        <v>17450</v>
      </c>
      <c r="AV59" s="4">
        <f>+AV56+AV44</f>
        <v>22738.94284779267</v>
      </c>
      <c r="AW59" s="4">
        <f t="shared" ref="AW59:BF59" si="76">+AW56+AW44</f>
        <v>32828.524717639717</v>
      </c>
      <c r="AX59" s="4">
        <f t="shared" si="76"/>
        <v>40312.748952280919</v>
      </c>
      <c r="AY59" s="4">
        <f t="shared" si="76"/>
        <v>53473.842020351432</v>
      </c>
      <c r="AZ59" s="4">
        <f t="shared" si="76"/>
        <v>67447.550990013508</v>
      </c>
      <c r="BA59" s="4">
        <f t="shared" si="76"/>
        <v>80877.641455269622</v>
      </c>
      <c r="BB59" s="4">
        <f t="shared" si="76"/>
        <v>87547.424732429979</v>
      </c>
      <c r="BC59" s="4">
        <f t="shared" si="76"/>
        <v>94741.227579631843</v>
      </c>
      <c r="BD59" s="4">
        <f t="shared" si="76"/>
        <v>102499.91105606998</v>
      </c>
      <c r="BE59" s="4">
        <f t="shared" si="76"/>
        <v>110867.53066310482</v>
      </c>
      <c r="BF59" s="4">
        <f t="shared" si="76"/>
        <v>119891.5877342224</v>
      </c>
    </row>
    <row r="60" spans="2:58" s="4" customFormat="1" x14ac:dyDescent="0.15">
      <c r="B60" s="4" t="s">
        <v>46</v>
      </c>
      <c r="C60" s="5"/>
      <c r="D60" s="5"/>
      <c r="E60" s="5"/>
      <c r="F60" s="5"/>
      <c r="G60" s="5">
        <v>340</v>
      </c>
      <c r="H60" s="5">
        <v>324</v>
      </c>
      <c r="I60" s="5">
        <v>334</v>
      </c>
      <c r="J60" s="5">
        <v>345</v>
      </c>
      <c r="K60" s="5">
        <v>324</v>
      </c>
      <c r="L60" s="5">
        <v>279</v>
      </c>
      <c r="M60" s="5">
        <v>366</v>
      </c>
      <c r="N60" s="5">
        <v>522</v>
      </c>
      <c r="O60" s="5">
        <v>666</v>
      </c>
      <c r="P60" s="5">
        <v>576</v>
      </c>
      <c r="Q60" s="5">
        <v>611</v>
      </c>
      <c r="R60" s="5">
        <v>740</v>
      </c>
      <c r="S60" s="5">
        <v>865</v>
      </c>
      <c r="T60" s="5">
        <v>667</v>
      </c>
      <c r="U60" s="5">
        <v>733</v>
      </c>
      <c r="V60" s="5">
        <v>810</v>
      </c>
      <c r="W60" s="5">
        <v>771</v>
      </c>
      <c r="X60" s="5">
        <v>943</v>
      </c>
      <c r="Y60" s="5">
        <v>1161</v>
      </c>
      <c r="Z60" s="5">
        <v>1094</v>
      </c>
      <c r="AA60" s="5">
        <v>1151</v>
      </c>
      <c r="AB60" s="5">
        <v>1074</v>
      </c>
      <c r="AC60" s="5">
        <v>1039</v>
      </c>
      <c r="AD60" s="5">
        <v>1276</v>
      </c>
      <c r="AE60" s="5">
        <v>1409</v>
      </c>
      <c r="AF60" s="5"/>
      <c r="AG60" s="5"/>
      <c r="AH60" s="5"/>
      <c r="AS60" s="4">
        <f t="shared" si="37"/>
        <v>3075</v>
      </c>
      <c r="AT60" s="4">
        <f>SUM(W60:Z60)</f>
        <v>3969</v>
      </c>
      <c r="AU60" s="4">
        <f t="shared" ref="AU60:AU61" si="77">SUM(AA60:AD60)</f>
        <v>4540</v>
      </c>
      <c r="AV60" s="4">
        <f>AU60*1.04</f>
        <v>4721.6000000000004</v>
      </c>
      <c r="AW60" s="4">
        <f t="shared" ref="AW60:BA60" si="78">AV60*1.04</f>
        <v>4910.4640000000009</v>
      </c>
      <c r="AX60" s="4">
        <f t="shared" si="78"/>
        <v>5106.8825600000009</v>
      </c>
      <c r="AY60" s="4">
        <f t="shared" si="78"/>
        <v>5311.1578624000012</v>
      </c>
      <c r="AZ60" s="4">
        <f t="shared" si="78"/>
        <v>5523.6041768960013</v>
      </c>
      <c r="BA60" s="4">
        <f t="shared" si="78"/>
        <v>5744.5483439718419</v>
      </c>
      <c r="BB60" s="4">
        <f t="shared" ref="BB60:BF60" si="79">BA60*1.04</f>
        <v>5974.3302777307154</v>
      </c>
      <c r="BC60" s="4">
        <f t="shared" si="79"/>
        <v>6213.3034888399443</v>
      </c>
      <c r="BD60" s="4">
        <f t="shared" si="79"/>
        <v>6461.8356283935427</v>
      </c>
      <c r="BE60" s="4">
        <f t="shared" si="79"/>
        <v>6720.3090535292849</v>
      </c>
      <c r="BF60" s="4">
        <f t="shared" si="79"/>
        <v>6989.1214156704564</v>
      </c>
    </row>
    <row r="61" spans="2:58" s="4" customFormat="1" x14ac:dyDescent="0.15">
      <c r="B61" s="4" t="s">
        <v>47</v>
      </c>
      <c r="C61" s="5"/>
      <c r="D61" s="5"/>
      <c r="E61" s="5"/>
      <c r="F61" s="5"/>
      <c r="G61" s="5">
        <v>704</v>
      </c>
      <c r="H61" s="5">
        <v>647</v>
      </c>
      <c r="I61" s="5">
        <v>596</v>
      </c>
      <c r="J61" s="5">
        <v>699</v>
      </c>
      <c r="K61" s="5">
        <v>627</v>
      </c>
      <c r="L61" s="5">
        <v>661</v>
      </c>
      <c r="M61" s="5">
        <v>888</v>
      </c>
      <c r="N61" s="5">
        <v>969</v>
      </c>
      <c r="O61" s="5">
        <v>1056</v>
      </c>
      <c r="P61" s="5">
        <v>973</v>
      </c>
      <c r="Q61" s="5">
        <v>994</v>
      </c>
      <c r="R61" s="5">
        <v>1494</v>
      </c>
      <c r="S61" s="5">
        <v>992</v>
      </c>
      <c r="T61" s="5">
        <v>961</v>
      </c>
      <c r="U61" s="5">
        <v>961</v>
      </c>
      <c r="V61" s="5">
        <f>+R61*1.2</f>
        <v>1792.8</v>
      </c>
      <c r="W61" s="5">
        <v>1076</v>
      </c>
      <c r="X61" s="5">
        <v>1191</v>
      </c>
      <c r="Y61" s="5">
        <v>1253</v>
      </c>
      <c r="Z61" s="5">
        <v>1280</v>
      </c>
      <c r="AA61" s="5">
        <v>1374</v>
      </c>
      <c r="AB61" s="5">
        <v>1277</v>
      </c>
      <c r="AC61" s="5">
        <v>1186</v>
      </c>
      <c r="AD61" s="5">
        <v>1313</v>
      </c>
      <c r="AE61" s="5">
        <v>1251</v>
      </c>
      <c r="AF61" s="5"/>
      <c r="AG61" s="5"/>
      <c r="AH61" s="5"/>
      <c r="AS61" s="4">
        <f t="shared" si="37"/>
        <v>4706.8</v>
      </c>
      <c r="AT61" s="4">
        <f t="shared" si="57"/>
        <v>4800</v>
      </c>
      <c r="AU61" s="4">
        <f t="shared" si="77"/>
        <v>5150</v>
      </c>
      <c r="AV61" s="4">
        <f>AU61*1.04</f>
        <v>5356</v>
      </c>
      <c r="AW61" s="4">
        <f t="shared" ref="AW61:BA61" si="80">AV61*1.04</f>
        <v>5570.24</v>
      </c>
      <c r="AX61" s="4">
        <f t="shared" si="80"/>
        <v>5793.0496000000003</v>
      </c>
      <c r="AY61" s="4">
        <f t="shared" si="80"/>
        <v>6024.7715840000001</v>
      </c>
      <c r="AZ61" s="4">
        <f t="shared" si="80"/>
        <v>6265.7624473599999</v>
      </c>
      <c r="BA61" s="4">
        <f t="shared" si="80"/>
        <v>6516.3929452543998</v>
      </c>
      <c r="BB61" s="4">
        <f t="shared" ref="BB61:BF61" si="81">BA61*1.04</f>
        <v>6777.0486630645764</v>
      </c>
      <c r="BC61" s="4">
        <f t="shared" si="81"/>
        <v>7048.1306095871596</v>
      </c>
      <c r="BD61" s="4">
        <f t="shared" si="81"/>
        <v>7330.0558339706458</v>
      </c>
      <c r="BE61" s="4">
        <f t="shared" si="81"/>
        <v>7623.2580673294715</v>
      </c>
      <c r="BF61" s="4">
        <f t="shared" si="81"/>
        <v>7928.1883900226503</v>
      </c>
    </row>
    <row r="62" spans="2:58" s="4" customFormat="1" x14ac:dyDescent="0.15">
      <c r="B62" s="4" t="s">
        <v>48</v>
      </c>
      <c r="C62" s="5"/>
      <c r="D62" s="5"/>
      <c r="E62" s="5"/>
      <c r="F62" s="5"/>
      <c r="G62" s="5">
        <f t="shared" ref="G62" si="82">G60+G61</f>
        <v>1044</v>
      </c>
      <c r="H62" s="5">
        <f t="shared" ref="H62:I62" si="83">H60+H61</f>
        <v>971</v>
      </c>
      <c r="I62" s="5">
        <f t="shared" si="83"/>
        <v>930</v>
      </c>
      <c r="J62" s="5">
        <f t="shared" ref="J62:L62" si="84">J60+J61</f>
        <v>1044</v>
      </c>
      <c r="K62" s="5">
        <f t="shared" si="84"/>
        <v>951</v>
      </c>
      <c r="L62" s="5">
        <f t="shared" si="84"/>
        <v>940</v>
      </c>
      <c r="M62" s="5">
        <f t="shared" ref="M62:N62" si="85">M60+M61</f>
        <v>1254</v>
      </c>
      <c r="N62" s="5">
        <f t="shared" si="85"/>
        <v>1491</v>
      </c>
      <c r="O62" s="5">
        <f t="shared" ref="O62:R62" si="86">O60+O61</f>
        <v>1722</v>
      </c>
      <c r="P62" s="5">
        <f t="shared" si="86"/>
        <v>1549</v>
      </c>
      <c r="Q62" s="5">
        <f t="shared" si="86"/>
        <v>1605</v>
      </c>
      <c r="R62" s="5">
        <f t="shared" si="86"/>
        <v>2234</v>
      </c>
      <c r="S62" s="5">
        <f>S60+S61</f>
        <v>1857</v>
      </c>
      <c r="T62" s="5">
        <f>T60+T61</f>
        <v>1628</v>
      </c>
      <c r="U62" s="5">
        <f>U60+U61</f>
        <v>1694</v>
      </c>
      <c r="V62" s="5">
        <f t="shared" ref="V62:AE62" si="87">V60+V61</f>
        <v>2602.8000000000002</v>
      </c>
      <c r="W62" s="5">
        <f>W60+W61</f>
        <v>1847</v>
      </c>
      <c r="X62" s="5">
        <f t="shared" si="87"/>
        <v>2134</v>
      </c>
      <c r="Y62" s="5">
        <f t="shared" si="87"/>
        <v>2414</v>
      </c>
      <c r="Z62" s="5">
        <f t="shared" si="87"/>
        <v>2374</v>
      </c>
      <c r="AA62" s="5">
        <f t="shared" si="87"/>
        <v>2525</v>
      </c>
      <c r="AB62" s="5">
        <f t="shared" si="87"/>
        <v>2351</v>
      </c>
      <c r="AC62" s="5">
        <f t="shared" si="87"/>
        <v>2225</v>
      </c>
      <c r="AD62" s="5">
        <f t="shared" si="87"/>
        <v>2589</v>
      </c>
      <c r="AE62" s="5">
        <f t="shared" si="87"/>
        <v>2660</v>
      </c>
      <c r="AF62" s="5"/>
      <c r="AG62" s="5"/>
      <c r="AH62" s="5"/>
      <c r="AS62" s="4">
        <f t="shared" ref="AS62" si="88">+AS60+AS61</f>
        <v>7781.8</v>
      </c>
      <c r="AT62" s="4">
        <f>+AT60+AT61</f>
        <v>8769</v>
      </c>
      <c r="AU62" s="4">
        <f t="shared" ref="AU62:AY62" si="89">+AU60+AU61</f>
        <v>9690</v>
      </c>
      <c r="AV62" s="4">
        <f>+AV60+AV61</f>
        <v>10077.6</v>
      </c>
      <c r="AW62" s="4">
        <f t="shared" si="89"/>
        <v>10480.704000000002</v>
      </c>
      <c r="AX62" s="4">
        <f t="shared" si="89"/>
        <v>10899.93216</v>
      </c>
      <c r="AY62" s="4">
        <f t="shared" si="89"/>
        <v>11335.929446400001</v>
      </c>
      <c r="AZ62" s="4">
        <f t="shared" ref="AZ62" si="90">+AZ60+AZ61</f>
        <v>11789.366624256001</v>
      </c>
      <c r="BA62" s="4">
        <f t="shared" ref="BA62:BF62" si="91">+BA60+BA61</f>
        <v>12260.941289226241</v>
      </c>
      <c r="BB62" s="4">
        <f t="shared" si="91"/>
        <v>12751.378940795292</v>
      </c>
      <c r="BC62" s="4">
        <f t="shared" si="91"/>
        <v>13261.434098427104</v>
      </c>
      <c r="BD62" s="4">
        <f t="shared" si="91"/>
        <v>13791.891462364189</v>
      </c>
      <c r="BE62" s="4">
        <f t="shared" si="91"/>
        <v>14343.567120858756</v>
      </c>
      <c r="BF62" s="4">
        <f t="shared" si="91"/>
        <v>14917.309805693107</v>
      </c>
    </row>
    <row r="63" spans="2:58" s="4" customFormat="1" x14ac:dyDescent="0.15">
      <c r="B63" s="4" t="s">
        <v>49</v>
      </c>
      <c r="C63" s="5"/>
      <c r="D63" s="5"/>
      <c r="E63" s="5"/>
      <c r="F63" s="5"/>
      <c r="G63" s="5">
        <f t="shared" ref="G63" si="92">G59-G62</f>
        <v>-478</v>
      </c>
      <c r="H63" s="5">
        <f t="shared" ref="H63:I63" si="93">H59-H62</f>
        <v>-50</v>
      </c>
      <c r="I63" s="5">
        <f t="shared" si="93"/>
        <v>261</v>
      </c>
      <c r="J63" s="5">
        <f t="shared" ref="J63:L63" si="94">J59-J62</f>
        <v>347</v>
      </c>
      <c r="K63" s="5">
        <f t="shared" si="94"/>
        <v>283</v>
      </c>
      <c r="L63" s="5">
        <f t="shared" si="94"/>
        <v>327</v>
      </c>
      <c r="M63" s="5">
        <f t="shared" ref="M63:N63" si="95">M59-M62</f>
        <v>809</v>
      </c>
      <c r="N63" s="5">
        <f t="shared" si="95"/>
        <v>575</v>
      </c>
      <c r="O63" s="5">
        <f t="shared" ref="O63:R63" si="96">O59-O62</f>
        <v>493</v>
      </c>
      <c r="P63" s="5">
        <f t="shared" si="96"/>
        <v>1335</v>
      </c>
      <c r="Q63" s="5">
        <f t="shared" si="96"/>
        <v>2055</v>
      </c>
      <c r="R63" s="5">
        <f t="shared" si="96"/>
        <v>2613</v>
      </c>
      <c r="S63" s="5">
        <f>S59-S62</f>
        <v>3603</v>
      </c>
      <c r="T63" s="5">
        <f>T59-T62</f>
        <v>2605</v>
      </c>
      <c r="U63" s="5">
        <f>U59-U62</f>
        <v>3688</v>
      </c>
      <c r="V63" s="5">
        <f t="shared" ref="V63:AE63" si="97">V59-V62</f>
        <v>3662.7999999999984</v>
      </c>
      <c r="W63" s="5">
        <f>W59-W62</f>
        <v>2664</v>
      </c>
      <c r="X63" s="5">
        <f t="shared" si="97"/>
        <v>2399</v>
      </c>
      <c r="Y63" s="5">
        <f t="shared" si="97"/>
        <v>1764</v>
      </c>
      <c r="Z63" s="5">
        <f t="shared" si="97"/>
        <v>2064</v>
      </c>
      <c r="AA63" s="5">
        <f t="shared" si="97"/>
        <v>1171</v>
      </c>
      <c r="AB63" s="5">
        <f t="shared" si="97"/>
        <v>2227</v>
      </c>
      <c r="AC63" s="5">
        <f t="shared" si="97"/>
        <v>2772</v>
      </c>
      <c r="AD63" s="5">
        <f t="shared" si="97"/>
        <v>1590</v>
      </c>
      <c r="AE63" s="5">
        <f t="shared" si="97"/>
        <v>493</v>
      </c>
      <c r="AF63" s="5"/>
      <c r="AG63" s="5"/>
      <c r="AH63" s="5"/>
      <c r="AS63" s="5">
        <f t="shared" ref="AS63:AT63" si="98">AS59-AS62</f>
        <v>12705.850000000002</v>
      </c>
      <c r="AT63" s="5">
        <f t="shared" si="98"/>
        <v>8891</v>
      </c>
      <c r="AU63" s="5">
        <f t="shared" ref="AU63:BA63" si="99">AU59-AU62</f>
        <v>7760</v>
      </c>
      <c r="AV63" s="5">
        <f>AV59-AV62</f>
        <v>12661.34284779267</v>
      </c>
      <c r="AW63" s="5">
        <f t="shared" si="99"/>
        <v>22347.820717639715</v>
      </c>
      <c r="AX63" s="5">
        <f t="shared" si="99"/>
        <v>29412.816792280919</v>
      </c>
      <c r="AY63" s="5">
        <f t="shared" si="99"/>
        <v>42137.912573951427</v>
      </c>
      <c r="AZ63" s="5">
        <f t="shared" si="99"/>
        <v>55658.184365757508</v>
      </c>
      <c r="BA63" s="5">
        <f t="shared" si="99"/>
        <v>68616.700166043389</v>
      </c>
      <c r="BB63" s="5">
        <f t="shared" ref="BB63:BF63" si="100">BB59-BB62</f>
        <v>74796.045791634693</v>
      </c>
      <c r="BC63" s="5">
        <f t="shared" si="100"/>
        <v>81479.793481204746</v>
      </c>
      <c r="BD63" s="5">
        <f t="shared" si="100"/>
        <v>88708.019593705787</v>
      </c>
      <c r="BE63" s="5">
        <f t="shared" si="100"/>
        <v>96523.963542246056</v>
      </c>
      <c r="BF63" s="5">
        <f t="shared" si="100"/>
        <v>104974.27792852929</v>
      </c>
    </row>
    <row r="64" spans="2:58" s="4" customFormat="1" x14ac:dyDescent="0.15">
      <c r="B64" s="4" t="s">
        <v>50</v>
      </c>
      <c r="C64" s="5"/>
      <c r="D64" s="5"/>
      <c r="E64" s="5"/>
      <c r="F64" s="5"/>
      <c r="G64" s="5">
        <f>9-158+26</f>
        <v>-123</v>
      </c>
      <c r="H64" s="5">
        <f>10-172-41</f>
        <v>-203</v>
      </c>
      <c r="I64" s="5">
        <f>15-185+85</f>
        <v>-85</v>
      </c>
      <c r="J64" s="5">
        <f>10-172-25</f>
        <v>-187</v>
      </c>
      <c r="K64" s="5">
        <f>10-169-54</f>
        <v>-213</v>
      </c>
      <c r="L64" s="5">
        <f>8-170-15</f>
        <v>-177</v>
      </c>
      <c r="M64" s="5">
        <f>6-163-97</f>
        <v>-254</v>
      </c>
      <c r="N64" s="5">
        <f>6-246+44</f>
        <v>-196</v>
      </c>
      <c r="O64" s="5">
        <f>10-99+28</f>
        <v>-61</v>
      </c>
      <c r="P64" s="5">
        <f>11-75+45</f>
        <v>-19</v>
      </c>
      <c r="Q64" s="5">
        <f>10-126-6</f>
        <v>-122</v>
      </c>
      <c r="R64" s="5">
        <f>25-71+68</f>
        <v>22</v>
      </c>
      <c r="S64" s="5">
        <f>28-61+56</f>
        <v>23</v>
      </c>
      <c r="T64" s="5">
        <f>-26-44+28</f>
        <v>-42</v>
      </c>
      <c r="U64" s="5">
        <f>86-53-85</f>
        <v>-52</v>
      </c>
      <c r="V64" s="5">
        <f>157-33-42</f>
        <v>82</v>
      </c>
      <c r="W64" s="5">
        <f>213-29-48</f>
        <v>136</v>
      </c>
      <c r="X64" s="5">
        <f>238-28+328</f>
        <v>538</v>
      </c>
      <c r="Y64" s="5">
        <f>282-38+37</f>
        <v>281</v>
      </c>
      <c r="Z64" s="5">
        <f>333-61-145</f>
        <v>127</v>
      </c>
      <c r="AA64" s="5">
        <f>350-76+108</f>
        <v>382</v>
      </c>
      <c r="AB64" s="5">
        <f>348-86+20</f>
        <v>282</v>
      </c>
      <c r="AC64" s="5">
        <f>429-92-270</f>
        <v>67</v>
      </c>
      <c r="AD64" s="5">
        <f>442-96+595</f>
        <v>941</v>
      </c>
      <c r="AE64" s="5">
        <f>400-91-119</f>
        <v>190</v>
      </c>
      <c r="AF64" s="5"/>
      <c r="AG64" s="5"/>
      <c r="AH64" s="5"/>
      <c r="AT64" s="4">
        <f t="shared" si="57"/>
        <v>1082</v>
      </c>
      <c r="AU64" s="4">
        <f t="shared" ref="AU64" si="101">SUM(AA64:AD64)</f>
        <v>1672</v>
      </c>
      <c r="AV64" s="4">
        <f t="shared" ref="AV64:BF64" si="102">AU103*$BH$81</f>
        <v>3145</v>
      </c>
      <c r="AW64" s="4">
        <f t="shared" si="102"/>
        <v>4488.5391420623773</v>
      </c>
      <c r="AX64" s="4">
        <f t="shared" si="102"/>
        <v>6769.629730137055</v>
      </c>
      <c r="AY64" s="4">
        <f t="shared" si="102"/>
        <v>9845.1376845425839</v>
      </c>
      <c r="AZ64" s="4">
        <f t="shared" si="102"/>
        <v>14263.696956514574</v>
      </c>
      <c r="BA64" s="4">
        <f t="shared" si="102"/>
        <v>20207.056868907701</v>
      </c>
      <c r="BB64" s="4">
        <f t="shared" si="102"/>
        <v>27757.076216878544</v>
      </c>
      <c r="BC64" s="4">
        <f t="shared" si="102"/>
        <v>36474.091587602175</v>
      </c>
      <c r="BD64" s="4">
        <f t="shared" si="102"/>
        <v>46500.171818450763</v>
      </c>
      <c r="BE64" s="4">
        <f t="shared" si="102"/>
        <v>57992.868088484072</v>
      </c>
      <c r="BF64" s="4">
        <f t="shared" si="102"/>
        <v>71126.798777096134</v>
      </c>
    </row>
    <row r="65" spans="2:109" s="4" customFormat="1" x14ac:dyDescent="0.15">
      <c r="B65" s="4" t="s">
        <v>51</v>
      </c>
      <c r="C65" s="5"/>
      <c r="D65" s="5"/>
      <c r="E65" s="5"/>
      <c r="F65" s="5"/>
      <c r="G65" s="5">
        <f t="shared" ref="G65:N65" si="103">G63+G64</f>
        <v>-601</v>
      </c>
      <c r="H65" s="5">
        <f t="shared" si="103"/>
        <v>-253</v>
      </c>
      <c r="I65" s="5">
        <f t="shared" si="103"/>
        <v>176</v>
      </c>
      <c r="J65" s="5">
        <f t="shared" si="103"/>
        <v>160</v>
      </c>
      <c r="K65" s="5">
        <f t="shared" si="103"/>
        <v>70</v>
      </c>
      <c r="L65" s="5">
        <f t="shared" si="103"/>
        <v>150</v>
      </c>
      <c r="M65" s="5">
        <f t="shared" si="103"/>
        <v>555</v>
      </c>
      <c r="N65" s="5">
        <f t="shared" si="103"/>
        <v>379</v>
      </c>
      <c r="O65" s="5">
        <f t="shared" ref="O65:R65" si="104">O63+O64</f>
        <v>432</v>
      </c>
      <c r="P65" s="5">
        <f t="shared" si="104"/>
        <v>1316</v>
      </c>
      <c r="Q65" s="5">
        <f t="shared" si="104"/>
        <v>1933</v>
      </c>
      <c r="R65" s="5">
        <f t="shared" si="104"/>
        <v>2635</v>
      </c>
      <c r="S65" s="5">
        <f>S63+S64</f>
        <v>3626</v>
      </c>
      <c r="T65" s="5">
        <f>T63+T64</f>
        <v>2563</v>
      </c>
      <c r="U65" s="5">
        <f>U63+U64</f>
        <v>3636</v>
      </c>
      <c r="V65" s="5">
        <f t="shared" ref="V65:AE65" si="105">V63+V64</f>
        <v>3744.7999999999984</v>
      </c>
      <c r="W65" s="5">
        <f t="shared" si="105"/>
        <v>2800</v>
      </c>
      <c r="X65" s="5">
        <f t="shared" si="105"/>
        <v>2937</v>
      </c>
      <c r="Y65" s="5">
        <f t="shared" si="105"/>
        <v>2045</v>
      </c>
      <c r="Z65" s="5">
        <f t="shared" si="105"/>
        <v>2191</v>
      </c>
      <c r="AA65" s="5">
        <f t="shared" si="105"/>
        <v>1553</v>
      </c>
      <c r="AB65" s="5">
        <f t="shared" si="105"/>
        <v>2509</v>
      </c>
      <c r="AC65" s="5">
        <f t="shared" si="105"/>
        <v>2839</v>
      </c>
      <c r="AD65" s="5">
        <f t="shared" si="105"/>
        <v>2531</v>
      </c>
      <c r="AE65" s="5">
        <f t="shared" si="105"/>
        <v>683</v>
      </c>
      <c r="AF65" s="5"/>
      <c r="AG65" s="5"/>
      <c r="AH65" s="5"/>
      <c r="AT65" s="4">
        <f>+AT63+AT64</f>
        <v>9973</v>
      </c>
      <c r="AU65" s="4">
        <f t="shared" ref="AU65:BF65" si="106">+AU63+AU64</f>
        <v>9432</v>
      </c>
      <c r="AV65" s="4">
        <f t="shared" si="106"/>
        <v>15806.34284779267</v>
      </c>
      <c r="AW65" s="4">
        <f t="shared" si="106"/>
        <v>26836.359859702094</v>
      </c>
      <c r="AX65" s="4">
        <f t="shared" si="106"/>
        <v>36182.446522417973</v>
      </c>
      <c r="AY65" s="4">
        <f t="shared" si="106"/>
        <v>51983.050258494011</v>
      </c>
      <c r="AZ65" s="4">
        <f t="shared" si="106"/>
        <v>69921.881322272078</v>
      </c>
      <c r="BA65" s="4">
        <f t="shared" si="106"/>
        <v>88823.757034951093</v>
      </c>
      <c r="BB65" s="4">
        <f t="shared" si="106"/>
        <v>102553.12200851324</v>
      </c>
      <c r="BC65" s="4">
        <f t="shared" si="106"/>
        <v>117953.88506880692</v>
      </c>
      <c r="BD65" s="4">
        <f t="shared" si="106"/>
        <v>135208.19141215656</v>
      </c>
      <c r="BE65" s="4">
        <f t="shared" si="106"/>
        <v>154516.83163073013</v>
      </c>
      <c r="BF65" s="4">
        <f t="shared" si="106"/>
        <v>176101.07670562543</v>
      </c>
    </row>
    <row r="66" spans="2:109" s="4" customFormat="1" x14ac:dyDescent="0.15">
      <c r="B66" s="4" t="s">
        <v>52</v>
      </c>
      <c r="C66" s="5"/>
      <c r="D66" s="5"/>
      <c r="E66" s="5"/>
      <c r="F66" s="5"/>
      <c r="G66" s="5">
        <f>23+34</f>
        <v>57</v>
      </c>
      <c r="H66" s="5">
        <f>19+19</f>
        <v>38</v>
      </c>
      <c r="I66" s="5">
        <f>26+7</f>
        <v>33</v>
      </c>
      <c r="J66" s="5">
        <f>42+27</f>
        <v>69</v>
      </c>
      <c r="K66" s="5">
        <f>2+52</f>
        <v>54</v>
      </c>
      <c r="L66" s="5">
        <f>21+25</f>
        <v>46</v>
      </c>
      <c r="M66" s="5">
        <f>186+38+31</f>
        <v>255</v>
      </c>
      <c r="N66" s="8">
        <f>83+26</f>
        <v>109</v>
      </c>
      <c r="O66" s="5">
        <f>69+26</f>
        <v>95</v>
      </c>
      <c r="P66" s="5">
        <f>115+36</f>
        <v>151</v>
      </c>
      <c r="Q66" s="5">
        <f>223+41</f>
        <v>264</v>
      </c>
      <c r="R66" s="5">
        <f>292+22</f>
        <v>314</v>
      </c>
      <c r="S66" s="5">
        <f>346-38</f>
        <v>308</v>
      </c>
      <c r="T66" s="5">
        <f>205+10</f>
        <v>215</v>
      </c>
      <c r="U66" s="5">
        <v>305</v>
      </c>
      <c r="V66" s="5">
        <v>276</v>
      </c>
      <c r="W66" s="5">
        <f>261+26</f>
        <v>287</v>
      </c>
      <c r="X66" s="5">
        <f>323-89</f>
        <v>234</v>
      </c>
      <c r="Y66" s="5">
        <f>167+25</f>
        <v>192</v>
      </c>
      <c r="Z66" s="5">
        <v>15</v>
      </c>
      <c r="AA66" s="5">
        <f>409+15</f>
        <v>424</v>
      </c>
      <c r="AB66" s="5">
        <f>393+16</f>
        <v>409</v>
      </c>
      <c r="AC66" s="5">
        <f>601+16</f>
        <v>617</v>
      </c>
      <c r="AD66" s="5">
        <f>381+15</f>
        <v>396</v>
      </c>
      <c r="AE66" s="5">
        <f>169+11</f>
        <v>180</v>
      </c>
      <c r="AF66" s="5"/>
      <c r="AG66" s="5"/>
      <c r="AH66" s="5"/>
      <c r="AT66" s="4">
        <f t="shared" si="57"/>
        <v>728</v>
      </c>
      <c r="AU66" s="4">
        <f t="shared" ref="AU66" si="107">SUM(AA66:AD66)</f>
        <v>1846</v>
      </c>
      <c r="AV66" s="4">
        <f t="shared" ref="AV66:BA66" si="108">+AV65*0.15</f>
        <v>2370.9514271689004</v>
      </c>
      <c r="AW66" s="4">
        <f t="shared" si="108"/>
        <v>4025.4539789553137</v>
      </c>
      <c r="AX66" s="4">
        <f t="shared" si="108"/>
        <v>5427.3669783626956</v>
      </c>
      <c r="AY66" s="4">
        <f t="shared" si="108"/>
        <v>7797.4575387741015</v>
      </c>
      <c r="AZ66" s="4">
        <f t="shared" si="108"/>
        <v>10488.282198340812</v>
      </c>
      <c r="BA66" s="4">
        <f t="shared" si="108"/>
        <v>13323.563555242663</v>
      </c>
      <c r="BB66" s="4">
        <f t="shared" ref="BB66:BF66" si="109">+BB65*0.15</f>
        <v>15382.968301276986</v>
      </c>
      <c r="BC66" s="4">
        <f t="shared" si="109"/>
        <v>17693.082760321038</v>
      </c>
      <c r="BD66" s="4">
        <f t="shared" si="109"/>
        <v>20281.228711823485</v>
      </c>
      <c r="BE66" s="4">
        <f t="shared" si="109"/>
        <v>23177.52474460952</v>
      </c>
      <c r="BF66" s="4">
        <f t="shared" si="109"/>
        <v>26415.161505843815</v>
      </c>
    </row>
    <row r="67" spans="2:109" s="4" customFormat="1" x14ac:dyDescent="0.15">
      <c r="B67" s="4" t="s">
        <v>53</v>
      </c>
      <c r="C67" s="5"/>
      <c r="D67" s="5"/>
      <c r="E67" s="5"/>
      <c r="F67" s="5"/>
      <c r="G67" s="5">
        <f t="shared" ref="G67:N67" si="110">G65-G66</f>
        <v>-658</v>
      </c>
      <c r="H67" s="5">
        <f t="shared" si="110"/>
        <v>-291</v>
      </c>
      <c r="I67" s="5">
        <f t="shared" si="110"/>
        <v>143</v>
      </c>
      <c r="J67" s="5">
        <f t="shared" si="110"/>
        <v>91</v>
      </c>
      <c r="K67" s="5">
        <f t="shared" si="110"/>
        <v>16</v>
      </c>
      <c r="L67" s="5">
        <f t="shared" si="110"/>
        <v>104</v>
      </c>
      <c r="M67" s="5">
        <f t="shared" si="110"/>
        <v>300</v>
      </c>
      <c r="N67" s="5">
        <f t="shared" si="110"/>
        <v>270</v>
      </c>
      <c r="O67" s="5">
        <f t="shared" ref="O67:R67" si="111">O65-O66</f>
        <v>337</v>
      </c>
      <c r="P67" s="5">
        <f t="shared" si="111"/>
        <v>1165</v>
      </c>
      <c r="Q67" s="5">
        <f t="shared" si="111"/>
        <v>1669</v>
      </c>
      <c r="R67" s="5">
        <f t="shared" si="111"/>
        <v>2321</v>
      </c>
      <c r="S67" s="5">
        <f>S65-S66</f>
        <v>3318</v>
      </c>
      <c r="T67" s="5">
        <f>T65-T66</f>
        <v>2348</v>
      </c>
      <c r="U67" s="5">
        <f>U65-U66</f>
        <v>3331</v>
      </c>
      <c r="V67" s="5">
        <f t="shared" ref="V67:AE67" si="112">V65-V66</f>
        <v>3468.7999999999984</v>
      </c>
      <c r="W67" s="5">
        <f t="shared" si="112"/>
        <v>2513</v>
      </c>
      <c r="X67" s="5">
        <f t="shared" si="112"/>
        <v>2703</v>
      </c>
      <c r="Y67" s="5">
        <f t="shared" si="112"/>
        <v>1853</v>
      </c>
      <c r="Z67" s="5">
        <f t="shared" si="112"/>
        <v>2176</v>
      </c>
      <c r="AA67" s="5">
        <f t="shared" si="112"/>
        <v>1129</v>
      </c>
      <c r="AB67" s="5">
        <f t="shared" si="112"/>
        <v>2100</v>
      </c>
      <c r="AC67" s="5">
        <f t="shared" si="112"/>
        <v>2222</v>
      </c>
      <c r="AD67" s="5">
        <f t="shared" si="112"/>
        <v>2135</v>
      </c>
      <c r="AE67" s="5">
        <f t="shared" si="112"/>
        <v>503</v>
      </c>
      <c r="AF67" s="5"/>
      <c r="AG67" s="5"/>
      <c r="AH67" s="5"/>
      <c r="AT67" s="4">
        <f>+AT65-AT66</f>
        <v>9245</v>
      </c>
      <c r="AU67" s="4">
        <f t="shared" ref="AU67" si="113">+AU65-AU66</f>
        <v>7586</v>
      </c>
      <c r="AV67" s="4">
        <f t="shared" ref="AV67:BA67" si="114">+AV65-AV66</f>
        <v>13435.39142062377</v>
      </c>
      <c r="AW67" s="4">
        <f t="shared" si="114"/>
        <v>22810.905880746781</v>
      </c>
      <c r="AX67" s="4">
        <f t="shared" si="114"/>
        <v>30755.079544055276</v>
      </c>
      <c r="AY67" s="4">
        <f t="shared" si="114"/>
        <v>44185.592719719913</v>
      </c>
      <c r="AZ67" s="4">
        <f t="shared" si="114"/>
        <v>59433.599123931264</v>
      </c>
      <c r="BA67" s="4">
        <f t="shared" si="114"/>
        <v>75500.193479708425</v>
      </c>
      <c r="BB67" s="4">
        <f t="shared" ref="BB67:BF67" si="115">+BB65-BB66</f>
        <v>87170.153707236255</v>
      </c>
      <c r="BC67" s="4">
        <f t="shared" si="115"/>
        <v>100260.80230848589</v>
      </c>
      <c r="BD67" s="4">
        <f t="shared" si="115"/>
        <v>114926.96270033308</v>
      </c>
      <c r="BE67" s="4">
        <f t="shared" si="115"/>
        <v>131339.30688612061</v>
      </c>
      <c r="BF67" s="4">
        <f t="shared" si="115"/>
        <v>149685.91519978162</v>
      </c>
      <c r="BG67" s="4">
        <f t="shared" ref="BG67:CL67" si="116">BF67*(1+$BH$78)</f>
        <v>148189.05604778382</v>
      </c>
      <c r="BH67" s="4">
        <f t="shared" si="116"/>
        <v>146707.16548730599</v>
      </c>
      <c r="BI67" s="4">
        <f t="shared" si="116"/>
        <v>145240.09383243293</v>
      </c>
      <c r="BJ67" s="4">
        <f t="shared" si="116"/>
        <v>143787.69289410859</v>
      </c>
      <c r="BK67" s="4">
        <f t="shared" si="116"/>
        <v>142349.81596516751</v>
      </c>
      <c r="BL67" s="4">
        <f t="shared" si="116"/>
        <v>140926.31780551584</v>
      </c>
      <c r="BM67" s="4">
        <f t="shared" si="116"/>
        <v>139517.05462746069</v>
      </c>
      <c r="BN67" s="4">
        <f t="shared" si="116"/>
        <v>138121.88408118609</v>
      </c>
      <c r="BO67" s="4">
        <f t="shared" si="116"/>
        <v>136740.66524037422</v>
      </c>
      <c r="BP67" s="4">
        <f t="shared" si="116"/>
        <v>135373.25858797049</v>
      </c>
      <c r="BQ67" s="4">
        <f t="shared" si="116"/>
        <v>134019.52600209077</v>
      </c>
      <c r="BR67" s="4">
        <f t="shared" si="116"/>
        <v>132679.33074206987</v>
      </c>
      <c r="BS67" s="4">
        <f t="shared" si="116"/>
        <v>131352.53743464916</v>
      </c>
      <c r="BT67" s="4">
        <f t="shared" si="116"/>
        <v>130039.01206030266</v>
      </c>
      <c r="BU67" s="4">
        <f t="shared" si="116"/>
        <v>128738.62193969963</v>
      </c>
      <c r="BV67" s="4">
        <f t="shared" si="116"/>
        <v>127451.23572030263</v>
      </c>
      <c r="BW67" s="4">
        <f t="shared" si="116"/>
        <v>126176.72336309961</v>
      </c>
      <c r="BX67" s="4">
        <f t="shared" si="116"/>
        <v>124914.95612946861</v>
      </c>
      <c r="BY67" s="4">
        <f t="shared" si="116"/>
        <v>123665.80656817392</v>
      </c>
      <c r="BZ67" s="4">
        <f t="shared" si="116"/>
        <v>122429.14850249219</v>
      </c>
      <c r="CA67" s="4">
        <f t="shared" si="116"/>
        <v>121204.85701746726</v>
      </c>
      <c r="CB67" s="4">
        <f t="shared" si="116"/>
        <v>119992.80844729258</v>
      </c>
      <c r="CC67" s="4">
        <f t="shared" si="116"/>
        <v>118792.88036281966</v>
      </c>
      <c r="CD67" s="4">
        <f t="shared" si="116"/>
        <v>117604.95155919147</v>
      </c>
      <c r="CE67" s="4">
        <f t="shared" si="116"/>
        <v>116428.90204359955</v>
      </c>
      <c r="CF67" s="4">
        <f t="shared" si="116"/>
        <v>115264.61302316355</v>
      </c>
      <c r="CG67" s="4">
        <f t="shared" si="116"/>
        <v>114111.96689293192</v>
      </c>
      <c r="CH67" s="4">
        <f t="shared" si="116"/>
        <v>112970.8472240026</v>
      </c>
      <c r="CI67" s="4">
        <f t="shared" si="116"/>
        <v>111841.13875176257</v>
      </c>
      <c r="CJ67" s="4">
        <f t="shared" si="116"/>
        <v>110722.72736424494</v>
      </c>
      <c r="CK67" s="4">
        <f t="shared" si="116"/>
        <v>109615.50009060249</v>
      </c>
      <c r="CL67" s="4">
        <f t="shared" si="116"/>
        <v>108519.34508969646</v>
      </c>
      <c r="CM67" s="4">
        <f t="shared" ref="CM67:DE67" si="117">CL67*(1+$BH$78)</f>
        <v>107434.15163879949</v>
      </c>
      <c r="CN67" s="4">
        <f t="shared" si="117"/>
        <v>106359.81012241149</v>
      </c>
      <c r="CO67" s="4">
        <f t="shared" si="117"/>
        <v>105296.21202118738</v>
      </c>
      <c r="CP67" s="4">
        <f t="shared" si="117"/>
        <v>104243.24990097551</v>
      </c>
      <c r="CQ67" s="4">
        <f t="shared" si="117"/>
        <v>103200.81740196576</v>
      </c>
      <c r="CR67" s="4">
        <f t="shared" si="117"/>
        <v>102168.8092279461</v>
      </c>
      <c r="CS67" s="4">
        <f t="shared" si="117"/>
        <v>101147.12113566663</v>
      </c>
      <c r="CT67" s="4">
        <f t="shared" si="117"/>
        <v>100135.64992430997</v>
      </c>
      <c r="CU67" s="4">
        <f t="shared" si="117"/>
        <v>99134.293425066862</v>
      </c>
      <c r="CV67" s="4">
        <f t="shared" si="117"/>
        <v>98142.950490816191</v>
      </c>
      <c r="CW67" s="4">
        <f t="shared" si="117"/>
        <v>97161.520985908035</v>
      </c>
      <c r="CX67" s="4">
        <f t="shared" si="117"/>
        <v>96189.905776048952</v>
      </c>
      <c r="CY67" s="4">
        <f t="shared" si="117"/>
        <v>95228.006718288467</v>
      </c>
      <c r="CZ67" s="4">
        <f t="shared" si="117"/>
        <v>94275.726651105579</v>
      </c>
      <c r="DA67" s="4">
        <f t="shared" si="117"/>
        <v>93332.969384594515</v>
      </c>
      <c r="DB67" s="4">
        <f t="shared" si="117"/>
        <v>92399.639690748576</v>
      </c>
      <c r="DC67" s="4">
        <f t="shared" si="117"/>
        <v>91475.643293841087</v>
      </c>
      <c r="DD67" s="4">
        <f t="shared" si="117"/>
        <v>90560.886860902669</v>
      </c>
      <c r="DE67" s="4">
        <f t="shared" si="117"/>
        <v>89655.277992293646</v>
      </c>
    </row>
    <row r="68" spans="2:109" x14ac:dyDescent="0.15">
      <c r="B68" s="1" t="s">
        <v>54</v>
      </c>
      <c r="C68" s="3"/>
      <c r="D68" s="3"/>
      <c r="E68" s="3"/>
      <c r="F68" s="3"/>
      <c r="G68" s="3">
        <f t="shared" ref="G68:K68" si="118">G67/G69</f>
        <v>-0.76069364161849706</v>
      </c>
      <c r="H68" s="3">
        <f t="shared" si="118"/>
        <v>-0.32881355932203388</v>
      </c>
      <c r="I68" s="3">
        <f t="shared" si="118"/>
        <v>0.15509761388286333</v>
      </c>
      <c r="J68" s="3">
        <f t="shared" si="118"/>
        <v>9.8913043478260868E-2</v>
      </c>
      <c r="K68" s="3">
        <f t="shared" si="118"/>
        <v>1.7112299465240642E-2</v>
      </c>
      <c r="L68" s="3">
        <f t="shared" ref="L68" si="119">L67/L69</f>
        <v>0.10048309178743961</v>
      </c>
      <c r="M68" s="3">
        <f t="shared" ref="M68:O68" si="120">M67/M69</f>
        <v>0.27149321266968324</v>
      </c>
      <c r="N68" s="3">
        <f t="shared" si="120"/>
        <v>0.2402135231316726</v>
      </c>
      <c r="O68" s="3">
        <f t="shared" si="120"/>
        <v>0.29744042365401591</v>
      </c>
      <c r="P68" s="3">
        <f t="shared" ref="P68" si="121">P67/P69</f>
        <v>1.0411081322609472</v>
      </c>
      <c r="Q68" s="3">
        <f t="shared" ref="Q68" si="122">Q67/Q69</f>
        <v>1.4861976847729297</v>
      </c>
      <c r="R68" s="3">
        <f t="shared" ref="R68" si="123">R67/R69</f>
        <v>2.044933920704846</v>
      </c>
      <c r="S68" s="3">
        <f t="shared" ref="S68:U68" si="124">S67/S69</f>
        <v>2.867761452031115</v>
      </c>
      <c r="T68" s="3">
        <f t="shared" si="124"/>
        <v>2.032900432900433</v>
      </c>
      <c r="U68" s="3">
        <f t="shared" si="124"/>
        <v>0.96049596309111884</v>
      </c>
      <c r="V68" s="3">
        <f t="shared" ref="V68:AE68" si="125">V67/V69</f>
        <v>0.99936617689426632</v>
      </c>
      <c r="W68" s="3">
        <f t="shared" si="125"/>
        <v>0.7246251441753172</v>
      </c>
      <c r="X68" s="3">
        <f t="shared" si="125"/>
        <v>0.77717078780908566</v>
      </c>
      <c r="Y68" s="3">
        <f t="shared" si="125"/>
        <v>0.53048955052963065</v>
      </c>
      <c r="Z68" s="3">
        <f t="shared" si="125"/>
        <v>0.62313860252004583</v>
      </c>
      <c r="AA68" s="3">
        <f t="shared" si="125"/>
        <v>0.32405281285878301</v>
      </c>
      <c r="AB68" s="3">
        <f t="shared" si="125"/>
        <v>0.60327492099971269</v>
      </c>
      <c r="AC68" s="3">
        <f t="shared" si="125"/>
        <v>0.63540177294824129</v>
      </c>
      <c r="AD68" s="3">
        <f t="shared" si="125"/>
        <v>0.60705146431617851</v>
      </c>
      <c r="AE68" s="3">
        <f t="shared" si="125"/>
        <v>0.14285714285714285</v>
      </c>
      <c r="AF68" s="3"/>
      <c r="AG68" s="3"/>
      <c r="AH68" s="3"/>
      <c r="AT68" s="20">
        <f>+AT67/AT69</f>
        <v>2.6545115210681214</v>
      </c>
      <c r="AU68" s="20">
        <f t="shared" ref="AU68:BA68" si="126">+AU67/AU69</f>
        <v>2.1706845983260603</v>
      </c>
      <c r="AV68" s="20">
        <f t="shared" si="126"/>
        <v>3.8444499379422763</v>
      </c>
      <c r="AW68" s="20">
        <f t="shared" si="126"/>
        <v>6.5271924689167413</v>
      </c>
      <c r="AX68" s="20">
        <f t="shared" si="126"/>
        <v>8.8003661332156167</v>
      </c>
      <c r="AY68" s="20">
        <f t="shared" si="126"/>
        <v>12.643420193066717</v>
      </c>
      <c r="AZ68" s="20">
        <f t="shared" si="126"/>
        <v>17.006538128315693</v>
      </c>
      <c r="BA68" s="20">
        <f t="shared" si="126"/>
        <v>21.603889685874076</v>
      </c>
      <c r="BB68" s="20">
        <f t="shared" ref="BB68:BF68" si="127">+BB67/BB69</f>
        <v>24.943172961509767</v>
      </c>
      <c r="BC68" s="20">
        <f t="shared" si="127"/>
        <v>28.688976982183529</v>
      </c>
      <c r="BD68" s="20">
        <f t="shared" si="127"/>
        <v>32.885603462431668</v>
      </c>
      <c r="BE68" s="20">
        <f t="shared" si="127"/>
        <v>37.581889086807529</v>
      </c>
      <c r="BF68" s="20">
        <f t="shared" si="127"/>
        <v>42.831651820525536</v>
      </c>
    </row>
    <row r="69" spans="2:109" s="4" customFormat="1" x14ac:dyDescent="0.15">
      <c r="B69" s="4" t="s">
        <v>1</v>
      </c>
      <c r="C69" s="5"/>
      <c r="D69" s="5"/>
      <c r="E69" s="5"/>
      <c r="F69" s="5"/>
      <c r="G69" s="5">
        <f>173*5</f>
        <v>865</v>
      </c>
      <c r="H69" s="5">
        <f>177*5</f>
        <v>885</v>
      </c>
      <c r="I69" s="5">
        <v>922</v>
      </c>
      <c r="J69" s="5">
        <f>184*5</f>
        <v>920</v>
      </c>
      <c r="K69" s="5">
        <f>187*5</f>
        <v>935</v>
      </c>
      <c r="L69" s="5">
        <f>207*5</f>
        <v>1035</v>
      </c>
      <c r="M69" s="5">
        <v>1105</v>
      </c>
      <c r="N69" s="5">
        <v>1124</v>
      </c>
      <c r="O69" s="5">
        <v>1133</v>
      </c>
      <c r="P69" s="5">
        <v>1119</v>
      </c>
      <c r="Q69" s="5">
        <v>1123</v>
      </c>
      <c r="R69" s="5">
        <v>1135</v>
      </c>
      <c r="S69" s="5">
        <v>1157</v>
      </c>
      <c r="T69" s="5">
        <v>1155</v>
      </c>
      <c r="U69" s="5">
        <v>3468</v>
      </c>
      <c r="V69" s="5">
        <v>3471</v>
      </c>
      <c r="W69" s="5">
        <v>3468</v>
      </c>
      <c r="X69" s="5">
        <v>3478</v>
      </c>
      <c r="Y69" s="5">
        <v>3493</v>
      </c>
      <c r="Z69" s="5">
        <v>3492</v>
      </c>
      <c r="AA69" s="5">
        <v>3484</v>
      </c>
      <c r="AB69" s="5">
        <v>3481</v>
      </c>
      <c r="AC69" s="5">
        <v>3497</v>
      </c>
      <c r="AD69" s="5">
        <v>3517</v>
      </c>
      <c r="AE69" s="5">
        <v>3521</v>
      </c>
      <c r="AF69" s="5"/>
      <c r="AG69" s="5"/>
      <c r="AH69" s="5"/>
      <c r="AT69" s="4">
        <f>AVERAGE(W69:Z69)</f>
        <v>3482.75</v>
      </c>
      <c r="AU69" s="4">
        <f>AVERAGE(AA69:AD69)</f>
        <v>3494.75</v>
      </c>
      <c r="AV69" s="4">
        <f t="shared" ref="AV69:AY69" si="128">AU69</f>
        <v>3494.75</v>
      </c>
      <c r="AW69" s="4">
        <f t="shared" si="128"/>
        <v>3494.75</v>
      </c>
      <c r="AX69" s="4">
        <f t="shared" si="128"/>
        <v>3494.75</v>
      </c>
      <c r="AY69" s="4">
        <f t="shared" si="128"/>
        <v>3494.75</v>
      </c>
      <c r="AZ69" s="4">
        <f t="shared" ref="AZ69:BA69" si="129">AY69</f>
        <v>3494.75</v>
      </c>
      <c r="BA69" s="4">
        <f t="shared" si="129"/>
        <v>3494.75</v>
      </c>
      <c r="BB69" s="4">
        <f t="shared" ref="BB69" si="130">BA69</f>
        <v>3494.75</v>
      </c>
      <c r="BC69" s="4">
        <f t="shared" ref="BC69" si="131">BB69</f>
        <v>3494.75</v>
      </c>
      <c r="BD69" s="4">
        <f t="shared" ref="BD69" si="132">BC69</f>
        <v>3494.75</v>
      </c>
      <c r="BE69" s="4">
        <f t="shared" ref="BE69" si="133">BD69</f>
        <v>3494.75</v>
      </c>
      <c r="BF69" s="4">
        <f t="shared" ref="BF69" si="134">BE69</f>
        <v>3494.75</v>
      </c>
    </row>
    <row r="71" spans="2:109" s="23" customFormat="1" x14ac:dyDescent="0.15">
      <c r="B71" s="23" t="s">
        <v>89</v>
      </c>
      <c r="C71" s="24"/>
      <c r="D71" s="24"/>
      <c r="E71" s="24"/>
      <c r="F71" s="24"/>
      <c r="G71" s="24"/>
      <c r="H71" s="24"/>
      <c r="I71" s="24"/>
      <c r="J71" s="24"/>
      <c r="K71" s="22">
        <f>K51/G51-1</f>
        <v>0.31799163179916312</v>
      </c>
      <c r="L71" s="22">
        <f t="shared" ref="L71" si="135">L51/H51-1</f>
        <v>-4.9448818897637747E-2</v>
      </c>
      <c r="M71" s="22">
        <f t="shared" ref="M71" si="136">M51/I51-1</f>
        <v>0.39155957480564818</v>
      </c>
      <c r="N71" s="22">
        <f t="shared" ref="N71" si="137">N51/J51-1</f>
        <v>0.45503791982665232</v>
      </c>
      <c r="O71" s="22">
        <f t="shared" ref="O71" si="138">O51/K51-1</f>
        <v>0.73583959899749374</v>
      </c>
      <c r="P71" s="22">
        <f t="shared" ref="P71:Q71" si="139">P51/L51-1</f>
        <v>0.98111332007952279</v>
      </c>
      <c r="Q71" s="22">
        <f t="shared" si="139"/>
        <v>0.56846425721126437</v>
      </c>
      <c r="R71" s="22">
        <f t="shared" ref="R71:S71" si="140">R51/N51-1</f>
        <v>0.64919955323901712</v>
      </c>
      <c r="S71" s="22">
        <f t="shared" si="140"/>
        <v>0.80537106555010096</v>
      </c>
      <c r="T71" s="22">
        <f>T51/P51-1</f>
        <v>0.41612309750794441</v>
      </c>
      <c r="U71" s="22">
        <f>U51/Q51-1</f>
        <v>0.55949698335392894</v>
      </c>
      <c r="V71" s="22">
        <f>V51/R51-1</f>
        <v>0.39999999999999991</v>
      </c>
      <c r="W71" s="22">
        <f t="shared" ref="W71:AE71" si="141">W51/S51-1</f>
        <v>0.24381531243335464</v>
      </c>
      <c r="X71" s="22">
        <f t="shared" si="141"/>
        <v>0.47200897602456604</v>
      </c>
      <c r="Y71" s="22">
        <f t="shared" si="141"/>
        <v>8.8375128181224838E-2</v>
      </c>
      <c r="Z71" s="22">
        <f>Z51/V51-1</f>
        <v>1.452839163770947E-2</v>
      </c>
      <c r="AA71" s="22">
        <f>AA51/W51-1</f>
        <v>-8.6930429936988296E-2</v>
      </c>
      <c r="AB71" s="22">
        <f t="shared" si="141"/>
        <v>2.2987122397400306E-2</v>
      </c>
      <c r="AC71" s="22">
        <f t="shared" si="141"/>
        <v>7.8458244111349051E-2</v>
      </c>
      <c r="AD71" s="22">
        <f t="shared" si="141"/>
        <v>2.1456669448086885E-2</v>
      </c>
      <c r="AE71" s="22">
        <f t="shared" si="141"/>
        <v>-9.2296136331627587E-2</v>
      </c>
      <c r="AF71" s="22"/>
      <c r="AG71" s="22"/>
      <c r="AH71" s="22"/>
      <c r="AK71" s="25">
        <f t="shared" ref="AK71:AM71" si="142">AK51/AJ51-1</f>
        <v>0.58845907814070664</v>
      </c>
      <c r="AL71" s="25">
        <f t="shared" si="142"/>
        <v>0.26503272306147285</v>
      </c>
      <c r="AM71" s="25">
        <f t="shared" si="142"/>
        <v>0.73012574069611524</v>
      </c>
      <c r="AN71" s="25">
        <f>AN51/AM51-1</f>
        <v>0.67978989539054413</v>
      </c>
      <c r="AO71" s="25">
        <f>AO51/AN51-1</f>
        <v>0.82513159773516764</v>
      </c>
      <c r="AP71" s="25">
        <f>AP51/AO51-1</f>
        <v>0.14522590184326489</v>
      </c>
      <c r="AQ71" s="25">
        <f>+AQ51/AP51-1</f>
        <v>0.28309870615998056</v>
      </c>
      <c r="AR71" s="25">
        <f>+AR51/AQ51-1</f>
        <v>0.70671613394216126</v>
      </c>
      <c r="AS71" s="25">
        <f>+AS51/AR51-1</f>
        <v>0.52259442989056737</v>
      </c>
      <c r="AT71" s="25">
        <f>+AT51/AS51-1</f>
        <v>0.18086993871917945</v>
      </c>
      <c r="AU71" s="25">
        <f t="shared" ref="AU71:AY71" si="143">+AU51/AT51-1</f>
        <v>1.4814637967201616E-2</v>
      </c>
      <c r="AV71" s="25">
        <f t="shared" si="143"/>
        <v>-2.6680990591435583E-3</v>
      </c>
      <c r="AW71" s="25">
        <f t="shared" si="143"/>
        <v>0.29931090780272718</v>
      </c>
      <c r="AX71" s="25">
        <f t="shared" si="143"/>
        <v>0.24561861608733349</v>
      </c>
      <c r="AY71" s="25">
        <f t="shared" si="143"/>
        <v>0.24465742473773022</v>
      </c>
      <c r="AZ71" s="25">
        <f t="shared" ref="AZ71:BA71" si="144">+AZ51/AY51-1</f>
        <v>0.19173783923524201</v>
      </c>
      <c r="BA71" s="25">
        <f t="shared" si="144"/>
        <v>0.13910906172436666</v>
      </c>
      <c r="BB71" s="25">
        <f t="shared" ref="BB71" si="145">+BB51/BA51-1</f>
        <v>8.1733738453816374E-2</v>
      </c>
      <c r="BC71" s="25">
        <f t="shared" ref="BC71" si="146">+BC51/BB51-1</f>
        <v>8.1662047468837651E-2</v>
      </c>
      <c r="BD71" s="25">
        <f t="shared" ref="BD71" si="147">+BD51/BC51-1</f>
        <v>8.1595148661132155E-2</v>
      </c>
      <c r="BE71" s="25">
        <f t="shared" ref="BE71" si="148">+BE51/BD51-1</f>
        <v>8.153275138627003E-2</v>
      </c>
      <c r="BF71" s="25">
        <f t="shared" ref="BF71" si="149">+BF51/BE51-1</f>
        <v>8.1474584363125713E-2</v>
      </c>
    </row>
    <row r="72" spans="2:109" x14ac:dyDescent="0.15">
      <c r="B72" s="21" t="s">
        <v>92</v>
      </c>
      <c r="K72" s="17">
        <f t="shared" ref="K72:Z72" si="150">+K37/G37-1</f>
        <v>0.40427490122026688</v>
      </c>
      <c r="L72" s="17">
        <f t="shared" si="150"/>
        <v>-4.9351902344897058E-2</v>
      </c>
      <c r="M72" s="17">
        <f t="shared" si="150"/>
        <v>0.43333401930319182</v>
      </c>
      <c r="N72" s="17">
        <f t="shared" si="150"/>
        <v>0.61086578348722065</v>
      </c>
      <c r="O72" s="17">
        <f t="shared" si="150"/>
        <v>1.088229976496113</v>
      </c>
      <c r="P72" s="17">
        <f t="shared" si="150"/>
        <v>1.2200772200772199</v>
      </c>
      <c r="Q72" s="17">
        <f t="shared" si="150"/>
        <v>0.73223259152907394</v>
      </c>
      <c r="R72" s="17">
        <f t="shared" si="150"/>
        <v>0.70903250816857732</v>
      </c>
      <c r="S72" s="17">
        <f t="shared" si="150"/>
        <v>0.67774891774891777</v>
      </c>
      <c r="T72" s="17">
        <f t="shared" si="150"/>
        <v>0.26556521739130434</v>
      </c>
      <c r="U72" s="17">
        <f t="shared" si="150"/>
        <v>0.42490675507666809</v>
      </c>
      <c r="V72" s="17">
        <f t="shared" si="150"/>
        <v>0.31327932598833441</v>
      </c>
      <c r="W72" s="17">
        <f t="shared" si="150"/>
        <v>0.36390171844359576</v>
      </c>
      <c r="X72" s="17">
        <f t="shared" si="150"/>
        <v>0.83018904964761764</v>
      </c>
      <c r="Y72" s="17">
        <f t="shared" si="150"/>
        <v>0.26533170462146982</v>
      </c>
      <c r="Z72" s="17">
        <f t="shared" si="150"/>
        <v>0.19549297025745282</v>
      </c>
      <c r="AA72" s="17">
        <f>+AA37/W37-1</f>
        <v>-8.5285249778303318E-2</v>
      </c>
      <c r="AB72" s="17">
        <f>+AB37/X37-1</f>
        <v>-4.7590852533573647E-2</v>
      </c>
      <c r="AC72" s="17">
        <f>+AC37/Y37-1</f>
        <v>6.3970633868050131E-2</v>
      </c>
      <c r="AD72" s="17">
        <f>+AD37/Z37-1</f>
        <v>2.2833519433155702E-2</v>
      </c>
      <c r="AE72" s="17">
        <f t="shared" ref="AE72" si="151">+AE37/AA37-1</f>
        <v>-0.12959592564825106</v>
      </c>
      <c r="AF72" s="17"/>
      <c r="AG72" s="17"/>
      <c r="AH72" s="17"/>
      <c r="AQ72" s="26">
        <f t="shared" ref="AQ72:BA72" si="152">+AQ37/AP37-1</f>
        <v>0.35729051069477991</v>
      </c>
      <c r="AR72" s="26">
        <f t="shared" si="152"/>
        <v>0.87559116340959009</v>
      </c>
      <c r="AS72" s="26">
        <f t="shared" si="152"/>
        <v>0.403761953095785</v>
      </c>
      <c r="AT72" s="26">
        <f t="shared" si="152"/>
        <v>0.37654954785588313</v>
      </c>
      <c r="AU72" s="26">
        <f t="shared" si="152"/>
        <v>-1.0701760109168457E-2</v>
      </c>
      <c r="AV72" s="26">
        <f t="shared" si="152"/>
        <v>0.28853252747277303</v>
      </c>
      <c r="AW72" s="26">
        <f t="shared" si="152"/>
        <v>0.25</v>
      </c>
      <c r="AX72" s="26">
        <f t="shared" si="152"/>
        <v>0.19999999999999996</v>
      </c>
      <c r="AY72" s="26">
        <f t="shared" si="152"/>
        <v>0.19999999999999996</v>
      </c>
      <c r="AZ72" s="26">
        <f t="shared" si="152"/>
        <v>0.14999999999999991</v>
      </c>
      <c r="BA72" s="26">
        <f t="shared" si="152"/>
        <v>0.10000000000000009</v>
      </c>
      <c r="BB72" s="26">
        <f t="shared" ref="BB72:BF72" si="153">+BB37/BA37-1</f>
        <v>5.0000000000000044E-2</v>
      </c>
      <c r="BC72" s="26">
        <f t="shared" si="153"/>
        <v>5.0000000000000044E-2</v>
      </c>
      <c r="BD72" s="26">
        <f t="shared" si="153"/>
        <v>5.0000000000000044E-2</v>
      </c>
      <c r="BE72" s="26">
        <f t="shared" si="153"/>
        <v>5.0000000000000044E-2</v>
      </c>
      <c r="BF72" s="26">
        <f t="shared" si="153"/>
        <v>5.0000000000000044E-2</v>
      </c>
    </row>
    <row r="73" spans="2:109" x14ac:dyDescent="0.15">
      <c r="B73" s="21" t="s">
        <v>93</v>
      </c>
      <c r="K73" s="17">
        <f t="shared" ref="K73:AD73" si="154">+K42/G42-1</f>
        <v>0.33101713811610356</v>
      </c>
      <c r="L73" s="17">
        <f t="shared" si="154"/>
        <v>-5.4866280672732248E-2</v>
      </c>
      <c r="M73" s="17">
        <f t="shared" si="154"/>
        <v>0.50835629972440333</v>
      </c>
      <c r="N73" s="17">
        <f t="shared" si="154"/>
        <v>0.71375046476818782</v>
      </c>
      <c r="O73" s="17">
        <f t="shared" si="154"/>
        <v>0.75644771700171409</v>
      </c>
      <c r="P73" s="17">
        <f t="shared" si="154"/>
        <v>1.5090067094515751</v>
      </c>
      <c r="Q73" s="17">
        <f t="shared" si="154"/>
        <v>0.63975150996993846</v>
      </c>
      <c r="R73" s="17">
        <f t="shared" si="154"/>
        <v>0.7014080119272128</v>
      </c>
      <c r="S73" s="17">
        <f t="shared" si="154"/>
        <v>0.69352549102241356</v>
      </c>
      <c r="T73" s="17">
        <f t="shared" si="154"/>
        <v>0.25268262434539124</v>
      </c>
      <c r="U73" s="17">
        <f t="shared" si="154"/>
        <v>0.53863587626091669</v>
      </c>
      <c r="V73" s="17">
        <f t="shared" si="154"/>
        <v>0.43768310227569973</v>
      </c>
      <c r="W73" s="17">
        <f t="shared" si="154"/>
        <v>0.44334609226376598</v>
      </c>
      <c r="X73" s="17">
        <f t="shared" si="154"/>
        <v>0.85513187408152214</v>
      </c>
      <c r="Y73" s="17">
        <f t="shared" si="154"/>
        <v>0.17644422460462983</v>
      </c>
      <c r="Z73" s="17">
        <f t="shared" si="154"/>
        <v>0.12573999149421988</v>
      </c>
      <c r="AA73" s="17">
        <f t="shared" si="154"/>
        <v>-1.687129090216144E-2</v>
      </c>
      <c r="AB73" s="17">
        <f t="shared" si="154"/>
        <v>-0.14356681259120285</v>
      </c>
      <c r="AC73" s="17">
        <f t="shared" si="154"/>
        <v>9.1310326884837645E-2</v>
      </c>
      <c r="AD73" s="17">
        <f t="shared" si="154"/>
        <v>-7.1807656331756897E-2</v>
      </c>
      <c r="AE73" s="17">
        <f t="shared" ref="AE73" si="155">+AE42/AA42-1</f>
        <v>-0.16326888508921922</v>
      </c>
      <c r="AF73" s="17"/>
      <c r="AG73" s="17"/>
      <c r="AH73" s="17"/>
      <c r="AQ73" s="26">
        <f t="shared" ref="AQ73:BA73" si="156">+AQ42/AP42-1</f>
        <v>0.39565262627590125</v>
      </c>
      <c r="AR73" s="26">
        <f t="shared" si="156"/>
        <v>0.8252981439448186</v>
      </c>
      <c r="AS73" s="26">
        <f t="shared" si="156"/>
        <v>0.47203204567389845</v>
      </c>
      <c r="AT73" s="26">
        <f t="shared" si="156"/>
        <v>0.34781700789494252</v>
      </c>
      <c r="AU73" s="26">
        <f t="shared" si="156"/>
        <v>-3.9297177387681903E-2</v>
      </c>
      <c r="AV73" s="26">
        <f t="shared" si="156"/>
        <v>0.30000000000000004</v>
      </c>
      <c r="AW73" s="26">
        <f t="shared" si="156"/>
        <v>0.25</v>
      </c>
      <c r="AX73" s="26">
        <f t="shared" si="156"/>
        <v>0.19999999999999996</v>
      </c>
      <c r="AY73" s="26">
        <f t="shared" si="156"/>
        <v>0.19999999999999996</v>
      </c>
      <c r="AZ73" s="26">
        <f t="shared" si="156"/>
        <v>0.14999999999999991</v>
      </c>
      <c r="BA73" s="26">
        <f t="shared" si="156"/>
        <v>0.10000000000000009</v>
      </c>
      <c r="BB73" s="26">
        <f t="shared" ref="BB73:BF73" si="157">+BB42/BA42-1</f>
        <v>5.0000000000000044E-2</v>
      </c>
      <c r="BC73" s="26">
        <f t="shared" si="157"/>
        <v>5.0000000000000044E-2</v>
      </c>
      <c r="BD73" s="26">
        <f t="shared" si="157"/>
        <v>5.0000000000000044E-2</v>
      </c>
      <c r="BE73" s="26">
        <f t="shared" si="157"/>
        <v>5.0000000000000044E-2</v>
      </c>
      <c r="BF73" s="26">
        <f t="shared" si="157"/>
        <v>5.0000000000000044E-2</v>
      </c>
    </row>
    <row r="74" spans="2:109" x14ac:dyDescent="0.15">
      <c r="B74" s="19" t="s">
        <v>91</v>
      </c>
      <c r="K74" s="17">
        <f t="shared" ref="K74:O74" si="158">K45/G45-1</f>
        <v>0.39441436306640076</v>
      </c>
      <c r="L74" s="17">
        <f t="shared" si="158"/>
        <v>-4.9729102167182626E-2</v>
      </c>
      <c r="M74" s="17">
        <f t="shared" si="158"/>
        <v>0.43141075604053003</v>
      </c>
      <c r="N74" s="17">
        <f t="shared" si="158"/>
        <v>0.4053394107113788</v>
      </c>
      <c r="O74" s="17">
        <f t="shared" si="158"/>
        <v>0.67320662170447587</v>
      </c>
      <c r="P74" s="17">
        <f>P45/L45-1</f>
        <v>0.9385053960496843</v>
      </c>
      <c r="Q74" s="17">
        <f t="shared" ref="Q74" si="159">Q45/M45-1</f>
        <v>0.55091206098557044</v>
      </c>
      <c r="R74" s="17">
        <f>R45/N45-1</f>
        <v>0.74041468782578468</v>
      </c>
      <c r="S74" s="17">
        <f t="shared" ref="S74:U74" si="160">S45/O45-1</f>
        <v>0.89495541712470983</v>
      </c>
      <c r="T74" s="17">
        <f t="shared" si="160"/>
        <v>0.43592436974789917</v>
      </c>
      <c r="U74" s="17">
        <f t="shared" si="160"/>
        <v>0.561046256473273</v>
      </c>
      <c r="V74" s="17">
        <f t="shared" ref="V74" si="161">V45/R45-1</f>
        <v>0.39999999999999991</v>
      </c>
      <c r="W74" s="17">
        <f>W45/S45-1</f>
        <v>0.21683640582699493</v>
      </c>
      <c r="X74" s="17">
        <f t="shared" ref="X74" si="162">X45/T45-1</f>
        <v>0.49370885149963417</v>
      </c>
      <c r="Y74" s="17">
        <f t="shared" ref="Y74" si="163">Y45/U45-1</f>
        <v>4.4813044700590332E-2</v>
      </c>
      <c r="Z74" s="17">
        <f t="shared" ref="Z74:AE74" si="164">Z45/V45-1</f>
        <v>-1.9253624910862799E-2</v>
      </c>
      <c r="AA74" s="17">
        <f t="shared" si="164"/>
        <v>-0.12808560228837795</v>
      </c>
      <c r="AB74" s="17">
        <f>AB45/X45-1</f>
        <v>-9.2511876193741127E-2</v>
      </c>
      <c r="AC74" s="17">
        <f t="shared" si="164"/>
        <v>1.3400064578624526E-2</v>
      </c>
      <c r="AD74" s="17">
        <f t="shared" si="164"/>
        <v>-9.5540475036354877E-2</v>
      </c>
      <c r="AE74" s="17">
        <f t="shared" si="164"/>
        <v>-0.21476306196840822</v>
      </c>
      <c r="AF74" s="17"/>
      <c r="AG74" s="17"/>
      <c r="AH74" s="17"/>
    </row>
    <row r="75" spans="2:109" x14ac:dyDescent="0.15">
      <c r="B75" s="19" t="s">
        <v>90</v>
      </c>
      <c r="C75" s="17"/>
      <c r="D75" s="17"/>
      <c r="E75" s="17"/>
      <c r="F75" s="17"/>
      <c r="G75" s="17">
        <f t="shared" ref="G75:K75" si="165">G53/G45</f>
        <v>0.18609290396124251</v>
      </c>
      <c r="H75" s="17">
        <f t="shared" si="165"/>
        <v>0.17685758513931887</v>
      </c>
      <c r="I75" s="17">
        <f t="shared" si="165"/>
        <v>0.21784879189399844</v>
      </c>
      <c r="J75" s="17">
        <f t="shared" si="165"/>
        <v>0.21618101904606871</v>
      </c>
      <c r="K75" s="17">
        <f t="shared" si="165"/>
        <v>0.2440220723482526</v>
      </c>
      <c r="L75" s="17">
        <f t="shared" ref="L75" si="166">L53/L45</f>
        <v>0.24373854612095297</v>
      </c>
      <c r="M75" s="17">
        <f t="shared" ref="M75" si="167">M53/M45</f>
        <v>0.27021508303838826</v>
      </c>
      <c r="N75" s="17">
        <f t="shared" ref="N75:U75" si="168">N53/N45</f>
        <v>0.19819298042395458</v>
      </c>
      <c r="O75" s="17">
        <f t="shared" si="168"/>
        <v>0.21131061438866497</v>
      </c>
      <c r="P75" s="17">
        <f t="shared" si="168"/>
        <v>0.25220588235294117</v>
      </c>
      <c r="Q75" s="17">
        <f t="shared" si="168"/>
        <v>0.28464846835776353</v>
      </c>
      <c r="R75" s="17">
        <f t="shared" si="168"/>
        <v>0.28858569051580701</v>
      </c>
      <c r="S75" s="17">
        <f t="shared" si="168"/>
        <v>0.29650638133298957</v>
      </c>
      <c r="T75" s="17">
        <f t="shared" si="168"/>
        <v>0.25727871250914414</v>
      </c>
      <c r="U75" s="17">
        <f t="shared" si="168"/>
        <v>0.26348046106269329</v>
      </c>
      <c r="V75" s="17">
        <f t="shared" ref="V75:AE75" si="169">V53/V45</f>
        <v>0.26631804135963871</v>
      </c>
      <c r="W75" s="17">
        <f>W53/W45</f>
        <v>0.1830702404915775</v>
      </c>
      <c r="X75" s="17">
        <f t="shared" si="169"/>
        <v>0.17522895342573094</v>
      </c>
      <c r="Y75" s="17">
        <f t="shared" si="169"/>
        <v>0.15746421267893659</v>
      </c>
      <c r="Z75" s="17">
        <f t="shared" si="169"/>
        <v>0.16616577799321378</v>
      </c>
      <c r="AA75" s="17">
        <f t="shared" si="169"/>
        <v>0.15571081409477522</v>
      </c>
      <c r="AB75" s="17">
        <f t="shared" si="169"/>
        <v>0.13858607663248787</v>
      </c>
      <c r="AC75" s="17">
        <f t="shared" si="169"/>
        <v>0.16398491848547608</v>
      </c>
      <c r="AD75" s="17">
        <f t="shared" si="169"/>
        <v>0.12814191542955142</v>
      </c>
      <c r="AE75" s="17">
        <f t="shared" si="169"/>
        <v>0.1132688588007737</v>
      </c>
      <c r="AF75" s="17"/>
      <c r="AG75" s="17"/>
      <c r="AH75" s="17"/>
      <c r="AQ75" s="17">
        <f t="shared" ref="AQ75:AU75" si="170">AQ53/AQ45</f>
        <v>0</v>
      </c>
      <c r="AR75" s="17">
        <f t="shared" si="170"/>
        <v>0.38841926345609062</v>
      </c>
      <c r="AS75" s="17">
        <f t="shared" si="170"/>
        <v>0.27064584436209632</v>
      </c>
      <c r="AT75" s="17">
        <f t="shared" si="170"/>
        <v>0.17052821969455731</v>
      </c>
      <c r="AU75" s="17">
        <f t="shared" si="170"/>
        <v>0.14638520971302429</v>
      </c>
      <c r="AV75" s="17"/>
      <c r="AW75" s="17"/>
      <c r="AX75" s="17"/>
    </row>
    <row r="76" spans="2:109" x14ac:dyDescent="0.15">
      <c r="B76" s="19" t="s">
        <v>45</v>
      </c>
      <c r="C76" s="17"/>
      <c r="D76" s="17"/>
      <c r="E76" s="17"/>
      <c r="F76" s="17"/>
      <c r="G76" s="17">
        <f t="shared" ref="G76:K76" si="171">+G59/G51</f>
        <v>0.1246421493063202</v>
      </c>
      <c r="H76" s="17">
        <f t="shared" si="171"/>
        <v>0.14503937007874015</v>
      </c>
      <c r="I76" s="17">
        <f t="shared" si="171"/>
        <v>0.18895763921941933</v>
      </c>
      <c r="J76" s="17">
        <f t="shared" si="171"/>
        <v>0.18838028169014084</v>
      </c>
      <c r="K76" s="17">
        <f t="shared" si="171"/>
        <v>0.20618212197159566</v>
      </c>
      <c r="L76" s="17">
        <f t="shared" ref="L76" si="172">+L59/L51</f>
        <v>0.20990722332670642</v>
      </c>
      <c r="M76" s="17">
        <f t="shared" ref="M76" si="173">+M59/M51</f>
        <v>0.23520693193478509</v>
      </c>
      <c r="N76" s="17">
        <f>+N59/N51</f>
        <v>0.19229337304542071</v>
      </c>
      <c r="O76" s="17">
        <f t="shared" ref="O76:AE76" si="174">+O59/O51</f>
        <v>0.21320627586870727</v>
      </c>
      <c r="P76" s="17">
        <f t="shared" si="174"/>
        <v>0.24117745442381669</v>
      </c>
      <c r="Q76" s="17">
        <f t="shared" si="174"/>
        <v>0.26604637639020134</v>
      </c>
      <c r="R76" s="17">
        <f t="shared" si="174"/>
        <v>0.27354816863254133</v>
      </c>
      <c r="S76" s="17">
        <f t="shared" si="174"/>
        <v>0.29110684580934099</v>
      </c>
      <c r="T76" s="17">
        <f t="shared" si="174"/>
        <v>0.24997047360340144</v>
      </c>
      <c r="U76" s="17">
        <f t="shared" si="174"/>
        <v>0.25086231005873033</v>
      </c>
      <c r="V76" s="17">
        <f t="shared" si="174"/>
        <v>0.25257794296679104</v>
      </c>
      <c r="W76" s="17">
        <f t="shared" si="174"/>
        <v>0.19336448197522396</v>
      </c>
      <c r="X76" s="17">
        <f t="shared" si="174"/>
        <v>0.18185100493440848</v>
      </c>
      <c r="Y76" s="17">
        <f t="shared" si="174"/>
        <v>0.17892933618843684</v>
      </c>
      <c r="Z76" s="17">
        <f t="shared" si="174"/>
        <v>0.17634203520483172</v>
      </c>
      <c r="AA76" s="17">
        <f t="shared" si="174"/>
        <v>0.1735129806112389</v>
      </c>
      <c r="AB76" s="41">
        <f t="shared" si="174"/>
        <v>0.17952941176470588</v>
      </c>
      <c r="AC76" s="17">
        <f t="shared" si="174"/>
        <v>0.19843539035819235</v>
      </c>
      <c r="AD76" s="17">
        <f t="shared" si="174"/>
        <v>0.16256272610572994</v>
      </c>
      <c r="AE76" s="17">
        <f t="shared" si="174"/>
        <v>0.16307214895267649</v>
      </c>
      <c r="AF76" s="17"/>
      <c r="AG76" s="17"/>
      <c r="AH76" s="17"/>
      <c r="AQ76" s="17">
        <f t="shared" ref="AQ76:BF76" si="175">+AQ59/AQ51</f>
        <v>0</v>
      </c>
      <c r="AR76" s="17">
        <f t="shared" si="175"/>
        <v>0</v>
      </c>
      <c r="AS76" s="17">
        <f t="shared" si="175"/>
        <v>0.25</v>
      </c>
      <c r="AT76" s="17">
        <f t="shared" si="175"/>
        <v>0.18248891736331416</v>
      </c>
      <c r="AU76" s="17">
        <f t="shared" si="175"/>
        <v>0.17768652900085441</v>
      </c>
      <c r="AV76" s="17">
        <f t="shared" si="175"/>
        <v>0.23216119570238383</v>
      </c>
      <c r="AW76" s="17">
        <f t="shared" si="175"/>
        <v>0.25796313351448891</v>
      </c>
      <c r="AX76" s="17">
        <f t="shared" si="175"/>
        <v>0.25431009556405426</v>
      </c>
      <c r="AY76" s="17">
        <f t="shared" si="175"/>
        <v>0.27102711464213647</v>
      </c>
      <c r="AZ76" s="17">
        <f t="shared" si="175"/>
        <v>0.28685129119058844</v>
      </c>
      <c r="BA76" s="17">
        <f t="shared" si="175"/>
        <v>0.30196304430560833</v>
      </c>
      <c r="BB76" s="17">
        <f t="shared" si="175"/>
        <v>0.30216789387654019</v>
      </c>
      <c r="BC76" s="17">
        <f t="shared" si="175"/>
        <v>0.3023098918268608</v>
      </c>
      <c r="BD76" s="17">
        <f t="shared" si="175"/>
        <v>0.30239326077047363</v>
      </c>
      <c r="BE76" s="17">
        <f t="shared" si="175"/>
        <v>0.30242195655828835</v>
      </c>
      <c r="BF76" s="17">
        <f t="shared" si="175"/>
        <v>0.30239968761197145</v>
      </c>
    </row>
    <row r="77" spans="2:109" x14ac:dyDescent="0.15">
      <c r="B77" s="15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2:109" x14ac:dyDescent="0.15">
      <c r="BG78" s="28" t="s">
        <v>110</v>
      </c>
      <c r="BH78" s="26">
        <v>-0.01</v>
      </c>
    </row>
    <row r="79" spans="2:109" s="4" customFormat="1" x14ac:dyDescent="0.15">
      <c r="B79" s="4" t="s">
        <v>55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>
        <f t="shared" ref="M79:R79" si="176">M67</f>
        <v>300</v>
      </c>
      <c r="N79" s="5">
        <f t="shared" si="176"/>
        <v>270</v>
      </c>
      <c r="O79" s="5">
        <f t="shared" si="176"/>
        <v>337</v>
      </c>
      <c r="P79" s="5">
        <f t="shared" si="176"/>
        <v>1165</v>
      </c>
      <c r="Q79" s="5">
        <f t="shared" si="176"/>
        <v>1669</v>
      </c>
      <c r="R79" s="5">
        <f t="shared" si="176"/>
        <v>2321</v>
      </c>
      <c r="S79" s="5">
        <f>S67</f>
        <v>3318</v>
      </c>
      <c r="T79" s="5">
        <f>T67</f>
        <v>2348</v>
      </c>
      <c r="U79" s="5">
        <f>U67</f>
        <v>3331</v>
      </c>
      <c r="V79" s="5">
        <f t="shared" ref="V79:AE79" si="177">V67</f>
        <v>3468.7999999999984</v>
      </c>
      <c r="W79" s="5">
        <f t="shared" si="177"/>
        <v>2513</v>
      </c>
      <c r="X79" s="5">
        <f t="shared" si="177"/>
        <v>2703</v>
      </c>
      <c r="Y79" s="5">
        <f t="shared" si="177"/>
        <v>1853</v>
      </c>
      <c r="Z79" s="5">
        <f t="shared" si="177"/>
        <v>2176</v>
      </c>
      <c r="AA79" s="5">
        <f t="shared" si="177"/>
        <v>1129</v>
      </c>
      <c r="AB79" s="5">
        <f t="shared" si="177"/>
        <v>2100</v>
      </c>
      <c r="AC79" s="5">
        <f>AC67</f>
        <v>2222</v>
      </c>
      <c r="AD79" s="5">
        <f t="shared" si="177"/>
        <v>2135</v>
      </c>
      <c r="AE79" s="5">
        <f t="shared" si="177"/>
        <v>503</v>
      </c>
      <c r="AF79" s="5"/>
      <c r="AG79" s="5"/>
      <c r="AH79" s="5"/>
      <c r="BG79" s="28" t="s">
        <v>111</v>
      </c>
      <c r="BH79" s="30">
        <v>0.08</v>
      </c>
    </row>
    <row r="80" spans="2:109" s="4" customFormat="1" x14ac:dyDescent="0.15">
      <c r="B80" s="4" t="s">
        <v>56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>
        <v>296</v>
      </c>
      <c r="O80" s="5">
        <v>464</v>
      </c>
      <c r="P80" s="5">
        <v>1178</v>
      </c>
      <c r="Q80" s="5">
        <v>1659</v>
      </c>
      <c r="R80" s="5">
        <v>2343</v>
      </c>
      <c r="S80" s="5">
        <v>3280</v>
      </c>
      <c r="T80" s="5">
        <v>2269</v>
      </c>
      <c r="U80" s="5">
        <f>8880-T80-S80</f>
        <v>3331</v>
      </c>
      <c r="V80" s="5">
        <v>3707</v>
      </c>
      <c r="W80" s="5">
        <v>2539</v>
      </c>
      <c r="X80" s="5">
        <v>2614</v>
      </c>
      <c r="Y80" s="5">
        <v>1878</v>
      </c>
      <c r="Z80" s="5">
        <v>7943</v>
      </c>
      <c r="AA80" s="5">
        <v>1405</v>
      </c>
      <c r="AB80" s="5">
        <v>1416</v>
      </c>
      <c r="AC80" s="5">
        <v>2189</v>
      </c>
      <c r="AD80" s="5">
        <v>2143</v>
      </c>
      <c r="AE80" s="5">
        <v>420</v>
      </c>
      <c r="AF80" s="5"/>
      <c r="AG80" s="5"/>
      <c r="AH80" s="5"/>
      <c r="BG80" s="28" t="s">
        <v>112</v>
      </c>
      <c r="BH80" s="4">
        <f>NPV(BH79,AV67:DF67)+Main!K5-Main!K6</f>
        <v>1191764.2410756461</v>
      </c>
    </row>
    <row r="81" spans="2:60" s="4" customFormat="1" x14ac:dyDescent="0.15">
      <c r="B81" s="4" t="s">
        <v>57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>
        <v>618</v>
      </c>
      <c r="O81" s="5">
        <v>621</v>
      </c>
      <c r="P81" s="5">
        <v>681</v>
      </c>
      <c r="Q81" s="5">
        <v>761</v>
      </c>
      <c r="R81" s="5">
        <v>848</v>
      </c>
      <c r="S81" s="5">
        <v>880</v>
      </c>
      <c r="T81" s="5">
        <v>922</v>
      </c>
      <c r="U81" s="5">
        <f>2758-T81-S81</f>
        <v>956</v>
      </c>
      <c r="V81" s="5">
        <v>989</v>
      </c>
      <c r="W81" s="5">
        <v>1046</v>
      </c>
      <c r="X81" s="5">
        <v>1154</v>
      </c>
      <c r="Y81" s="5">
        <v>1235</v>
      </c>
      <c r="Z81" s="5">
        <v>1232</v>
      </c>
      <c r="AA81" s="5">
        <v>1246</v>
      </c>
      <c r="AB81" s="5">
        <v>1278</v>
      </c>
      <c r="AC81" s="5">
        <v>1348</v>
      </c>
      <c r="AD81" s="5">
        <v>1496</v>
      </c>
      <c r="AE81" s="5">
        <v>1447</v>
      </c>
      <c r="AF81" s="5"/>
      <c r="AG81" s="5"/>
      <c r="AH81" s="5"/>
      <c r="BG81" s="28" t="s">
        <v>114</v>
      </c>
      <c r="BH81" s="26">
        <v>0.1</v>
      </c>
    </row>
    <row r="82" spans="2:60" s="4" customFormat="1" x14ac:dyDescent="0.15">
      <c r="B82" s="4" t="s">
        <v>58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>
        <v>633</v>
      </c>
      <c r="O82" s="5">
        <v>614</v>
      </c>
      <c r="P82" s="5">
        <v>474</v>
      </c>
      <c r="Q82" s="5">
        <v>475</v>
      </c>
      <c r="R82" s="5">
        <v>558</v>
      </c>
      <c r="S82" s="5">
        <v>418</v>
      </c>
      <c r="T82" s="5">
        <v>361</v>
      </c>
      <c r="U82" s="5">
        <f>1141-T82-S82</f>
        <v>362</v>
      </c>
      <c r="V82" s="5">
        <v>419</v>
      </c>
      <c r="W82" s="5">
        <v>418</v>
      </c>
      <c r="X82" s="5">
        <v>445</v>
      </c>
      <c r="Y82" s="5">
        <v>465</v>
      </c>
      <c r="Z82" s="5">
        <v>484</v>
      </c>
      <c r="AA82" s="5">
        <v>524</v>
      </c>
      <c r="AB82" s="5">
        <v>439</v>
      </c>
      <c r="AC82" s="5">
        <v>457</v>
      </c>
      <c r="AD82" s="5">
        <v>579</v>
      </c>
      <c r="AE82" s="5">
        <v>573</v>
      </c>
      <c r="AF82" s="5"/>
      <c r="AG82" s="5"/>
      <c r="AH82" s="5"/>
      <c r="BG82" s="28" t="s">
        <v>113</v>
      </c>
      <c r="BH82" s="20">
        <f>BH80/Main!K3</f>
        <v>338.47322950174555</v>
      </c>
    </row>
    <row r="83" spans="2:60" s="4" customFormat="1" x14ac:dyDescent="0.15">
      <c r="B83" s="4" t="s">
        <v>59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33</v>
      </c>
      <c r="T83" s="5"/>
      <c r="U83" s="5">
        <f>118-T83-S83</f>
        <v>85</v>
      </c>
      <c r="V83" s="5"/>
      <c r="W83" s="5"/>
      <c r="X83" s="5"/>
      <c r="Y83" s="5"/>
      <c r="Z83" s="5"/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/>
      <c r="AG83" s="5"/>
      <c r="AH83" s="5"/>
    </row>
    <row r="84" spans="2:60" s="4" customFormat="1" x14ac:dyDescent="0.15">
      <c r="B84" s="10" t="s">
        <v>80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>
        <v>230</v>
      </c>
      <c r="O84" s="5">
        <v>-46</v>
      </c>
      <c r="P84" s="5">
        <v>115</v>
      </c>
      <c r="Q84" s="5">
        <v>253</v>
      </c>
      <c r="R84" s="5">
        <v>-19</v>
      </c>
      <c r="S84" s="5">
        <v>-30</v>
      </c>
      <c r="T84" s="5">
        <v>145</v>
      </c>
      <c r="U84" s="5">
        <f>1-T84-S84</f>
        <v>-114</v>
      </c>
      <c r="V84" s="5">
        <v>354</v>
      </c>
      <c r="W84" s="5">
        <v>40</v>
      </c>
      <c r="X84" s="5">
        <f>-148-47</f>
        <v>-195</v>
      </c>
      <c r="Y84" s="5">
        <f>-113+145</f>
        <v>32</v>
      </c>
      <c r="Z84" s="5">
        <f>-6033+262</f>
        <v>-5771</v>
      </c>
      <c r="AA84" s="5">
        <v>63</v>
      </c>
      <c r="AB84" s="5">
        <f>122+119</f>
        <v>241</v>
      </c>
      <c r="AC84" s="5">
        <f>286+408</f>
        <v>694</v>
      </c>
      <c r="AD84" s="5">
        <f>6-93</f>
        <v>-87</v>
      </c>
      <c r="AE84" s="5">
        <f>-43+188</f>
        <v>145</v>
      </c>
      <c r="AF84" s="5"/>
      <c r="AG84" s="5"/>
      <c r="AH84" s="5"/>
    </row>
    <row r="85" spans="2:60" s="4" customFormat="1" x14ac:dyDescent="0.15">
      <c r="B85" s="4" t="s">
        <v>60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16</v>
      </c>
      <c r="T85" s="5"/>
      <c r="U85" s="5">
        <f>159-T85-S85</f>
        <v>143</v>
      </c>
      <c r="V85" s="5"/>
      <c r="W85" s="5"/>
      <c r="X85" s="5"/>
      <c r="Y85" s="5"/>
      <c r="Z85" s="5"/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/>
      <c r="AG85" s="5"/>
      <c r="AH85" s="5"/>
    </row>
    <row r="86" spans="2:60" s="4" customFormat="1" x14ac:dyDescent="0.15">
      <c r="B86" s="18" t="s">
        <v>69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f>106-T86-S86</f>
        <v>106</v>
      </c>
      <c r="V86" s="5"/>
      <c r="W86" s="5"/>
      <c r="X86" s="5"/>
      <c r="Y86" s="5"/>
      <c r="Z86" s="5"/>
      <c r="AA86" s="5">
        <v>-335</v>
      </c>
      <c r="AB86" s="5">
        <v>100</v>
      </c>
      <c r="AC86" s="5">
        <v>-7</v>
      </c>
      <c r="AD86" s="5">
        <v>-347</v>
      </c>
      <c r="AE86" s="5">
        <v>125</v>
      </c>
      <c r="AF86" s="5"/>
      <c r="AG86" s="5"/>
      <c r="AH86" s="5"/>
    </row>
    <row r="87" spans="2:60" s="4" customFormat="1" x14ac:dyDescent="0.15">
      <c r="B87" s="4" t="s">
        <v>61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>
        <v>1242</v>
      </c>
      <c r="O87" s="5">
        <v>-12</v>
      </c>
      <c r="P87" s="5">
        <v>-324</v>
      </c>
      <c r="Q87" s="5">
        <v>-1</v>
      </c>
      <c r="R87" s="5">
        <v>855</v>
      </c>
      <c r="S87" s="5">
        <f>-409-633-462-289-611+997+287+204+314</f>
        <v>-602</v>
      </c>
      <c r="T87" s="5">
        <v>-1346</v>
      </c>
      <c r="U87" s="5">
        <f>-426-4492-1136-865-1580+4659+856+251+1016-T87-S87</f>
        <v>231</v>
      </c>
      <c r="V87" s="5">
        <v>-2191</v>
      </c>
      <c r="W87" s="5">
        <v>-1530</v>
      </c>
      <c r="X87" s="5">
        <v>-953</v>
      </c>
      <c r="Y87" s="5">
        <v>-302</v>
      </c>
      <c r="Z87" s="5">
        <v>482</v>
      </c>
      <c r="AA87" s="5">
        <v>-2661</v>
      </c>
      <c r="AB87" s="5">
        <v>138</v>
      </c>
      <c r="AC87" s="5">
        <v>1574</v>
      </c>
      <c r="AD87" s="5">
        <v>1030</v>
      </c>
      <c r="AE87" s="5">
        <v>-554</v>
      </c>
      <c r="AF87" s="5"/>
      <c r="AG87" s="5"/>
      <c r="AH87" s="5"/>
    </row>
    <row r="88" spans="2:60" s="6" customFormat="1" x14ac:dyDescent="0.15">
      <c r="B88" s="6" t="s">
        <v>62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>
        <f t="shared" ref="N88:R88" si="178">SUM(N80:N87)</f>
        <v>3019</v>
      </c>
      <c r="O88" s="7">
        <f t="shared" si="178"/>
        <v>1641</v>
      </c>
      <c r="P88" s="7">
        <f t="shared" si="178"/>
        <v>2124</v>
      </c>
      <c r="Q88" s="7">
        <f t="shared" si="178"/>
        <v>3147</v>
      </c>
      <c r="R88" s="7">
        <f t="shared" si="178"/>
        <v>4585</v>
      </c>
      <c r="S88" s="7">
        <f t="shared" ref="S88:AE88" si="179">SUM(S80:S87)</f>
        <v>3995</v>
      </c>
      <c r="T88" s="7">
        <f t="shared" si="179"/>
        <v>2351</v>
      </c>
      <c r="U88" s="7">
        <f t="shared" si="179"/>
        <v>5100</v>
      </c>
      <c r="V88" s="7">
        <f t="shared" si="179"/>
        <v>3278</v>
      </c>
      <c r="W88" s="7">
        <f t="shared" si="179"/>
        <v>2513</v>
      </c>
      <c r="X88" s="7">
        <f t="shared" si="179"/>
        <v>3065</v>
      </c>
      <c r="Y88" s="7">
        <f t="shared" si="179"/>
        <v>3308</v>
      </c>
      <c r="Z88" s="7">
        <f t="shared" si="179"/>
        <v>4370</v>
      </c>
      <c r="AA88" s="7">
        <f t="shared" si="179"/>
        <v>242</v>
      </c>
      <c r="AB88" s="7">
        <f t="shared" si="179"/>
        <v>3612</v>
      </c>
      <c r="AC88" s="7">
        <f t="shared" si="179"/>
        <v>6255</v>
      </c>
      <c r="AD88" s="7">
        <f t="shared" si="179"/>
        <v>4814</v>
      </c>
      <c r="AE88" s="7">
        <f t="shared" si="179"/>
        <v>2156</v>
      </c>
      <c r="AF88" s="7"/>
      <c r="AG88" s="7"/>
      <c r="AH88" s="7"/>
      <c r="AR88" s="6">
        <f>SUM(O88:R88)</f>
        <v>11497</v>
      </c>
      <c r="AS88" s="6">
        <f>SUM(S88:V88)</f>
        <v>14724</v>
      </c>
      <c r="AT88" s="6">
        <f>SUM(W88:Z88)</f>
        <v>13256</v>
      </c>
    </row>
    <row r="89" spans="2:60" s="4" customFormat="1" x14ac:dyDescent="0.1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2:60" s="4" customFormat="1" x14ac:dyDescent="0.15">
      <c r="B90" s="10" t="s">
        <v>81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v>1151</v>
      </c>
      <c r="O90" s="5">
        <v>1348</v>
      </c>
      <c r="P90" s="5">
        <v>1505</v>
      </c>
      <c r="Q90" s="5">
        <v>1819</v>
      </c>
      <c r="R90" s="5">
        <v>1810</v>
      </c>
      <c r="S90" s="5">
        <v>1767</v>
      </c>
      <c r="T90" s="5">
        <f>3497-S90</f>
        <v>1730</v>
      </c>
      <c r="U90" s="5">
        <f>5300-T90-S90</f>
        <v>1803</v>
      </c>
      <c r="V90" s="5">
        <v>1858</v>
      </c>
      <c r="W90" s="5">
        <v>2072</v>
      </c>
      <c r="X90" s="5">
        <v>2060</v>
      </c>
      <c r="Y90" s="5">
        <v>2460</v>
      </c>
      <c r="Z90" s="5">
        <v>2306</v>
      </c>
      <c r="AA90" s="5">
        <v>-2777</v>
      </c>
      <c r="AB90" s="5">
        <v>-2272</v>
      </c>
      <c r="AC90" s="5">
        <v>-3513</v>
      </c>
      <c r="AD90" s="5">
        <v>-2780</v>
      </c>
      <c r="AE90" s="5">
        <v>-1492</v>
      </c>
      <c r="AF90" s="5"/>
      <c r="AG90" s="5"/>
      <c r="AH90" s="5"/>
      <c r="AR90" s="4">
        <f>SUM(O90:R90)</f>
        <v>6482</v>
      </c>
      <c r="AS90" s="4">
        <f>SUM(S90:V90)</f>
        <v>7158</v>
      </c>
      <c r="AT90" s="4">
        <f>SUM(W90:Z90)</f>
        <v>8898</v>
      </c>
    </row>
    <row r="91" spans="2:60" s="4" customFormat="1" x14ac:dyDescent="0.15">
      <c r="B91" s="45" t="s">
        <v>177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>
        <f>-6622+4315</f>
        <v>-2307</v>
      </c>
      <c r="AB91" s="5">
        <f>-8143+6690+200</f>
        <v>-1253</v>
      </c>
      <c r="AC91" s="5">
        <f>-6032+6670</f>
        <v>638</v>
      </c>
      <c r="AD91" s="5">
        <f>-15158+10335</f>
        <v>-4823</v>
      </c>
      <c r="AE91" s="5">
        <f>-6015+5856</f>
        <v>-159</v>
      </c>
      <c r="AF91" s="5"/>
      <c r="AG91" s="5"/>
      <c r="AH91" s="5"/>
    </row>
    <row r="92" spans="2:60" s="6" customFormat="1" x14ac:dyDescent="0.15">
      <c r="B92" s="6" t="s">
        <v>178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>
        <f t="shared" ref="AA92:AD92" si="180">+AA91+AA90</f>
        <v>-5084</v>
      </c>
      <c r="AB92" s="7">
        <f t="shared" si="180"/>
        <v>-3525</v>
      </c>
      <c r="AC92" s="7">
        <f t="shared" si="180"/>
        <v>-2875</v>
      </c>
      <c r="AD92" s="7">
        <f t="shared" si="180"/>
        <v>-7603</v>
      </c>
      <c r="AE92" s="7">
        <f>+AE91+AE90</f>
        <v>-1651</v>
      </c>
      <c r="AF92" s="7"/>
      <c r="AG92" s="7"/>
      <c r="AH92" s="7"/>
    </row>
    <row r="93" spans="2:60" s="4" customFormat="1" x14ac:dyDescent="0.15">
      <c r="B93" s="10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2:60" s="4" customFormat="1" x14ac:dyDescent="0.15">
      <c r="B94" s="45" t="s">
        <v>4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>
        <v>-140</v>
      </c>
      <c r="AB94" s="5">
        <v>2598</v>
      </c>
      <c r="AC94" s="5">
        <v>-75</v>
      </c>
      <c r="AD94" s="5">
        <v>-108</v>
      </c>
      <c r="AE94" s="5">
        <v>-50</v>
      </c>
      <c r="AF94" s="5"/>
      <c r="AG94" s="5"/>
      <c r="AH94" s="5"/>
    </row>
    <row r="95" spans="2:60" s="4" customFormat="1" x14ac:dyDescent="0.15">
      <c r="B95" s="45" t="s">
        <v>179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>
        <v>216</v>
      </c>
      <c r="AB95" s="5">
        <v>-212</v>
      </c>
      <c r="AC95" s="5">
        <v>-107</v>
      </c>
      <c r="AD95" s="5">
        <v>677</v>
      </c>
      <c r="AE95" s="5">
        <v>-674</v>
      </c>
      <c r="AF95" s="5"/>
      <c r="AG95" s="5"/>
      <c r="AH95" s="5"/>
    </row>
    <row r="96" spans="2:60" s="4" customFormat="1" x14ac:dyDescent="0.15">
      <c r="B96" s="45" t="s">
        <v>180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>
        <v>-131</v>
      </c>
      <c r="AB96" s="5">
        <v>-43</v>
      </c>
      <c r="AC96" s="5">
        <v>-26</v>
      </c>
      <c r="AD96" s="5">
        <v>-37</v>
      </c>
      <c r="AE96" s="5">
        <v>-22</v>
      </c>
      <c r="AF96" s="5"/>
      <c r="AG96" s="5"/>
      <c r="AH96" s="5"/>
    </row>
    <row r="97" spans="2:58" s="4" customFormat="1" x14ac:dyDescent="0.15">
      <c r="B97" s="45" t="s">
        <v>181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>
        <v>251</v>
      </c>
      <c r="AB97" s="5">
        <v>197</v>
      </c>
      <c r="AC97" s="5">
        <v>340</v>
      </c>
      <c r="AD97" s="5">
        <v>453</v>
      </c>
      <c r="AE97" s="5">
        <v>414</v>
      </c>
      <c r="AF97" s="5"/>
      <c r="AG97" s="5"/>
      <c r="AH97" s="5"/>
    </row>
    <row r="98" spans="2:58" s="6" customFormat="1" x14ac:dyDescent="0.15">
      <c r="B98" s="6" t="s">
        <v>182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>
        <f t="shared" ref="AA98:AD98" si="181">SUM(AA94:AA97)</f>
        <v>196</v>
      </c>
      <c r="AB98" s="7">
        <f t="shared" si="181"/>
        <v>2540</v>
      </c>
      <c r="AC98" s="7">
        <f t="shared" si="181"/>
        <v>132</v>
      </c>
      <c r="AD98" s="7">
        <f t="shared" si="181"/>
        <v>985</v>
      </c>
      <c r="AE98" s="7">
        <f>SUM(AE94:AE97)</f>
        <v>-332</v>
      </c>
      <c r="AF98" s="7"/>
      <c r="AG98" s="7"/>
      <c r="AH98" s="7"/>
    </row>
    <row r="99" spans="2:58" s="4" customFormat="1" x14ac:dyDescent="0.15">
      <c r="B99" s="10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2:58" s="4" customFormat="1" x14ac:dyDescent="0.15">
      <c r="B100" s="10" t="s">
        <v>82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>
        <f>+AA88+AA90</f>
        <v>-2535</v>
      </c>
      <c r="AB100" s="5">
        <f>+AB88+AB90</f>
        <v>1340</v>
      </c>
      <c r="AC100" s="5">
        <f>+AC88+AC90</f>
        <v>2742</v>
      </c>
      <c r="AD100" s="5">
        <f>+AD88+AD90</f>
        <v>2034</v>
      </c>
      <c r="AE100" s="5">
        <f>+AE88+AE90</f>
        <v>664</v>
      </c>
      <c r="AF100" s="5"/>
      <c r="AG100" s="5"/>
      <c r="AH100" s="5"/>
      <c r="AR100" s="4">
        <f>+AR88-AR90</f>
        <v>5015</v>
      </c>
      <c r="AS100" s="4">
        <f>+AS88-AS90</f>
        <v>7566</v>
      </c>
      <c r="AT100" s="4">
        <f>+AT88-AT90</f>
        <v>4358</v>
      </c>
    </row>
    <row r="101" spans="2:58" s="4" customFormat="1" x14ac:dyDescent="0.15">
      <c r="B101" s="10" t="s">
        <v>83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7">
        <f t="shared" ref="Q101:V101" si="182">SUM(N100:Q100)</f>
        <v>0</v>
      </c>
      <c r="R101" s="7">
        <f t="shared" si="182"/>
        <v>0</v>
      </c>
      <c r="S101" s="7">
        <f t="shared" si="182"/>
        <v>0</v>
      </c>
      <c r="T101" s="7">
        <f t="shared" si="182"/>
        <v>0</v>
      </c>
      <c r="U101" s="7">
        <f t="shared" si="182"/>
        <v>0</v>
      </c>
      <c r="V101" s="7">
        <f t="shared" si="182"/>
        <v>0</v>
      </c>
      <c r="W101" s="7">
        <f t="shared" ref="W101:AE101" si="183">SUM(T100:W100)</f>
        <v>0</v>
      </c>
      <c r="X101" s="7">
        <f t="shared" si="183"/>
        <v>0</v>
      </c>
      <c r="Y101" s="7">
        <f t="shared" si="183"/>
        <v>0</v>
      </c>
      <c r="Z101" s="7">
        <f t="shared" si="183"/>
        <v>0</v>
      </c>
      <c r="AA101" s="7">
        <f t="shared" si="183"/>
        <v>-2535</v>
      </c>
      <c r="AB101" s="7">
        <f t="shared" si="183"/>
        <v>-1195</v>
      </c>
      <c r="AC101" s="7">
        <f t="shared" si="183"/>
        <v>1547</v>
      </c>
      <c r="AD101" s="7">
        <f t="shared" si="183"/>
        <v>3581</v>
      </c>
      <c r="AE101" s="7">
        <f t="shared" si="183"/>
        <v>6780</v>
      </c>
      <c r="AF101" s="5"/>
      <c r="AG101" s="5"/>
      <c r="AH101" s="5"/>
    </row>
    <row r="102" spans="2:58" s="4" customFormat="1" x14ac:dyDescent="0.1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2:58" s="4" customFormat="1" x14ac:dyDescent="0.15">
      <c r="B103" s="29" t="s">
        <v>115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>W104-W121</f>
        <v>19726</v>
      </c>
      <c r="X103" s="5">
        <f t="shared" ref="X103:AE103" si="184">X104-X121</f>
        <v>25105</v>
      </c>
      <c r="Y103" s="5">
        <f t="shared" si="184"/>
        <v>26958</v>
      </c>
      <c r="Z103" s="5">
        <f t="shared" si="184"/>
        <v>23864</v>
      </c>
      <c r="AA103" s="5">
        <f t="shared" si="184"/>
        <v>21503</v>
      </c>
      <c r="AB103" s="5">
        <f t="shared" si="184"/>
        <v>22975</v>
      </c>
      <c r="AC103" s="5">
        <f t="shared" si="184"/>
        <v>25952</v>
      </c>
      <c r="AD103" s="5">
        <f t="shared" si="184"/>
        <v>28350</v>
      </c>
      <c r="AE103" s="5">
        <f t="shared" si="184"/>
        <v>29467</v>
      </c>
      <c r="AF103" s="5"/>
      <c r="AG103" s="5"/>
      <c r="AH103" s="5"/>
      <c r="AT103" s="4">
        <f>Z103</f>
        <v>23864</v>
      </c>
      <c r="AU103" s="4">
        <f>AT103+AU67</f>
        <v>31450</v>
      </c>
      <c r="AV103" s="4">
        <f t="shared" ref="AV103:BA103" si="185">AU103+AV67</f>
        <v>44885.391420623768</v>
      </c>
      <c r="AW103" s="4">
        <f t="shared" si="185"/>
        <v>67696.297301370549</v>
      </c>
      <c r="AX103" s="4">
        <f t="shared" si="185"/>
        <v>98451.376845425824</v>
      </c>
      <c r="AY103" s="4">
        <f t="shared" si="185"/>
        <v>142636.96956514573</v>
      </c>
      <c r="AZ103" s="4">
        <f t="shared" si="185"/>
        <v>202070.56868907699</v>
      </c>
      <c r="BA103" s="4">
        <f t="shared" si="185"/>
        <v>277570.76216878544</v>
      </c>
      <c r="BB103" s="4">
        <f t="shared" ref="BB103" si="186">BA103+BB67</f>
        <v>364740.91587602173</v>
      </c>
      <c r="BC103" s="4">
        <f t="shared" ref="BC103" si="187">BB103+BC67</f>
        <v>465001.71818450763</v>
      </c>
      <c r="BD103" s="4">
        <f t="shared" ref="BD103" si="188">BC103+BD67</f>
        <v>579928.68088484067</v>
      </c>
      <c r="BE103" s="4">
        <f t="shared" ref="BE103" si="189">BD103+BE67</f>
        <v>711267.98777096125</v>
      </c>
      <c r="BF103" s="4">
        <f t="shared" ref="BF103" si="190">BE103+BF67</f>
        <v>860953.9029707429</v>
      </c>
    </row>
    <row r="104" spans="2:58" s="4" customFormat="1" x14ac:dyDescent="0.15">
      <c r="B104" s="10" t="s">
        <v>3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8"/>
      <c r="S104" s="8">
        <f>17576+131</f>
        <v>17707</v>
      </c>
      <c r="T104" s="8">
        <f>18324+591</f>
        <v>18915</v>
      </c>
      <c r="U104" s="5">
        <f>19532+1575</f>
        <v>21107</v>
      </c>
      <c r="V104" s="5"/>
      <c r="W104" s="5">
        <f>22402</f>
        <v>22402</v>
      </c>
      <c r="X104" s="5">
        <f>W104+X67</f>
        <v>25105</v>
      </c>
      <c r="Y104" s="5">
        <f t="shared" ref="Y104" si="191">X104+Y67</f>
        <v>26958</v>
      </c>
      <c r="Z104" s="36">
        <f>16398+12696</f>
        <v>29094</v>
      </c>
      <c r="AA104" s="5">
        <v>26863</v>
      </c>
      <c r="AB104" s="5">
        <f>14635+16085</f>
        <v>30720</v>
      </c>
      <c r="AC104" s="5">
        <v>33648</v>
      </c>
      <c r="AD104" s="5">
        <v>36563</v>
      </c>
      <c r="AE104" s="5">
        <v>36996</v>
      </c>
      <c r="AF104" s="5"/>
      <c r="AG104" s="5"/>
      <c r="AH104" s="5"/>
    </row>
    <row r="105" spans="2:58" s="4" customFormat="1" x14ac:dyDescent="0.15">
      <c r="B105" s="10" t="s">
        <v>63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>
        <v>1913</v>
      </c>
      <c r="T105" s="5">
        <v>2081</v>
      </c>
      <c r="U105" s="5">
        <v>2192</v>
      </c>
      <c r="V105" s="5"/>
      <c r="W105" s="5">
        <v>2993</v>
      </c>
      <c r="X105" s="5"/>
      <c r="Y105" s="5"/>
      <c r="Z105" s="5">
        <v>3508</v>
      </c>
      <c r="AA105" s="5">
        <v>3887</v>
      </c>
      <c r="AB105" s="5">
        <v>3737</v>
      </c>
      <c r="AC105" s="5">
        <v>3313</v>
      </c>
      <c r="AD105" s="5">
        <v>4418</v>
      </c>
      <c r="AE105" s="5">
        <v>3782</v>
      </c>
      <c r="AF105" s="5"/>
      <c r="AG105" s="5"/>
      <c r="AH105" s="5"/>
    </row>
    <row r="106" spans="2:58" s="4" customFormat="1" x14ac:dyDescent="0.15">
      <c r="B106" s="10" t="s">
        <v>59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>
        <v>5757</v>
      </c>
      <c r="T106" s="5">
        <v>8108</v>
      </c>
      <c r="U106" s="5">
        <v>10327</v>
      </c>
      <c r="V106" s="5"/>
      <c r="W106" s="5">
        <v>14375</v>
      </c>
      <c r="X106" s="5"/>
      <c r="Y106" s="5"/>
      <c r="Z106" s="5">
        <v>13626</v>
      </c>
      <c r="AA106" s="5">
        <v>16033</v>
      </c>
      <c r="AB106" s="5">
        <v>14195</v>
      </c>
      <c r="AC106" s="5">
        <v>14530</v>
      </c>
      <c r="AD106" s="5">
        <v>12017</v>
      </c>
      <c r="AE106" s="5">
        <v>13706</v>
      </c>
      <c r="AF106" s="5"/>
      <c r="AG106" s="5"/>
      <c r="AH106" s="5"/>
    </row>
    <row r="107" spans="2:58" s="4" customFormat="1" x14ac:dyDescent="0.15">
      <c r="B107" s="10" t="s">
        <v>64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>
        <v>1723</v>
      </c>
      <c r="T107" s="5">
        <v>2118</v>
      </c>
      <c r="U107" s="5">
        <v>2364</v>
      </c>
      <c r="V107" s="5"/>
      <c r="W107" s="5">
        <v>3227</v>
      </c>
      <c r="X107" s="5"/>
      <c r="Y107" s="5"/>
      <c r="Z107" s="5">
        <v>3388</v>
      </c>
      <c r="AA107" s="5">
        <v>3752</v>
      </c>
      <c r="AB107" s="5">
        <v>4325</v>
      </c>
      <c r="AC107" s="5">
        <v>4888</v>
      </c>
      <c r="AD107" s="5">
        <v>5362</v>
      </c>
      <c r="AE107" s="5">
        <v>4905</v>
      </c>
      <c r="AF107" s="5"/>
      <c r="AG107" s="5"/>
      <c r="AH107" s="5"/>
    </row>
    <row r="108" spans="2:58" s="4" customFormat="1" x14ac:dyDescent="0.15">
      <c r="B108" s="10" t="s">
        <v>65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>
        <v>4511</v>
      </c>
      <c r="T108" s="5">
        <v>4782</v>
      </c>
      <c r="U108" s="5">
        <v>4824</v>
      </c>
      <c r="V108" s="5"/>
      <c r="W108" s="5">
        <v>5473</v>
      </c>
      <c r="X108" s="5"/>
      <c r="Y108" s="5"/>
      <c r="Z108" s="5">
        <v>5989</v>
      </c>
      <c r="AA108" s="5">
        <v>5736</v>
      </c>
      <c r="AB108" s="5">
        <v>5541</v>
      </c>
      <c r="AC108" s="5">
        <v>5380</v>
      </c>
      <c r="AD108" s="5">
        <v>5581</v>
      </c>
      <c r="AE108" s="5">
        <v>5477</v>
      </c>
      <c r="AF108" s="5"/>
      <c r="AG108" s="5"/>
      <c r="AH108" s="5"/>
    </row>
    <row r="109" spans="2:58" s="4" customFormat="1" x14ac:dyDescent="0.15">
      <c r="B109" s="10" t="s">
        <v>66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>
        <v>5765</v>
      </c>
      <c r="T109" s="5">
        <v>5624</v>
      </c>
      <c r="U109" s="5">
        <v>5562</v>
      </c>
      <c r="V109" s="5"/>
      <c r="W109" s="5">
        <v>5427</v>
      </c>
      <c r="X109" s="5"/>
      <c r="Y109" s="5"/>
      <c r="Z109" s="5">
        <v>5229</v>
      </c>
      <c r="AA109" s="5">
        <v>5162</v>
      </c>
      <c r="AB109" s="5">
        <v>5102</v>
      </c>
      <c r="AC109" s="5">
        <v>5040</v>
      </c>
      <c r="AD109" s="5">
        <v>4924</v>
      </c>
      <c r="AE109" s="5">
        <v>4855</v>
      </c>
      <c r="AF109" s="5"/>
      <c r="AG109" s="5"/>
      <c r="AH109" s="5"/>
    </row>
    <row r="110" spans="2:58" s="4" customFormat="1" x14ac:dyDescent="0.15">
      <c r="B110" s="10" t="s">
        <v>67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>
        <v>18884</v>
      </c>
      <c r="T110" s="5">
        <v>21093</v>
      </c>
      <c r="U110" s="5">
        <v>21926</v>
      </c>
      <c r="V110" s="5"/>
      <c r="W110" s="5">
        <v>24969</v>
      </c>
      <c r="X110" s="5"/>
      <c r="Y110" s="5"/>
      <c r="Z110" s="5">
        <v>29725</v>
      </c>
      <c r="AA110" s="5">
        <v>31436</v>
      </c>
      <c r="AB110" s="42">
        <v>32902</v>
      </c>
      <c r="AC110" s="5">
        <v>36116</v>
      </c>
      <c r="AD110" s="5">
        <v>35836</v>
      </c>
      <c r="AE110" s="5">
        <v>37088</v>
      </c>
      <c r="AF110" s="5"/>
      <c r="AG110" s="5"/>
      <c r="AH110" s="5"/>
    </row>
    <row r="111" spans="2:58" s="4" customFormat="1" x14ac:dyDescent="0.15">
      <c r="B111" s="10" t="s">
        <v>68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>
        <v>2016</v>
      </c>
      <c r="T111" s="5">
        <v>2185</v>
      </c>
      <c r="U111" s="5">
        <v>2251</v>
      </c>
      <c r="V111" s="5"/>
      <c r="W111" s="5">
        <v>2800</v>
      </c>
      <c r="X111" s="5"/>
      <c r="Y111" s="5"/>
      <c r="Z111" s="5">
        <v>4180</v>
      </c>
      <c r="AA111" s="5">
        <v>4367</v>
      </c>
      <c r="AB111" s="5">
        <v>4563</v>
      </c>
      <c r="AC111" s="5">
        <v>4867</v>
      </c>
      <c r="AD111" s="5">
        <v>5160</v>
      </c>
      <c r="AE111" s="5">
        <v>5330</v>
      </c>
      <c r="AF111" s="5"/>
      <c r="AG111" s="5"/>
      <c r="AH111" s="5"/>
    </row>
    <row r="112" spans="2:58" s="4" customFormat="1" x14ac:dyDescent="0.15">
      <c r="B112" s="10" t="s">
        <v>69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>
        <v>1260</v>
      </c>
      <c r="T112" s="5">
        <v>218</v>
      </c>
      <c r="U112" s="5">
        <v>218</v>
      </c>
      <c r="V112" s="5"/>
      <c r="W112" s="5">
        <v>184</v>
      </c>
      <c r="X112" s="5"/>
      <c r="Y112" s="5"/>
      <c r="Z112" s="5">
        <v>184</v>
      </c>
      <c r="AA112" s="5">
        <v>822</v>
      </c>
      <c r="AB112" s="5">
        <v>722</v>
      </c>
      <c r="AC112" s="5">
        <v>729</v>
      </c>
      <c r="AD112" s="5">
        <v>1076</v>
      </c>
      <c r="AE112" s="5">
        <v>951</v>
      </c>
      <c r="AF112" s="5"/>
      <c r="AG112" s="5"/>
      <c r="AH112" s="5"/>
    </row>
    <row r="113" spans="2:58" s="4" customFormat="1" x14ac:dyDescent="0.15">
      <c r="B113" s="10" t="s">
        <v>70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>
        <v>457</v>
      </c>
      <c r="T113" s="5">
        <f>241+196</f>
        <v>437</v>
      </c>
      <c r="U113" s="5">
        <f>228+191</f>
        <v>419</v>
      </c>
      <c r="V113" s="5"/>
      <c r="W113" s="5">
        <v>399</v>
      </c>
      <c r="X113" s="5"/>
      <c r="Y113" s="5"/>
      <c r="Z113" s="5">
        <f>178+253</f>
        <v>431</v>
      </c>
      <c r="AA113" s="5">
        <v>421</v>
      </c>
      <c r="AB113" s="5">
        <f>164+249</f>
        <v>413</v>
      </c>
      <c r="AC113" s="5">
        <v>411</v>
      </c>
      <c r="AD113" s="5">
        <v>394</v>
      </c>
      <c r="AE113" s="5">
        <v>392</v>
      </c>
      <c r="AF113" s="5"/>
      <c r="AG113" s="5"/>
      <c r="AH113" s="5"/>
    </row>
    <row r="114" spans="2:58" s="4" customFormat="1" x14ac:dyDescent="0.15">
      <c r="B114" s="10" t="s">
        <v>71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>
        <v>2138</v>
      </c>
      <c r="T114" s="5">
        <v>2952</v>
      </c>
      <c r="U114" s="5">
        <v>3236</v>
      </c>
      <c r="V114" s="5"/>
      <c r="W114" s="5">
        <v>4584</v>
      </c>
      <c r="X114" s="5"/>
      <c r="Y114" s="5"/>
      <c r="Z114" s="5">
        <f>6733+4531</f>
        <v>11264</v>
      </c>
      <c r="AA114" s="5">
        <f>4616+6628</f>
        <v>11244</v>
      </c>
      <c r="AB114" s="5">
        <f>6573+4458</f>
        <v>11031</v>
      </c>
      <c r="AC114" s="5">
        <f>6366+4989</f>
        <v>11355</v>
      </c>
      <c r="AD114" s="5">
        <f>6524+4215</f>
        <v>10739</v>
      </c>
      <c r="AE114" s="5">
        <f>4942+6687</f>
        <v>11629</v>
      </c>
      <c r="AF114" s="5"/>
      <c r="AG114" s="5"/>
      <c r="AH114" s="5"/>
    </row>
    <row r="115" spans="2:58" s="4" customFormat="1" x14ac:dyDescent="0.15">
      <c r="B115" s="10" t="s">
        <v>72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>
        <f>SUM(S104:S114)</f>
        <v>62131</v>
      </c>
      <c r="T115" s="5">
        <f t="shared" ref="T115:AE115" si="192">SUM(T104:T114)</f>
        <v>68513</v>
      </c>
      <c r="U115" s="5">
        <f t="shared" si="192"/>
        <v>74426</v>
      </c>
      <c r="V115" s="5">
        <f t="shared" si="192"/>
        <v>0</v>
      </c>
      <c r="W115" s="5">
        <f t="shared" si="192"/>
        <v>86833</v>
      </c>
      <c r="X115" s="5">
        <f t="shared" si="192"/>
        <v>25105</v>
      </c>
      <c r="Y115" s="5">
        <f t="shared" si="192"/>
        <v>26958</v>
      </c>
      <c r="Z115" s="5">
        <f t="shared" si="192"/>
        <v>106618</v>
      </c>
      <c r="AA115" s="5">
        <f t="shared" si="192"/>
        <v>109723</v>
      </c>
      <c r="AB115" s="5">
        <f t="shared" si="192"/>
        <v>113251</v>
      </c>
      <c r="AC115" s="5">
        <f t="shared" si="192"/>
        <v>120277</v>
      </c>
      <c r="AD115" s="5">
        <f t="shared" si="192"/>
        <v>122070</v>
      </c>
      <c r="AE115" s="5">
        <f t="shared" si="192"/>
        <v>125111</v>
      </c>
      <c r="AF115" s="5"/>
      <c r="AG115" s="5"/>
      <c r="AH115" s="5"/>
    </row>
    <row r="116" spans="2:58" x14ac:dyDescent="0.15">
      <c r="S116" s="5"/>
      <c r="T116" s="5"/>
      <c r="U116" s="5"/>
      <c r="AA116" s="5"/>
      <c r="AB116" s="5"/>
    </row>
    <row r="117" spans="2:58" x14ac:dyDescent="0.15">
      <c r="B117" s="9" t="s">
        <v>73</v>
      </c>
      <c r="S117" s="5">
        <v>10025</v>
      </c>
      <c r="T117" s="5">
        <v>11212</v>
      </c>
      <c r="U117" s="5">
        <v>13897</v>
      </c>
      <c r="W117" s="5">
        <v>15904</v>
      </c>
      <c r="Z117" s="5">
        <v>14431</v>
      </c>
      <c r="AA117" s="5">
        <v>14725</v>
      </c>
      <c r="AB117" s="5">
        <v>13056</v>
      </c>
      <c r="AC117" s="5">
        <v>14654</v>
      </c>
      <c r="AD117" s="5">
        <v>12474</v>
      </c>
      <c r="AE117" s="5">
        <v>13471</v>
      </c>
    </row>
    <row r="118" spans="2:58" x14ac:dyDescent="0.15">
      <c r="B118" s="9" t="s">
        <v>74</v>
      </c>
      <c r="S118" s="5">
        <v>5719</v>
      </c>
      <c r="T118" s="5">
        <v>6037</v>
      </c>
      <c r="U118" s="5">
        <v>6246</v>
      </c>
      <c r="W118" s="5">
        <v>7321</v>
      </c>
      <c r="Z118" s="5">
        <v>9080</v>
      </c>
      <c r="AA118" s="5">
        <v>9243</v>
      </c>
      <c r="AB118" s="5">
        <v>9616</v>
      </c>
      <c r="AC118" s="5">
        <v>10601</v>
      </c>
      <c r="AD118" s="5">
        <v>10723</v>
      </c>
      <c r="AE118" s="5">
        <v>10802</v>
      </c>
    </row>
    <row r="119" spans="2:58" x14ac:dyDescent="0.15">
      <c r="B119" s="9" t="s">
        <v>75</v>
      </c>
      <c r="S119" s="5">
        <f>1447+2052</f>
        <v>3499</v>
      </c>
      <c r="T119" s="5">
        <f>1858+2210</f>
        <v>4068</v>
      </c>
      <c r="U119" s="5">
        <f>1928+2265</f>
        <v>4193</v>
      </c>
      <c r="W119" s="5">
        <f>1750+2911</f>
        <v>4661</v>
      </c>
      <c r="Z119" s="5">
        <f>2864+3251</f>
        <v>6115</v>
      </c>
      <c r="AA119" s="5">
        <f>3024+3214</f>
        <v>6238</v>
      </c>
      <c r="AB119" s="5">
        <f>2793+3357</f>
        <v>6150</v>
      </c>
      <c r="AC119" s="5">
        <f>3031+3350</f>
        <v>6381</v>
      </c>
      <c r="AD119" s="5">
        <f>3168+3317</f>
        <v>6485</v>
      </c>
      <c r="AE119" s="5">
        <f>3243+3610</f>
        <v>6853</v>
      </c>
    </row>
    <row r="120" spans="2:58" x14ac:dyDescent="0.15">
      <c r="B120" s="9" t="s">
        <v>76</v>
      </c>
      <c r="S120" s="5">
        <v>925</v>
      </c>
      <c r="T120" s="5">
        <v>1182</v>
      </c>
      <c r="U120" s="5">
        <v>1083</v>
      </c>
      <c r="W120" s="5">
        <v>1057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:58" x14ac:dyDescent="0.15">
      <c r="B121" s="9" t="s">
        <v>4</v>
      </c>
      <c r="S121" s="5">
        <f>1589+5245</f>
        <v>6834</v>
      </c>
      <c r="T121" s="5">
        <f>2898+1532</f>
        <v>4430</v>
      </c>
      <c r="U121" s="5">
        <f>2096+1457</f>
        <v>3553</v>
      </c>
      <c r="W121" s="5">
        <f>1404+1272</f>
        <v>2676</v>
      </c>
      <c r="X121" s="5"/>
      <c r="Y121" s="5"/>
      <c r="Z121" s="5">
        <f>2373+2857</f>
        <v>5230</v>
      </c>
      <c r="AA121" s="5">
        <f>2461+2899</f>
        <v>5360</v>
      </c>
      <c r="AB121" s="5">
        <f>2264+5481</f>
        <v>7745</v>
      </c>
      <c r="AC121" s="5">
        <f>5405+2291</f>
        <v>7696</v>
      </c>
      <c r="AD121" s="5">
        <f>2456+5757</f>
        <v>8213</v>
      </c>
      <c r="AE121" s="5">
        <f>2237+5292</f>
        <v>7529</v>
      </c>
      <c r="AF121" s="5"/>
      <c r="AG121" s="5"/>
      <c r="AH121" s="5"/>
    </row>
    <row r="122" spans="2:58" x14ac:dyDescent="0.15">
      <c r="B122" s="9" t="s">
        <v>77</v>
      </c>
      <c r="S122" s="5">
        <v>3546</v>
      </c>
      <c r="T122" s="5">
        <v>3926</v>
      </c>
      <c r="U122" s="5">
        <v>4330</v>
      </c>
      <c r="W122" s="5">
        <v>5979</v>
      </c>
      <c r="Z122" s="5">
        <v>8153</v>
      </c>
      <c r="AA122" s="5">
        <v>8480</v>
      </c>
      <c r="AB122" s="5">
        <v>9002</v>
      </c>
      <c r="AC122" s="5">
        <v>9810</v>
      </c>
      <c r="AD122" s="5">
        <v>10495</v>
      </c>
      <c r="AE122" s="5">
        <v>11038</v>
      </c>
    </row>
    <row r="123" spans="2:58" x14ac:dyDescent="0.15">
      <c r="B123" s="9" t="s">
        <v>78</v>
      </c>
      <c r="S123" s="5">
        <f>30189+826+568</f>
        <v>31583</v>
      </c>
      <c r="T123" s="5">
        <f>36376+421+861</f>
        <v>37658</v>
      </c>
      <c r="U123" s="5">
        <f>39851+852+421</f>
        <v>41124</v>
      </c>
      <c r="W123" s="5">
        <f>48054+407+774</f>
        <v>49235</v>
      </c>
      <c r="Z123" s="5">
        <f>62634+733+242</f>
        <v>63609</v>
      </c>
      <c r="AA123" s="5">
        <f>73+64875+729</f>
        <v>65677</v>
      </c>
      <c r="AB123" s="5">
        <f>66887+72+723</f>
        <v>67682</v>
      </c>
      <c r="AC123" s="5">
        <f>70356+709+70</f>
        <v>71135</v>
      </c>
      <c r="AD123" s="5">
        <f>72913+704+63</f>
        <v>73680</v>
      </c>
      <c r="AE123" s="5">
        <f>74653+703+62</f>
        <v>75418</v>
      </c>
    </row>
    <row r="124" spans="2:58" x14ac:dyDescent="0.15">
      <c r="B124" s="9" t="s">
        <v>79</v>
      </c>
      <c r="S124" s="5">
        <f>SUM(S117:S123)</f>
        <v>62131</v>
      </c>
      <c r="T124" s="5">
        <f>SUM(T117:T123)</f>
        <v>68513</v>
      </c>
      <c r="U124" s="5">
        <f>SUM(U117:U123)</f>
        <v>74426</v>
      </c>
      <c r="V124" s="5">
        <f>SUM(V117:V123)</f>
        <v>0</v>
      </c>
      <c r="W124" s="5">
        <f>SUM(W117:W123)</f>
        <v>86833</v>
      </c>
      <c r="Z124" s="5">
        <f t="shared" ref="Z124:AE124" si="193">SUM(Z117:Z123)</f>
        <v>106618</v>
      </c>
      <c r="AA124" s="5">
        <f t="shared" si="193"/>
        <v>109723</v>
      </c>
      <c r="AB124" s="5">
        <f t="shared" si="193"/>
        <v>113251</v>
      </c>
      <c r="AC124" s="5">
        <f t="shared" si="193"/>
        <v>120277</v>
      </c>
      <c r="AD124" s="5">
        <f t="shared" si="193"/>
        <v>122070</v>
      </c>
      <c r="AE124" s="5">
        <f t="shared" si="193"/>
        <v>125111</v>
      </c>
    </row>
    <row r="125" spans="2:58" x14ac:dyDescent="0.15">
      <c r="S125" s="5"/>
    </row>
    <row r="126" spans="2:58" x14ac:dyDescent="0.15">
      <c r="B126" s="33" t="s">
        <v>154</v>
      </c>
      <c r="S126" s="5"/>
      <c r="Z126" s="5">
        <v>3540</v>
      </c>
      <c r="AA126" s="5"/>
      <c r="AB126" s="5">
        <v>3660</v>
      </c>
      <c r="AS126" s="4">
        <v>2913</v>
      </c>
      <c r="AT126" s="4">
        <v>3536</v>
      </c>
    </row>
    <row r="127" spans="2:58" x14ac:dyDescent="0.15">
      <c r="B127" s="33" t="s">
        <v>159</v>
      </c>
      <c r="S127" s="5"/>
      <c r="Z127" s="5"/>
      <c r="AA127" s="5"/>
      <c r="AB127" s="5"/>
      <c r="AS127" s="4">
        <v>1178</v>
      </c>
      <c r="AT127" s="4">
        <v>1201</v>
      </c>
      <c r="AU127" s="4">
        <f t="shared" ref="AU127:BA127" si="194">+AU37*AU132*8/1000</f>
        <v>1717.65696</v>
      </c>
      <c r="AV127" s="4">
        <f t="shared" si="194"/>
        <v>2951.0091519999996</v>
      </c>
      <c r="AW127" s="4">
        <f t="shared" si="194"/>
        <v>4610.9517999999998</v>
      </c>
      <c r="AX127" s="4">
        <f t="shared" si="194"/>
        <v>6639.7705919999999</v>
      </c>
      <c r="AY127" s="4">
        <f t="shared" si="194"/>
        <v>9295.6788288000007</v>
      </c>
      <c r="AZ127" s="4">
        <f t="shared" si="194"/>
        <v>12217.177889280001</v>
      </c>
      <c r="BA127" s="4">
        <f t="shared" si="194"/>
        <v>15118.757637983999</v>
      </c>
      <c r="BB127" s="4">
        <f t="shared" ref="BB127:BF127" si="195">+BB37*BB132*8/1000</f>
        <v>16315.659284324402</v>
      </c>
      <c r="BC127" s="4">
        <f t="shared" si="195"/>
        <v>17594.454201203884</v>
      </c>
      <c r="BD127" s="4">
        <f t="shared" si="195"/>
        <v>18960.339461560503</v>
      </c>
      <c r="BE127" s="4">
        <f t="shared" si="195"/>
        <v>20418.827112449773</v>
      </c>
      <c r="BF127" s="4">
        <f t="shared" si="195"/>
        <v>21975.762679774063</v>
      </c>
    </row>
    <row r="128" spans="2:58" x14ac:dyDescent="0.15">
      <c r="B128" s="33" t="s">
        <v>160</v>
      </c>
      <c r="S128" s="5"/>
      <c r="Z128" s="5"/>
      <c r="AA128" s="5"/>
      <c r="AB128" s="5"/>
      <c r="AS128" s="4">
        <v>580</v>
      </c>
      <c r="AT128" s="4">
        <v>595</v>
      </c>
    </row>
    <row r="129" spans="2:58" x14ac:dyDescent="0.15">
      <c r="B129" s="33"/>
      <c r="S129" s="5"/>
      <c r="Z129" s="5"/>
      <c r="AA129" s="5"/>
      <c r="AB129" s="5"/>
      <c r="AS129" s="4"/>
      <c r="AT129" s="4"/>
    </row>
    <row r="130" spans="2:58" x14ac:dyDescent="0.15">
      <c r="B130" s="33" t="s">
        <v>161</v>
      </c>
      <c r="S130" s="5"/>
      <c r="Z130" s="5"/>
      <c r="AA130" s="5"/>
      <c r="AB130" s="5"/>
      <c r="AS130" s="4"/>
      <c r="AT130" s="6">
        <f>+AT127/8</f>
        <v>150.125</v>
      </c>
      <c r="AU130" s="4">
        <f>+AU127/8</f>
        <v>214.70712</v>
      </c>
      <c r="AV130" s="4">
        <f t="shared" ref="AV130:BA130" si="196">+AV127/8</f>
        <v>368.87614399999995</v>
      </c>
      <c r="AW130" s="4">
        <f t="shared" si="196"/>
        <v>576.36897499999998</v>
      </c>
      <c r="AX130" s="4">
        <f t="shared" si="196"/>
        <v>829.97132399999998</v>
      </c>
      <c r="AY130" s="4">
        <f t="shared" si="196"/>
        <v>1161.9598536000001</v>
      </c>
      <c r="AZ130" s="4">
        <f t="shared" si="196"/>
        <v>1527.1472361600001</v>
      </c>
      <c r="BA130" s="4">
        <f t="shared" si="196"/>
        <v>1889.8447047479999</v>
      </c>
      <c r="BB130" s="4">
        <f t="shared" ref="BB130:BF130" si="197">+BB127/8</f>
        <v>2039.4574105405502</v>
      </c>
      <c r="BC130" s="4">
        <f t="shared" si="197"/>
        <v>2199.3067751504855</v>
      </c>
      <c r="BD130" s="4">
        <f t="shared" si="197"/>
        <v>2370.0424326950629</v>
      </c>
      <c r="BE130" s="4">
        <f t="shared" si="197"/>
        <v>2552.3533890562217</v>
      </c>
      <c r="BF130" s="4">
        <f t="shared" si="197"/>
        <v>2746.9703349717579</v>
      </c>
    </row>
    <row r="131" spans="2:58" x14ac:dyDescent="0.15">
      <c r="B131" s="33" t="s">
        <v>162</v>
      </c>
      <c r="S131" s="5"/>
      <c r="AT131" s="26">
        <f>+AT126/AS126-1</f>
        <v>0.21386886371438374</v>
      </c>
    </row>
    <row r="132" spans="2:58" x14ac:dyDescent="0.15">
      <c r="B132" s="33" t="s">
        <v>163</v>
      </c>
      <c r="S132" s="5"/>
      <c r="AT132" s="26">
        <f>+AT130*1000/AT37</f>
        <v>8.3007064654555152E-2</v>
      </c>
      <c r="AU132" s="26">
        <v>0.12</v>
      </c>
      <c r="AV132" s="26">
        <v>0.16</v>
      </c>
      <c r="AW132" s="26">
        <v>0.2</v>
      </c>
      <c r="AX132" s="26">
        <v>0.24</v>
      </c>
      <c r="AY132" s="26">
        <v>0.28000000000000003</v>
      </c>
      <c r="AZ132" s="26">
        <v>0.32</v>
      </c>
      <c r="BA132" s="26">
        <v>0.36</v>
      </c>
      <c r="BB132" s="26">
        <v>0.37</v>
      </c>
      <c r="BC132" s="26">
        <v>0.38</v>
      </c>
      <c r="BD132" s="26">
        <v>0.39</v>
      </c>
      <c r="BE132" s="26">
        <v>0.4</v>
      </c>
      <c r="BF132" s="26">
        <v>0.41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D14" sqref="D14"/>
    </sheetView>
  </sheetViews>
  <sheetFormatPr baseColWidth="10" defaultColWidth="9.1640625" defaultRowHeight="13" x14ac:dyDescent="0.15"/>
  <cols>
    <col min="1" max="1" width="5" style="28" bestFit="1" customWidth="1"/>
    <col min="2" max="2" width="9.1640625" style="28"/>
    <col min="3" max="3" width="11.6640625" style="28" customWidth="1"/>
    <col min="4" max="16384" width="9.1640625" style="28"/>
  </cols>
  <sheetData>
    <row r="1" spans="1:5" ht="15" x14ac:dyDescent="0.2">
      <c r="A1" s="34" t="s">
        <v>8</v>
      </c>
    </row>
    <row r="4" spans="1:5" x14ac:dyDescent="0.15">
      <c r="B4" s="28" t="s">
        <v>98</v>
      </c>
      <c r="C4" s="28" t="s">
        <v>99</v>
      </c>
      <c r="D4" s="28">
        <v>100000</v>
      </c>
    </row>
    <row r="5" spans="1:5" x14ac:dyDescent="0.15">
      <c r="C5" s="28" t="s">
        <v>100</v>
      </c>
      <c r="D5" s="28">
        <v>550000</v>
      </c>
    </row>
    <row r="6" spans="1:5" x14ac:dyDescent="0.15">
      <c r="B6" s="28" t="s">
        <v>101</v>
      </c>
      <c r="C6" s="28" t="s">
        <v>100</v>
      </c>
      <c r="D6" s="28">
        <v>750000</v>
      </c>
      <c r="E6" s="28">
        <v>950000</v>
      </c>
    </row>
    <row r="7" spans="1:5" x14ac:dyDescent="0.15">
      <c r="B7" s="28" t="s">
        <v>102</v>
      </c>
      <c r="C7" s="28" t="s">
        <v>103</v>
      </c>
      <c r="D7" s="28">
        <v>350000</v>
      </c>
      <c r="E7" s="28">
        <v>375000</v>
      </c>
    </row>
    <row r="8" spans="1:5" x14ac:dyDescent="0.15">
      <c r="B8" s="28" t="s">
        <v>104</v>
      </c>
      <c r="C8" s="28" t="s">
        <v>103</v>
      </c>
      <c r="D8" s="28">
        <v>250000</v>
      </c>
    </row>
    <row r="9" spans="1:5" x14ac:dyDescent="0.15">
      <c r="C9" s="28" t="s">
        <v>105</v>
      </c>
      <c r="D9" s="28">
        <v>300000</v>
      </c>
      <c r="E9" s="28">
        <v>125000</v>
      </c>
    </row>
    <row r="10" spans="1:5" x14ac:dyDescent="0.15">
      <c r="B10" s="28" t="s">
        <v>106</v>
      </c>
      <c r="C10" s="28" t="s">
        <v>107</v>
      </c>
      <c r="D10" s="28">
        <v>300000</v>
      </c>
    </row>
    <row r="11" spans="1:5" x14ac:dyDescent="0.15">
      <c r="C11" s="28" t="s">
        <v>108</v>
      </c>
      <c r="D11" s="28">
        <v>300000</v>
      </c>
    </row>
    <row r="12" spans="1:5" x14ac:dyDescent="0.15">
      <c r="C12" s="28" t="s">
        <v>109</v>
      </c>
      <c r="D12" s="28">
        <v>300000</v>
      </c>
    </row>
    <row r="13" spans="1:5" x14ac:dyDescent="0.15">
      <c r="B13" s="33" t="s">
        <v>156</v>
      </c>
    </row>
    <row r="14" spans="1:5" x14ac:dyDescent="0.15">
      <c r="B14" s="33" t="s">
        <v>157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111" zoomScaleNormal="111" workbookViewId="0">
      <selection activeCell="B5" sqref="B5"/>
    </sheetView>
  </sheetViews>
  <sheetFormatPr baseColWidth="10" defaultColWidth="9.1640625" defaultRowHeight="13" x14ac:dyDescent="0.15"/>
  <cols>
    <col min="1" max="1" width="5" style="33" bestFit="1" customWidth="1"/>
    <col min="2" max="16384" width="9.1640625" style="33"/>
  </cols>
  <sheetData>
    <row r="1" spans="1:1" x14ac:dyDescent="0.15">
      <c r="A1" s="3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eliaziliani@icloud.com</cp:lastModifiedBy>
  <cp:revision/>
  <dcterms:created xsi:type="dcterms:W3CDTF">2022-07-01T16:14:29Z</dcterms:created>
  <dcterms:modified xsi:type="dcterms:W3CDTF">2025-07-26T01:41:26Z</dcterms:modified>
  <cp:category/>
  <cp:contentStatus/>
</cp:coreProperties>
</file>