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ttinghamedu1.sharepoint.com/sites/2425MMME2042DesignManufactureandProject/Student Work/Working files/Zibo ZHENG (20515130)/Fish Feeder PDR/"/>
    </mc:Choice>
  </mc:AlternateContent>
  <xr:revisionPtr revIDLastSave="854" documentId="11_A639274CB821C82A242541340BFE8FE820472341" xr6:coauthVersionLast="47" xr6:coauthVersionMax="47" xr10:uidLastSave="{629ED059-8970-4F37-A977-A522A6E01A82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V45" i="1" l="1"/>
  <c r="EV43" i="1"/>
  <c r="EV38" i="1"/>
  <c r="EU32" i="1"/>
  <c r="EU30" i="1"/>
  <c r="EU29" i="1"/>
  <c r="EU28" i="1"/>
  <c r="EU25" i="1"/>
  <c r="EU11" i="1"/>
  <c r="EU9" i="1"/>
  <c r="DU26" i="1"/>
  <c r="DU22" i="1"/>
  <c r="DU21" i="1"/>
  <c r="DU16" i="1"/>
  <c r="DU13" i="1"/>
  <c r="DU11" i="1"/>
  <c r="DU7" i="1"/>
  <c r="DU8" i="1" s="1"/>
  <c r="DU17" i="1" s="1"/>
  <c r="CY14" i="1"/>
  <c r="CY13" i="1"/>
  <c r="CY9" i="1"/>
  <c r="CY7" i="1"/>
  <c r="CY6" i="1"/>
  <c r="CY5" i="1"/>
  <c r="CA15" i="1"/>
  <c r="CA14" i="1"/>
  <c r="CA11" i="1"/>
  <c r="CA9" i="1"/>
  <c r="CA7" i="1"/>
  <c r="CA5" i="1"/>
  <c r="BC27" i="1"/>
  <c r="BC26" i="1"/>
  <c r="BC24" i="1"/>
  <c r="BC22" i="1"/>
  <c r="BC17" i="1"/>
  <c r="BE16" i="1"/>
  <c r="BC16" i="1"/>
  <c r="BC6" i="1"/>
  <c r="BC7" i="1" s="1"/>
  <c r="AD33" i="1"/>
  <c r="AD32" i="1"/>
  <c r="AD30" i="1"/>
  <c r="AD28" i="1"/>
  <c r="AD26" i="1"/>
  <c r="AD22" i="1"/>
  <c r="AD21" i="1"/>
  <c r="AD13" i="1"/>
  <c r="AD11" i="1"/>
  <c r="AD10" i="1"/>
  <c r="AD7" i="1"/>
  <c r="AD6" i="1"/>
  <c r="AD5" i="1"/>
  <c r="G18" i="1"/>
  <c r="G20" i="1" s="1"/>
  <c r="G19" i="1"/>
  <c r="G15" i="1"/>
  <c r="H10" i="1"/>
  <c r="I7" i="1"/>
  <c r="H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6" i="1"/>
  <c r="D32" i="1" l="1"/>
</calcChain>
</file>

<file path=xl/sharedStrings.xml><?xml version="1.0" encoding="utf-8"?>
<sst xmlns="http://schemas.openxmlformats.org/spreadsheetml/2006/main" count="309" uniqueCount="219">
  <si>
    <t>Cost List</t>
  </si>
  <si>
    <t>Low presssure air pump(0.7-10bar)</t>
  </si>
  <si>
    <t>Cost Calculation</t>
  </si>
  <si>
    <t>24W water pump</t>
  </si>
  <si>
    <t>57HS22 step motor</t>
  </si>
  <si>
    <t>Cost (￥)</t>
  </si>
  <si>
    <t>Total</t>
  </si>
  <si>
    <t>Number</t>
  </si>
  <si>
    <t>Food storage and feeding systems:</t>
  </si>
  <si>
    <t xml:space="preserve">Screw conveyer (specify) </t>
  </si>
  <si>
    <t>Nozzles</t>
  </si>
  <si>
    <t>Solar panel</t>
  </si>
  <si>
    <t>Modular storage containers (3D printing)</t>
  </si>
  <si>
    <t>Energy supply system</t>
  </si>
  <si>
    <t>12V/10Ah lithium battery</t>
  </si>
  <si>
    <t>PWM Charge Controller</t>
  </si>
  <si>
    <t>Auxiliary equipment</t>
  </si>
  <si>
    <t>Small DC fan (2W)</t>
  </si>
  <si>
    <t>Reflective stickers</t>
  </si>
  <si>
    <t>Control system</t>
  </si>
  <si>
    <t>Raspberry Pi 4</t>
  </si>
  <si>
    <t>Power Management Module</t>
  </si>
  <si>
    <t>Relays and circuit components</t>
  </si>
  <si>
    <t>Floating body and supporting structure</t>
  </si>
  <si>
    <t>PE buoy (diameter 0.2m)</t>
  </si>
  <si>
    <t>Supporting plate</t>
  </si>
  <si>
    <t>Anchoring system</t>
  </si>
  <si>
    <t>Calculation detail could be seen in pdf!!!!</t>
  </si>
  <si>
    <t>Trajectory  calculation</t>
  </si>
  <si>
    <t>A</t>
  </si>
  <si>
    <t>A(need)</t>
  </si>
  <si>
    <t>A(real)</t>
  </si>
  <si>
    <t>Πr^2-a^2</t>
  </si>
  <si>
    <t>r</t>
  </si>
  <si>
    <t>28-80 (m^2)</t>
  </si>
  <si>
    <t>Variable</t>
  </si>
  <si>
    <t>magnitude</t>
  </si>
  <si>
    <t>Range/quation</t>
  </si>
  <si>
    <t>Consider Horizontal Projectile</t>
  </si>
  <si>
    <t>h</t>
  </si>
  <si>
    <t>Range:</t>
  </si>
  <si>
    <t>(gt^2)/2</t>
  </si>
  <si>
    <t>t</t>
  </si>
  <si>
    <t>Fd</t>
  </si>
  <si>
    <t>Cd</t>
  </si>
  <si>
    <t>d</t>
  </si>
  <si>
    <t>Vwind</t>
  </si>
  <si>
    <t>mm</t>
  </si>
  <si>
    <t>80km/h=22.22m/s</t>
  </si>
  <si>
    <t>Afood</t>
  </si>
  <si>
    <t>ρfood</t>
  </si>
  <si>
    <t>kg/m^3</t>
  </si>
  <si>
    <t>Consider the winding-effect friction</t>
  </si>
  <si>
    <t>m^2</t>
  </si>
  <si>
    <t>N</t>
  </si>
  <si>
    <t>m</t>
  </si>
  <si>
    <t>a=Fd/m</t>
  </si>
  <si>
    <t>Fd=0.5CdρAv^2</t>
  </si>
  <si>
    <t>*v^2 (N)</t>
  </si>
  <si>
    <t>ρair</t>
  </si>
  <si>
    <t>*v^2 (m/s^2)</t>
  </si>
  <si>
    <t xml:space="preserve">After solving the ODE between a and v ( shown in right), </t>
  </si>
  <si>
    <t>we got v(t)=(v0/(1+ktv0))</t>
  </si>
  <si>
    <t>After integral</t>
  </si>
  <si>
    <t>V0 could be solved by the restriction of total distance</t>
  </si>
  <si>
    <t>V0=14.616-32.675</t>
  </si>
  <si>
    <t>m/s</t>
  </si>
  <si>
    <t>Storage  calculation</t>
  </si>
  <si>
    <t>m need</t>
  </si>
  <si>
    <t>V need</t>
  </si>
  <si>
    <t>kg</t>
  </si>
  <si>
    <t>V real for each storage unit</t>
  </si>
  <si>
    <t>V need for each storage unit</t>
  </si>
  <si>
    <t>m^3</t>
  </si>
  <si>
    <t>A1  upper face area</t>
  </si>
  <si>
    <t>a1</t>
  </si>
  <si>
    <t>a2</t>
  </si>
  <si>
    <t>A2  lower face area</t>
  </si>
  <si>
    <t>&gt;</t>
  </si>
  <si>
    <t>&gt;0.00333</t>
  </si>
  <si>
    <t>Screw feed  calculation</t>
  </si>
  <si>
    <t>p pitch</t>
  </si>
  <si>
    <t>η</t>
  </si>
  <si>
    <t>%</t>
  </si>
  <si>
    <t>Qpercycle</t>
  </si>
  <si>
    <t>kg/cycle</t>
  </si>
  <si>
    <t>cycle number n</t>
  </si>
  <si>
    <t>cycle</t>
  </si>
  <si>
    <t>For step motor parameters</t>
  </si>
  <si>
    <t>Trated</t>
  </si>
  <si>
    <t>time t</t>
  </si>
  <si>
    <t>RPM</t>
  </si>
  <si>
    <t>N*m</t>
  </si>
  <si>
    <t>Torque vertification:</t>
  </si>
  <si>
    <t>Gfood</t>
  </si>
  <si>
    <t>per time</t>
  </si>
  <si>
    <t>Ffriction</t>
  </si>
  <si>
    <t>μ</t>
  </si>
  <si>
    <t>f from blades and tubes wall</t>
  </si>
  <si>
    <t>Ftotal</t>
  </si>
  <si>
    <t>T need</t>
  </si>
  <si>
    <t>12 N*m</t>
  </si>
  <si>
    <t>V</t>
  </si>
  <si>
    <t>Air pump spray calculation</t>
  </si>
  <si>
    <t xml:space="preserve">output side box volume is </t>
  </si>
  <si>
    <t>D=0.162</t>
  </si>
  <si>
    <t>&gt;2kg</t>
  </si>
  <si>
    <t>Is enough to contain 2kg food at one time</t>
  </si>
  <si>
    <t>h=0.162</t>
  </si>
  <si>
    <t>Pressure calculation</t>
  </si>
  <si>
    <t>Dynamic pressure for air</t>
  </si>
  <si>
    <t>ΔP=0.5ρair*vair^2</t>
  </si>
  <si>
    <t>ΔP</t>
  </si>
  <si>
    <t>vair</t>
  </si>
  <si>
    <t>vfood</t>
  </si>
  <si>
    <t>-</t>
  </si>
  <si>
    <t>Friction of pipelie</t>
  </si>
  <si>
    <t>f</t>
  </si>
  <si>
    <t>L</t>
  </si>
  <si>
    <t>local friction</t>
  </si>
  <si>
    <t>K=0.5 nozzle contraction</t>
  </si>
  <si>
    <t>Δp local</t>
  </si>
  <si>
    <t>ΔP total</t>
  </si>
  <si>
    <t>Pinput</t>
  </si>
  <si>
    <t>bar</t>
  </si>
  <si>
    <t>Pa</t>
  </si>
  <si>
    <t>Air pump power consumption calculation</t>
  </si>
  <si>
    <t>mass flow rate</t>
  </si>
  <si>
    <t>m‘ food</t>
  </si>
  <si>
    <t>min</t>
  </si>
  <si>
    <t>kg/s</t>
  </si>
  <si>
    <t>assume mix ratio for air and fish food is 1:10</t>
  </si>
  <si>
    <t>m‘ air</t>
  </si>
  <si>
    <t>m^3/s</t>
  </si>
  <si>
    <t>Q air</t>
  </si>
  <si>
    <t>W</t>
  </si>
  <si>
    <t>η air pump</t>
  </si>
  <si>
    <t>η motor</t>
  </si>
  <si>
    <t>P theory</t>
  </si>
  <si>
    <t>P theory= P total*Q air</t>
  </si>
  <si>
    <t>P actual</t>
  </si>
  <si>
    <t>E air pump</t>
  </si>
  <si>
    <t>Wh</t>
  </si>
  <si>
    <t>Water pump calculation</t>
  </si>
  <si>
    <t>A surface area of screw feeder</t>
  </si>
  <si>
    <t>V water</t>
  </si>
  <si>
    <t>Q' water pump</t>
  </si>
  <si>
    <t>L/min</t>
  </si>
  <si>
    <t>H (water lifted head)</t>
  </si>
  <si>
    <t>ρ water</t>
  </si>
  <si>
    <t>E water pump</t>
  </si>
  <si>
    <t>P water pump</t>
  </si>
  <si>
    <t>Solar panel calculation</t>
  </si>
  <si>
    <t>E motor</t>
  </si>
  <si>
    <t>V motor</t>
  </si>
  <si>
    <t>I motor</t>
  </si>
  <si>
    <t>P motor</t>
  </si>
  <si>
    <t>Wh/day</t>
  </si>
  <si>
    <t>per day</t>
  </si>
  <si>
    <t>E fan</t>
  </si>
  <si>
    <t>P fan</t>
  </si>
  <si>
    <t>E raspberry pi</t>
  </si>
  <si>
    <t>P raspberry pi</t>
  </si>
  <si>
    <t>E small display</t>
  </si>
  <si>
    <t>P small display</t>
  </si>
  <si>
    <t>E total</t>
  </si>
  <si>
    <t>Power comsumption</t>
  </si>
  <si>
    <t>Solar panel supply</t>
  </si>
  <si>
    <t>b</t>
  </si>
  <si>
    <t>efficiency η</t>
  </si>
  <si>
    <t>sunshine time t</t>
  </si>
  <si>
    <t>h/day</t>
  </si>
  <si>
    <t>Solar irradiance</t>
  </si>
  <si>
    <t>W/m^2</t>
  </si>
  <si>
    <t>E supply</t>
  </si>
  <si>
    <t>Floats and stablity calculation</t>
  </si>
  <si>
    <t>1. Calculate the buoyancy and draft</t>
  </si>
  <si>
    <t>M system</t>
  </si>
  <si>
    <t>Fb=ρgV=M system*g</t>
  </si>
  <si>
    <t>V=M system/ρ water</t>
  </si>
  <si>
    <t>Because we have four floats</t>
  </si>
  <si>
    <t>Vsub=V/4</t>
  </si>
  <si>
    <t>Then we constust a function for V real with respect to the height our system merged into water</t>
  </si>
  <si>
    <t>V(h)=L*A(h)</t>
  </si>
  <si>
    <t>our floats is a horizontal cylinder, therefore</t>
  </si>
  <si>
    <t>D=0.4m</t>
  </si>
  <si>
    <t>L=0.8m</t>
  </si>
  <si>
    <t>Therefore, V(h)=0.8*[0.04*cos^(-1)(1-h/0.2)-(0.2-h)sqrt(0.4h-h^2)</t>
  </si>
  <si>
    <t>After solving this equation to meet Vsub=0.012896</t>
  </si>
  <si>
    <t>2.Calculate the metacentric height GM</t>
  </si>
  <si>
    <t>GM=KB+BM-KG</t>
  </si>
  <si>
    <t>detail can be seen in right pic</t>
  </si>
  <si>
    <t>KB</t>
  </si>
  <si>
    <t>We got draft h</t>
  </si>
  <si>
    <t>BM=I/V</t>
  </si>
  <si>
    <t>Float spacing S</t>
  </si>
  <si>
    <t>I</t>
  </si>
  <si>
    <t>w(h)</t>
  </si>
  <si>
    <t>KG Gravity center</t>
  </si>
  <si>
    <t>&gt;0</t>
  </si>
  <si>
    <t>Therefore, this show that the system is stable at small tilt angles</t>
  </si>
  <si>
    <t>3. Stablity analysis with 80km/h winding</t>
  </si>
  <si>
    <t>θ</t>
  </si>
  <si>
    <t>degree</t>
  </si>
  <si>
    <t>&lt;1&gt; Restoring moment</t>
  </si>
  <si>
    <t>Mr</t>
  </si>
  <si>
    <t>sin12</t>
  </si>
  <si>
    <t>&lt;2&gt; Wind load moment</t>
  </si>
  <si>
    <t>Md</t>
  </si>
  <si>
    <t>Wind load area</t>
  </si>
  <si>
    <t>ρ air</t>
  </si>
  <si>
    <t>v wind</t>
  </si>
  <si>
    <t>80km/h=</t>
  </si>
  <si>
    <t>Wind load moment</t>
  </si>
  <si>
    <t>hw</t>
  </si>
  <si>
    <t>Wind pressure center height</t>
  </si>
  <si>
    <t>cos12</t>
  </si>
  <si>
    <t>&lt;194.24989</t>
  </si>
  <si>
    <t>Mr Restoring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</si>
</sst>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9" fontId="0" fillId="0" borderId="0" xfId="0" applyNumberFormat="1"/>
    <xf numFmtId="0" fontId="0" fillId="0" borderId="0" xfId="0"/>
    <xf numFmtId="0" fontId="3" fillId="0" borderId="0" xfId="0" applyFont="1"/>
    <xf numFmtId="0" fontId="0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373057</xdr:colOff>
      <xdr:row>0</xdr:row>
      <xdr:rowOff>171627</xdr:rowOff>
    </xdr:from>
    <xdr:to>
      <xdr:col>26</xdr:col>
      <xdr:colOff>98427</xdr:colOff>
      <xdr:row>76</xdr:row>
      <xdr:rowOff>17382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465547C-CBE3-8DE9-716F-DC9D0F040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4105" y="171627"/>
          <a:ext cx="10085088" cy="14270128"/>
        </a:xfrm>
        <a:prstGeom prst="rect">
          <a:avLst/>
        </a:prstGeom>
      </xdr:spPr>
    </xdr:pic>
    <xdr:clientData/>
  </xdr:twoCellAnchor>
  <xdr:twoCellAnchor editAs="oneCell">
    <xdr:from>
      <xdr:col>34</xdr:col>
      <xdr:colOff>387113</xdr:colOff>
      <xdr:row>0</xdr:row>
      <xdr:rowOff>196273</xdr:rowOff>
    </xdr:from>
    <xdr:to>
      <xdr:col>51</xdr:col>
      <xdr:colOff>249304</xdr:colOff>
      <xdr:row>76</xdr:row>
      <xdr:rowOff>150308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0B1D19B-C20D-4512-407C-8ABA3B81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16931" y="196273"/>
          <a:ext cx="10264645" cy="14417895"/>
        </a:xfrm>
        <a:prstGeom prst="rect">
          <a:avLst/>
        </a:prstGeom>
      </xdr:spPr>
    </xdr:pic>
    <xdr:clientData/>
  </xdr:twoCellAnchor>
  <xdr:twoCellAnchor editAs="oneCell">
    <xdr:from>
      <xdr:col>58</xdr:col>
      <xdr:colOff>222624</xdr:colOff>
      <xdr:row>0</xdr:row>
      <xdr:rowOff>309657</xdr:rowOff>
    </xdr:from>
    <xdr:to>
      <xdr:col>75</xdr:col>
      <xdr:colOff>84814</xdr:colOff>
      <xdr:row>77</xdr:row>
      <xdr:rowOff>72169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F32F5BD-ADB8-8CE7-BFA1-F7DB08912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31683" y="309657"/>
          <a:ext cx="10276190" cy="14542857"/>
        </a:xfrm>
        <a:prstGeom prst="rect">
          <a:avLst/>
        </a:prstGeom>
      </xdr:spPr>
    </xdr:pic>
    <xdr:clientData/>
  </xdr:twoCellAnchor>
  <xdr:twoCellAnchor editAs="oneCell">
    <xdr:from>
      <xdr:col>82</xdr:col>
      <xdr:colOff>69850</xdr:colOff>
      <xdr:row>0</xdr:row>
      <xdr:rowOff>298450</xdr:rowOff>
    </xdr:from>
    <xdr:to>
      <xdr:col>98</xdr:col>
      <xdr:colOff>592440</xdr:colOff>
      <xdr:row>78</xdr:row>
      <xdr:rowOff>41271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05B27C3-3E8A-D47A-C151-979EB7410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470300" y="298450"/>
          <a:ext cx="10276190" cy="14542857"/>
        </a:xfrm>
        <a:prstGeom prst="rect">
          <a:avLst/>
        </a:prstGeom>
      </xdr:spPr>
    </xdr:pic>
    <xdr:clientData/>
  </xdr:twoCellAnchor>
  <xdr:twoCellAnchor editAs="oneCell">
    <xdr:from>
      <xdr:col>105</xdr:col>
      <xdr:colOff>44450</xdr:colOff>
      <xdr:row>0</xdr:row>
      <xdr:rowOff>209550</xdr:rowOff>
    </xdr:from>
    <xdr:to>
      <xdr:col>121</xdr:col>
      <xdr:colOff>567040</xdr:colOff>
      <xdr:row>77</xdr:row>
      <xdr:rowOff>136521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89480E7-348A-8F03-75EE-68838670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761100" y="209550"/>
          <a:ext cx="10276190" cy="14542857"/>
        </a:xfrm>
        <a:prstGeom prst="rect">
          <a:avLst/>
        </a:prstGeom>
      </xdr:spPr>
    </xdr:pic>
    <xdr:clientData/>
  </xdr:twoCellAnchor>
  <xdr:twoCellAnchor editAs="oneCell">
    <xdr:from>
      <xdr:col>130</xdr:col>
      <xdr:colOff>266700</xdr:colOff>
      <xdr:row>0</xdr:row>
      <xdr:rowOff>63500</xdr:rowOff>
    </xdr:from>
    <xdr:to>
      <xdr:col>147</xdr:col>
      <xdr:colOff>179690</xdr:colOff>
      <xdr:row>76</xdr:row>
      <xdr:rowOff>174621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5D8C623-11D7-04DF-06E6-8AB923C5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667850" y="63500"/>
          <a:ext cx="10276190" cy="14542857"/>
        </a:xfrm>
        <a:prstGeom prst="rect">
          <a:avLst/>
        </a:prstGeom>
      </xdr:spPr>
    </xdr:pic>
    <xdr:clientData/>
  </xdr:twoCellAnchor>
  <xdr:twoCellAnchor editAs="oneCell">
    <xdr:from>
      <xdr:col>159</xdr:col>
      <xdr:colOff>204907</xdr:colOff>
      <xdr:row>0</xdr:row>
      <xdr:rowOff>302025</xdr:rowOff>
    </xdr:from>
    <xdr:to>
      <xdr:col>176</xdr:col>
      <xdr:colOff>148739</xdr:colOff>
      <xdr:row>79</xdr:row>
      <xdr:rowOff>42125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6D94C68-C0AE-1C64-A8BA-F5F4008D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546613" y="302025"/>
          <a:ext cx="10357832" cy="14889706"/>
        </a:xfrm>
        <a:prstGeom prst="rect">
          <a:avLst/>
        </a:prstGeom>
      </xdr:spPr>
    </xdr:pic>
    <xdr:clientData/>
  </xdr:twoCellAnchor>
  <xdr:twoCellAnchor editAs="oneCell">
    <xdr:from>
      <xdr:col>176</xdr:col>
      <xdr:colOff>211748</xdr:colOff>
      <xdr:row>0</xdr:row>
      <xdr:rowOff>271220</xdr:rowOff>
    </xdr:from>
    <xdr:to>
      <xdr:col>193</xdr:col>
      <xdr:colOff>155581</xdr:colOff>
      <xdr:row>79</xdr:row>
      <xdr:rowOff>13357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8032C47-E162-CC66-3B8E-367ACAE5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858112" y="271220"/>
          <a:ext cx="10346287" cy="14759310"/>
        </a:xfrm>
        <a:prstGeom prst="rect">
          <a:avLst/>
        </a:prstGeom>
      </xdr:spPr>
    </xdr:pic>
    <xdr:clientData/>
  </xdr:twoCellAnchor>
  <xdr:twoCellAnchor editAs="oneCell">
    <xdr:from>
      <xdr:col>149</xdr:col>
      <xdr:colOff>63500</xdr:colOff>
      <xdr:row>13</xdr:row>
      <xdr:rowOff>114300</xdr:rowOff>
    </xdr:from>
    <xdr:to>
      <xdr:col>153</xdr:col>
      <xdr:colOff>626069</xdr:colOff>
      <xdr:row>16</xdr:row>
      <xdr:rowOff>63577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353832B-32C1-7316-CC1A-095DCA91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047050" y="2768600"/>
          <a:ext cx="4258269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45"/>
  <sheetViews>
    <sheetView tabSelected="1" zoomScale="55" zoomScaleNormal="55" workbookViewId="0">
      <selection activeCell="EY45" sqref="EY45"/>
    </sheetView>
  </sheetViews>
  <sheetFormatPr defaultRowHeight="14.5" x14ac:dyDescent="0.35"/>
  <cols>
    <col min="1" max="1" width="43.36328125" customWidth="1"/>
    <col min="6" max="6" width="14.1796875" customWidth="1"/>
    <col min="7" max="7" width="12" customWidth="1"/>
    <col min="29" max="29" width="24" customWidth="1"/>
    <col min="54" max="54" width="11.453125" customWidth="1"/>
    <col min="78" max="78" width="10.54296875" customWidth="1"/>
    <col min="102" max="102" width="27.26953125" customWidth="1"/>
    <col min="124" max="124" width="15.08984375" customWidth="1"/>
    <col min="150" max="150" width="24.36328125" customWidth="1"/>
    <col min="151" max="152" width="9.90625" customWidth="1"/>
    <col min="154" max="154" width="10.453125" customWidth="1"/>
  </cols>
  <sheetData>
    <row r="1" spans="1:154" ht="26" x14ac:dyDescent="0.6">
      <c r="A1" s="4" t="s">
        <v>27</v>
      </c>
    </row>
    <row r="3" spans="1:154" ht="18.5" x14ac:dyDescent="0.45">
      <c r="A3" s="3" t="s">
        <v>2</v>
      </c>
      <c r="F3" s="3" t="s">
        <v>28</v>
      </c>
      <c r="AC3" s="3" t="s">
        <v>67</v>
      </c>
      <c r="BB3" s="8" t="s">
        <v>103</v>
      </c>
      <c r="BZ3" s="8" t="s">
        <v>126</v>
      </c>
      <c r="CX3" s="8" t="s">
        <v>143</v>
      </c>
      <c r="DT3" s="8" t="s">
        <v>152</v>
      </c>
      <c r="DW3" t="s">
        <v>158</v>
      </c>
      <c r="ET3" s="8" t="s">
        <v>175</v>
      </c>
    </row>
    <row r="4" spans="1:154" x14ac:dyDescent="0.35">
      <c r="A4" t="s">
        <v>0</v>
      </c>
      <c r="B4" t="s">
        <v>5</v>
      </c>
      <c r="C4" t="s">
        <v>7</v>
      </c>
      <c r="F4" t="s">
        <v>35</v>
      </c>
      <c r="G4" t="s">
        <v>37</v>
      </c>
      <c r="H4" t="s">
        <v>36</v>
      </c>
      <c r="AC4" t="s">
        <v>50</v>
      </c>
      <c r="AD4">
        <v>600</v>
      </c>
      <c r="AE4" t="s">
        <v>51</v>
      </c>
      <c r="BB4" t="s">
        <v>104</v>
      </c>
      <c r="BZ4" t="s">
        <v>127</v>
      </c>
      <c r="CX4" t="s">
        <v>118</v>
      </c>
      <c r="CY4">
        <v>1.1180000000000001</v>
      </c>
      <c r="CZ4" t="s">
        <v>55</v>
      </c>
      <c r="DT4" s="1" t="s">
        <v>166</v>
      </c>
    </row>
    <row r="5" spans="1:154" ht="18.5" x14ac:dyDescent="0.45">
      <c r="A5" s="2" t="s">
        <v>8</v>
      </c>
      <c r="F5" t="s">
        <v>30</v>
      </c>
      <c r="G5" t="s">
        <v>34</v>
      </c>
      <c r="H5">
        <v>28</v>
      </c>
      <c r="I5">
        <v>80</v>
      </c>
      <c r="AC5" t="s">
        <v>68</v>
      </c>
      <c r="AD5">
        <f>2*8</f>
        <v>16</v>
      </c>
      <c r="AE5" t="s">
        <v>70</v>
      </c>
      <c r="BB5" t="s">
        <v>108</v>
      </c>
      <c r="BC5" t="s">
        <v>105</v>
      </c>
      <c r="BZ5" t="s">
        <v>128</v>
      </c>
      <c r="CA5">
        <f>2/AD26/60</f>
        <v>1.1585992644509328E-2</v>
      </c>
      <c r="CB5" t="s">
        <v>130</v>
      </c>
      <c r="CX5" t="s">
        <v>33</v>
      </c>
      <c r="CY5">
        <f>0.224</f>
        <v>0.224</v>
      </c>
      <c r="CZ5" t="s">
        <v>55</v>
      </c>
      <c r="DT5" t="s">
        <v>154</v>
      </c>
      <c r="DU5">
        <v>12</v>
      </c>
      <c r="DV5" t="s">
        <v>102</v>
      </c>
      <c r="ET5" s="8" t="s">
        <v>176</v>
      </c>
    </row>
    <row r="6" spans="1:154" x14ac:dyDescent="0.35">
      <c r="A6" t="s">
        <v>1</v>
      </c>
      <c r="B6">
        <v>44.86</v>
      </c>
      <c r="C6">
        <v>1</v>
      </c>
      <c r="D6">
        <f>B6*C6</f>
        <v>44.86</v>
      </c>
      <c r="F6" t="s">
        <v>31</v>
      </c>
      <c r="G6" t="s">
        <v>32</v>
      </c>
      <c r="AC6" t="s">
        <v>69</v>
      </c>
      <c r="AD6">
        <f>AD5/AD4</f>
        <v>2.6666666666666668E-2</v>
      </c>
      <c r="AE6" t="s">
        <v>73</v>
      </c>
      <c r="BB6" t="s">
        <v>102</v>
      </c>
      <c r="BC6">
        <f>0.162*PI()*(0.162)^2/4</f>
        <v>3.3391422828328264E-3</v>
      </c>
      <c r="BZ6" t="s">
        <v>131</v>
      </c>
      <c r="CX6" t="s">
        <v>144</v>
      </c>
      <c r="CY6">
        <f>CY4*2*PI()*CY5</f>
        <v>1.5735106628475983</v>
      </c>
      <c r="CZ6" t="s">
        <v>53</v>
      </c>
      <c r="DT6" t="s">
        <v>155</v>
      </c>
      <c r="DU6">
        <v>2</v>
      </c>
      <c r="DV6" t="s">
        <v>29</v>
      </c>
      <c r="ET6" t="s">
        <v>177</v>
      </c>
      <c r="EU6" s="7">
        <v>51.5852</v>
      </c>
      <c r="EV6" s="7" t="s">
        <v>70</v>
      </c>
      <c r="EW6" s="7"/>
      <c r="EX6" s="7"/>
    </row>
    <row r="7" spans="1:154" x14ac:dyDescent="0.35">
      <c r="A7" t="s">
        <v>3</v>
      </c>
      <c r="B7">
        <v>208</v>
      </c>
      <c r="C7">
        <v>1</v>
      </c>
      <c r="D7">
        <f t="shared" ref="D7:D30" si="0">B7*C7</f>
        <v>208</v>
      </c>
      <c r="F7" t="s">
        <v>33</v>
      </c>
      <c r="G7" t="s">
        <v>40</v>
      </c>
      <c r="H7">
        <f>SQRT((H5+0.6756^2)/PI())</f>
        <v>3.0096452782077154</v>
      </c>
      <c r="I7">
        <f>SQRT((I5+0.6756^2)/PI())</f>
        <v>5.0606401553751192</v>
      </c>
      <c r="AC7" t="s">
        <v>72</v>
      </c>
      <c r="AD7">
        <f>AD6/8</f>
        <v>3.3333333333333335E-3</v>
      </c>
      <c r="AE7" t="s">
        <v>73</v>
      </c>
      <c r="BB7" t="s">
        <v>55</v>
      </c>
      <c r="BC7">
        <f>BC6*600</f>
        <v>2.0034853696996957</v>
      </c>
      <c r="BD7" t="s">
        <v>106</v>
      </c>
      <c r="BZ7" s="7" t="s">
        <v>132</v>
      </c>
      <c r="CA7">
        <f>CA5*10</f>
        <v>0.11585992644509327</v>
      </c>
      <c r="CB7" s="7" t="s">
        <v>130</v>
      </c>
      <c r="CX7" t="s">
        <v>145</v>
      </c>
      <c r="CY7">
        <f>10*CY6</f>
        <v>15.735106628475982</v>
      </c>
      <c r="CZ7" t="s">
        <v>118</v>
      </c>
      <c r="DT7" t="s">
        <v>156</v>
      </c>
      <c r="DU7">
        <f>DU6*DU5</f>
        <v>24</v>
      </c>
      <c r="DV7" t="s">
        <v>135</v>
      </c>
      <c r="ET7" s="7" t="s">
        <v>149</v>
      </c>
      <c r="EU7" s="7">
        <v>1000</v>
      </c>
      <c r="EV7" s="7" t="s">
        <v>51</v>
      </c>
      <c r="EW7" s="7"/>
      <c r="EX7" s="7"/>
    </row>
    <row r="8" spans="1:154" x14ac:dyDescent="0.35">
      <c r="A8" t="s">
        <v>4</v>
      </c>
      <c r="B8">
        <v>117</v>
      </c>
      <c r="C8">
        <v>1</v>
      </c>
      <c r="D8">
        <f t="shared" si="0"/>
        <v>117</v>
      </c>
      <c r="F8" t="s">
        <v>38</v>
      </c>
      <c r="AC8" t="s">
        <v>75</v>
      </c>
      <c r="AD8">
        <v>0.34460000000000002</v>
      </c>
      <c r="AE8" t="s">
        <v>55</v>
      </c>
      <c r="BB8" t="s">
        <v>107</v>
      </c>
      <c r="BZ8" t="s">
        <v>59</v>
      </c>
      <c r="CA8">
        <v>1.2</v>
      </c>
      <c r="CB8" t="s">
        <v>51</v>
      </c>
      <c r="CX8" t="s">
        <v>146</v>
      </c>
      <c r="CY8">
        <v>2</v>
      </c>
      <c r="CZ8" t="s">
        <v>147</v>
      </c>
      <c r="DT8" t="s">
        <v>153</v>
      </c>
      <c r="DU8">
        <f>DU7*AD26/60</f>
        <v>1.1508149316538778</v>
      </c>
      <c r="DV8" t="s">
        <v>142</v>
      </c>
      <c r="ET8" s="7" t="s">
        <v>178</v>
      </c>
      <c r="EV8" s="7"/>
      <c r="EW8" s="7"/>
      <c r="EX8" s="7"/>
    </row>
    <row r="9" spans="1:154" x14ac:dyDescent="0.35">
      <c r="A9" t="s">
        <v>9</v>
      </c>
      <c r="B9">
        <v>397</v>
      </c>
      <c r="C9">
        <v>1</v>
      </c>
      <c r="D9">
        <f t="shared" si="0"/>
        <v>397</v>
      </c>
      <c r="F9" t="s">
        <v>39</v>
      </c>
      <c r="G9" t="s">
        <v>41</v>
      </c>
      <c r="H9">
        <v>0.41899999999999998</v>
      </c>
      <c r="AC9" t="s">
        <v>76</v>
      </c>
      <c r="AD9">
        <v>0.1978</v>
      </c>
      <c r="AE9" t="s">
        <v>55</v>
      </c>
      <c r="BZ9" t="s">
        <v>134</v>
      </c>
      <c r="CA9">
        <f>CA7/CA8</f>
        <v>9.6549938704244401E-2</v>
      </c>
      <c r="CB9" t="s">
        <v>133</v>
      </c>
      <c r="CX9" t="s">
        <v>42</v>
      </c>
      <c r="CY9">
        <f>CY7/CY8</f>
        <v>7.8675533142379912</v>
      </c>
      <c r="CZ9" t="s">
        <v>129</v>
      </c>
      <c r="DT9" t="s">
        <v>141</v>
      </c>
      <c r="DU9">
        <v>12.096</v>
      </c>
      <c r="DV9" t="s">
        <v>142</v>
      </c>
      <c r="ET9" s="7" t="s">
        <v>179</v>
      </c>
      <c r="EU9" s="7">
        <f>EU6/EU7</f>
        <v>5.1585199999999998E-2</v>
      </c>
      <c r="EV9" s="7" t="s">
        <v>73</v>
      </c>
      <c r="EW9" s="7"/>
      <c r="EX9" s="7"/>
    </row>
    <row r="10" spans="1:154" x14ac:dyDescent="0.35">
      <c r="A10" t="s">
        <v>10</v>
      </c>
      <c r="B10">
        <v>20</v>
      </c>
      <c r="C10">
        <v>4</v>
      </c>
      <c r="D10">
        <f t="shared" si="0"/>
        <v>80</v>
      </c>
      <c r="F10" t="s">
        <v>42</v>
      </c>
      <c r="H10">
        <f>SQRT(2*H9/9.81)</f>
        <v>0.29227219798779303</v>
      </c>
      <c r="AC10" t="s">
        <v>74</v>
      </c>
      <c r="AD10">
        <f>SQRT(3)/4*AD8^2</f>
        <v>5.1419894619031452E-2</v>
      </c>
      <c r="AE10" t="s">
        <v>53</v>
      </c>
      <c r="BB10" t="s">
        <v>109</v>
      </c>
      <c r="BZ10" t="s">
        <v>139</v>
      </c>
      <c r="CX10" s="7" t="s">
        <v>82</v>
      </c>
      <c r="CY10" s="10">
        <v>0.5</v>
      </c>
      <c r="DT10" t="s">
        <v>160</v>
      </c>
      <c r="DU10">
        <v>2</v>
      </c>
      <c r="DV10" t="s">
        <v>135</v>
      </c>
      <c r="ET10" t="s">
        <v>180</v>
      </c>
      <c r="EU10" s="7"/>
      <c r="EV10" s="7"/>
      <c r="EW10" s="7"/>
      <c r="EX10" s="7"/>
    </row>
    <row r="11" spans="1:154" x14ac:dyDescent="0.35">
      <c r="A11" t="s">
        <v>12</v>
      </c>
      <c r="B11">
        <v>30</v>
      </c>
      <c r="C11">
        <v>8</v>
      </c>
      <c r="D11">
        <f t="shared" si="0"/>
        <v>240</v>
      </c>
      <c r="F11" t="s">
        <v>52</v>
      </c>
      <c r="AC11" t="s">
        <v>77</v>
      </c>
      <c r="AD11">
        <f>SQRT(3)/4*AD9^2</f>
        <v>1.6941552679500777E-2</v>
      </c>
      <c r="AE11" t="s">
        <v>53</v>
      </c>
      <c r="BB11" t="s">
        <v>110</v>
      </c>
      <c r="BZ11" t="s">
        <v>138</v>
      </c>
      <c r="CA11">
        <f>BC26*CA9</f>
        <v>100.99235385568986</v>
      </c>
      <c r="CB11" t="s">
        <v>135</v>
      </c>
      <c r="CX11" t="s">
        <v>149</v>
      </c>
      <c r="CY11">
        <v>1000</v>
      </c>
      <c r="CZ11" t="s">
        <v>51</v>
      </c>
      <c r="DT11" t="s">
        <v>159</v>
      </c>
      <c r="DU11">
        <f>DU10*24</f>
        <v>48</v>
      </c>
      <c r="DV11" t="s">
        <v>142</v>
      </c>
      <c r="ET11" s="7" t="s">
        <v>181</v>
      </c>
      <c r="EU11" s="7">
        <f>EU9/4</f>
        <v>1.2896299999999999E-2</v>
      </c>
      <c r="EV11" s="7" t="s">
        <v>73</v>
      </c>
      <c r="EW11" s="7"/>
      <c r="EX11" s="7"/>
    </row>
    <row r="12" spans="1:154" x14ac:dyDescent="0.35">
      <c r="D12">
        <f t="shared" si="0"/>
        <v>0</v>
      </c>
      <c r="F12" t="s">
        <v>44</v>
      </c>
      <c r="G12">
        <v>0.47</v>
      </c>
      <c r="AC12" t="s">
        <v>39</v>
      </c>
      <c r="AD12">
        <v>0.189</v>
      </c>
      <c r="AE12" t="s">
        <v>55</v>
      </c>
      <c r="BB12" t="s">
        <v>111</v>
      </c>
      <c r="BZ12" s="7" t="s">
        <v>136</v>
      </c>
      <c r="CA12" s="11">
        <v>0.5</v>
      </c>
      <c r="CX12" t="s">
        <v>148</v>
      </c>
      <c r="CY12">
        <v>1.772</v>
      </c>
      <c r="CZ12" t="s">
        <v>55</v>
      </c>
      <c r="DT12" s="7" t="s">
        <v>162</v>
      </c>
      <c r="DU12">
        <v>1.5</v>
      </c>
      <c r="DV12" t="s">
        <v>135</v>
      </c>
      <c r="ET12" s="7" t="s">
        <v>182</v>
      </c>
      <c r="EU12" s="7"/>
      <c r="EV12" s="7"/>
      <c r="EW12" s="7"/>
      <c r="EX12" s="7"/>
    </row>
    <row r="13" spans="1:154" ht="15.5" x14ac:dyDescent="0.35">
      <c r="A13" s="2" t="s">
        <v>13</v>
      </c>
      <c r="D13">
        <f t="shared" si="0"/>
        <v>0</v>
      </c>
      <c r="F13" t="s">
        <v>45</v>
      </c>
      <c r="G13">
        <v>3.0000000000000001E-3</v>
      </c>
      <c r="H13" t="s">
        <v>47</v>
      </c>
      <c r="AC13" s="5" t="s">
        <v>71</v>
      </c>
      <c r="AD13" s="5">
        <f>1/3*AD12*(AD10+AD11+SQRT(AD10*AD11))</f>
        <v>6.1662136487732836E-3</v>
      </c>
      <c r="AE13" s="5" t="s">
        <v>79</v>
      </c>
      <c r="AF13" s="5" t="s">
        <v>72</v>
      </c>
      <c r="AG13" s="5"/>
      <c r="AH13" s="5"/>
      <c r="BB13" t="s">
        <v>59</v>
      </c>
      <c r="BC13">
        <v>1.2</v>
      </c>
      <c r="BD13" t="s">
        <v>51</v>
      </c>
      <c r="BZ13" s="7" t="s">
        <v>137</v>
      </c>
      <c r="CA13" s="11">
        <v>0.8</v>
      </c>
      <c r="CX13" t="s">
        <v>151</v>
      </c>
      <c r="CY13">
        <f>CY8*CY11*9.81*CY12/CY10/3600</f>
        <v>19.314799999999998</v>
      </c>
      <c r="CZ13" t="s">
        <v>135</v>
      </c>
      <c r="DT13" t="s">
        <v>161</v>
      </c>
      <c r="DU13">
        <f>DU12*24</f>
        <v>36</v>
      </c>
      <c r="DV13" t="s">
        <v>142</v>
      </c>
      <c r="ET13" s="7" t="s">
        <v>183</v>
      </c>
      <c r="EU13" s="7" t="s">
        <v>184</v>
      </c>
      <c r="EV13" s="7"/>
      <c r="EW13" s="7"/>
      <c r="EX13" s="7"/>
    </row>
    <row r="14" spans="1:154" x14ac:dyDescent="0.35">
      <c r="A14" t="s">
        <v>11</v>
      </c>
      <c r="B14">
        <v>89.6</v>
      </c>
      <c r="C14">
        <v>1</v>
      </c>
      <c r="D14">
        <f t="shared" si="0"/>
        <v>89.6</v>
      </c>
      <c r="F14" t="s">
        <v>46</v>
      </c>
      <c r="G14">
        <v>22.22</v>
      </c>
      <c r="H14" t="s">
        <v>48</v>
      </c>
      <c r="BB14" t="s">
        <v>114</v>
      </c>
      <c r="BC14">
        <v>14.616</v>
      </c>
      <c r="BD14" t="s">
        <v>115</v>
      </c>
      <c r="BE14">
        <v>32.674999999999997</v>
      </c>
      <c r="BF14" t="s">
        <v>66</v>
      </c>
      <c r="BZ14" s="7" t="s">
        <v>140</v>
      </c>
      <c r="CA14">
        <f>CA11/CA12/CA13</f>
        <v>252.48088463922463</v>
      </c>
      <c r="CB14" t="s">
        <v>135</v>
      </c>
      <c r="CX14" t="s">
        <v>150</v>
      </c>
      <c r="CY14">
        <f>CY13*CY9/60</f>
        <v>2.5326703125640657</v>
      </c>
      <c r="CZ14" t="s">
        <v>142</v>
      </c>
      <c r="DT14" t="s">
        <v>150</v>
      </c>
      <c r="DU14">
        <v>2.5270000000000001</v>
      </c>
      <c r="DV14" t="s">
        <v>142</v>
      </c>
      <c r="EU14" s="7"/>
      <c r="EV14" s="7"/>
      <c r="EW14" s="7"/>
      <c r="EX14" s="7"/>
    </row>
    <row r="15" spans="1:154" x14ac:dyDescent="0.35">
      <c r="A15" t="s">
        <v>14</v>
      </c>
      <c r="B15">
        <v>61.79</v>
      </c>
      <c r="C15">
        <v>1</v>
      </c>
      <c r="D15">
        <f t="shared" si="0"/>
        <v>61.79</v>
      </c>
      <c r="F15" t="s">
        <v>49</v>
      </c>
      <c r="G15">
        <f>PI()*(G13/2)^2</f>
        <v>7.0685834705770344E-6</v>
      </c>
      <c r="H15" t="s">
        <v>53</v>
      </c>
      <c r="BB15" s="7" t="s">
        <v>82</v>
      </c>
      <c r="BC15">
        <v>0.2</v>
      </c>
      <c r="BZ15" t="s">
        <v>141</v>
      </c>
      <c r="CA15">
        <f>CA14*AD26/60</f>
        <v>12.106615499999997</v>
      </c>
      <c r="CB15" t="s">
        <v>142</v>
      </c>
      <c r="DT15" s="7" t="s">
        <v>164</v>
      </c>
      <c r="DU15">
        <v>5</v>
      </c>
      <c r="DV15" t="s">
        <v>135</v>
      </c>
      <c r="ET15" s="7"/>
      <c r="EU15" s="7"/>
      <c r="EV15" s="7"/>
      <c r="EW15" s="7"/>
      <c r="EX15" s="7"/>
    </row>
    <row r="16" spans="1:154" ht="18.5" x14ac:dyDescent="0.45">
      <c r="A16" t="s">
        <v>15</v>
      </c>
      <c r="B16">
        <v>70.8</v>
      </c>
      <c r="C16">
        <v>1</v>
      </c>
      <c r="D16">
        <f t="shared" si="0"/>
        <v>70.8</v>
      </c>
      <c r="F16" t="s">
        <v>50</v>
      </c>
      <c r="G16">
        <v>600</v>
      </c>
      <c r="H16" t="s">
        <v>51</v>
      </c>
      <c r="AC16" s="3" t="s">
        <v>80</v>
      </c>
      <c r="AE16" t="s">
        <v>95</v>
      </c>
      <c r="BB16" t="s">
        <v>113</v>
      </c>
      <c r="BC16">
        <f>BC14/SQRT(BC15)</f>
        <v>32.682369559136923</v>
      </c>
      <c r="BD16" s="7"/>
      <c r="BE16" s="7">
        <f>BE14/SQRT(BC15)</f>
        <v>73.063521164805621</v>
      </c>
      <c r="DT16" t="s">
        <v>163</v>
      </c>
      <c r="DU16">
        <f>DU15*24</f>
        <v>120</v>
      </c>
      <c r="DV16" t="s">
        <v>142</v>
      </c>
      <c r="ET16" s="7"/>
      <c r="EU16" s="7"/>
      <c r="EV16" s="7"/>
      <c r="EW16" s="7"/>
      <c r="EX16" s="7"/>
    </row>
    <row r="17" spans="1:154" x14ac:dyDescent="0.35">
      <c r="D17">
        <f t="shared" si="0"/>
        <v>0</v>
      </c>
      <c r="F17" t="s">
        <v>59</v>
      </c>
      <c r="G17">
        <v>1.2250000000000001</v>
      </c>
      <c r="H17" t="s">
        <v>51</v>
      </c>
      <c r="AC17" t="s">
        <v>33</v>
      </c>
      <c r="AD17">
        <v>0.15679999999999999</v>
      </c>
      <c r="AE17" t="s">
        <v>55</v>
      </c>
      <c r="BB17" t="s">
        <v>112</v>
      </c>
      <c r="BC17">
        <f>0.5*BC13*BC16^2</f>
        <v>640.88236799999981</v>
      </c>
      <c r="DT17" s="1" t="s">
        <v>165</v>
      </c>
      <c r="DU17" s="1">
        <f>DU8+DU9+DU11+DU13+DU14+DU16</f>
        <v>219.77381493165387</v>
      </c>
      <c r="DV17" s="1" t="s">
        <v>142</v>
      </c>
      <c r="ET17" s="7"/>
      <c r="EU17" s="7"/>
      <c r="EV17" s="7"/>
      <c r="EW17" s="7"/>
      <c r="EX17" s="7"/>
    </row>
    <row r="18" spans="1:154" ht="15.5" x14ac:dyDescent="0.35">
      <c r="A18" s="2" t="s">
        <v>19</v>
      </c>
      <c r="D18">
        <f t="shared" si="0"/>
        <v>0</v>
      </c>
      <c r="F18" t="s">
        <v>57</v>
      </c>
      <c r="G18">
        <f>0.5*G12*G17*G15</f>
        <v>2.0348684665923635E-6</v>
      </c>
      <c r="H18" t="s">
        <v>58</v>
      </c>
      <c r="AC18" t="s">
        <v>81</v>
      </c>
      <c r="AD18">
        <v>0.01</v>
      </c>
      <c r="AE18" t="s">
        <v>55</v>
      </c>
      <c r="BB18" t="s">
        <v>116</v>
      </c>
      <c r="ET18" t="s">
        <v>186</v>
      </c>
      <c r="EU18" s="7" t="s">
        <v>185</v>
      </c>
      <c r="EV18" s="7"/>
      <c r="EW18" s="7"/>
      <c r="EX18" s="7"/>
    </row>
    <row r="19" spans="1:154" x14ac:dyDescent="0.35">
      <c r="A19" t="s">
        <v>20</v>
      </c>
      <c r="B19">
        <v>286</v>
      </c>
      <c r="C19">
        <v>1</v>
      </c>
      <c r="D19">
        <f t="shared" si="0"/>
        <v>286</v>
      </c>
      <c r="F19" t="s">
        <v>55</v>
      </c>
      <c r="G19">
        <f>G16*4/3*PI()*(G13/2)^3</f>
        <v>8.4823001646924412E-6</v>
      </c>
      <c r="AC19" t="s">
        <v>50</v>
      </c>
      <c r="AD19">
        <v>500</v>
      </c>
      <c r="AE19" t="s">
        <v>51</v>
      </c>
      <c r="BB19" t="s">
        <v>117</v>
      </c>
      <c r="BC19">
        <v>0.02</v>
      </c>
      <c r="DT19" s="1" t="s">
        <v>167</v>
      </c>
      <c r="ET19" s="7" t="s">
        <v>187</v>
      </c>
      <c r="EU19" s="7"/>
      <c r="EV19" s="7"/>
      <c r="EW19" s="7"/>
      <c r="EX19" s="7"/>
    </row>
    <row r="20" spans="1:154" x14ac:dyDescent="0.35">
      <c r="A20" t="s">
        <v>21</v>
      </c>
      <c r="B20">
        <v>50</v>
      </c>
      <c r="C20">
        <v>1</v>
      </c>
      <c r="D20">
        <f t="shared" si="0"/>
        <v>50</v>
      </c>
      <c r="F20" t="s">
        <v>56</v>
      </c>
      <c r="G20">
        <f>G18/G19</f>
        <v>0.23989583333333331</v>
      </c>
      <c r="H20" t="s">
        <v>60</v>
      </c>
      <c r="AC20" t="s">
        <v>82</v>
      </c>
      <c r="AD20" s="6">
        <v>0.6</v>
      </c>
      <c r="AE20" t="s">
        <v>83</v>
      </c>
      <c r="BB20" t="s">
        <v>118</v>
      </c>
      <c r="BC20">
        <v>0.185</v>
      </c>
      <c r="DT20" t="s">
        <v>168</v>
      </c>
      <c r="DU20">
        <v>0.94199999999999995</v>
      </c>
      <c r="DV20" t="s">
        <v>55</v>
      </c>
      <c r="ET20" s="7" t="s">
        <v>188</v>
      </c>
      <c r="EU20" s="7"/>
      <c r="EV20" s="7"/>
      <c r="EW20" s="7"/>
      <c r="EX20" s="7"/>
    </row>
    <row r="21" spans="1:154" x14ac:dyDescent="0.35">
      <c r="A21" t="s">
        <v>22</v>
      </c>
      <c r="B21">
        <v>73</v>
      </c>
      <c r="C21">
        <v>1</v>
      </c>
      <c r="D21">
        <f t="shared" si="0"/>
        <v>73</v>
      </c>
      <c r="F21" t="s">
        <v>61</v>
      </c>
      <c r="AC21" t="s">
        <v>84</v>
      </c>
      <c r="AD21">
        <f>PI()*AD17^2*AD18*AD19*AD20</f>
        <v>0.23171985289018654</v>
      </c>
      <c r="AE21" t="s">
        <v>85</v>
      </c>
      <c r="BB21" t="s">
        <v>45</v>
      </c>
      <c r="BC21">
        <v>2.8000000000000001E-2</v>
      </c>
      <c r="DT21" s="9" t="s">
        <v>45</v>
      </c>
      <c r="DU21">
        <f>0.85238</f>
        <v>0.85238000000000003</v>
      </c>
      <c r="DV21" t="s">
        <v>55</v>
      </c>
      <c r="ET21" s="7" t="s">
        <v>193</v>
      </c>
      <c r="EU21" s="7">
        <v>7.3999999999999996E-2</v>
      </c>
      <c r="EV21" s="7" t="s">
        <v>55</v>
      </c>
      <c r="EW21" s="7"/>
      <c r="EX21" s="7"/>
    </row>
    <row r="22" spans="1:154" x14ac:dyDescent="0.35">
      <c r="D22">
        <f t="shared" si="0"/>
        <v>0</v>
      </c>
      <c r="F22" t="s">
        <v>62</v>
      </c>
      <c r="AC22" t="s">
        <v>86</v>
      </c>
      <c r="AD22">
        <f>2/AD21</f>
        <v>8.6311119874040845</v>
      </c>
      <c r="AE22" t="s">
        <v>87</v>
      </c>
      <c r="BB22" s="7" t="s">
        <v>112</v>
      </c>
      <c r="BC22">
        <f>BC19*BC20/BC21*BC17</f>
        <v>84.688027199999979</v>
      </c>
      <c r="DT22" s="9" t="s">
        <v>29</v>
      </c>
      <c r="DU22">
        <f>DU21*DU20</f>
        <v>0.80294195999999995</v>
      </c>
      <c r="DV22" t="s">
        <v>53</v>
      </c>
      <c r="ET22" s="7"/>
      <c r="EU22" s="7"/>
      <c r="EV22" s="7"/>
      <c r="EW22" s="7"/>
      <c r="EX22" s="7"/>
    </row>
    <row r="23" spans="1:154" ht="18.5" x14ac:dyDescent="0.45">
      <c r="A23" s="2" t="s">
        <v>23</v>
      </c>
      <c r="D23">
        <f t="shared" si="0"/>
        <v>0</v>
      </c>
      <c r="F23" t="s">
        <v>63</v>
      </c>
      <c r="AC23" t="s">
        <v>88</v>
      </c>
      <c r="BB23" t="s">
        <v>119</v>
      </c>
      <c r="BC23" t="s">
        <v>120</v>
      </c>
      <c r="DT23" s="9" t="s">
        <v>169</v>
      </c>
      <c r="DU23" s="10">
        <v>0.15</v>
      </c>
      <c r="ET23" s="8" t="s">
        <v>189</v>
      </c>
    </row>
    <row r="24" spans="1:154" x14ac:dyDescent="0.35">
      <c r="A24" t="s">
        <v>24</v>
      </c>
      <c r="B24">
        <v>80</v>
      </c>
      <c r="C24">
        <v>4</v>
      </c>
      <c r="D24">
        <f t="shared" si="0"/>
        <v>320</v>
      </c>
      <c r="F24" t="s">
        <v>64</v>
      </c>
      <c r="AC24" t="s">
        <v>89</v>
      </c>
      <c r="AD24">
        <v>12</v>
      </c>
      <c r="AE24" t="s">
        <v>92</v>
      </c>
      <c r="BB24" s="7" t="s">
        <v>121</v>
      </c>
      <c r="BC24">
        <f>0.5*BC17</f>
        <v>320.44118399999991</v>
      </c>
      <c r="DT24" s="9" t="s">
        <v>170</v>
      </c>
      <c r="DU24">
        <v>5</v>
      </c>
      <c r="DV24" t="s">
        <v>171</v>
      </c>
      <c r="ET24" t="s">
        <v>190</v>
      </c>
      <c r="EU24" t="s">
        <v>191</v>
      </c>
    </row>
    <row r="25" spans="1:154" x14ac:dyDescent="0.35">
      <c r="A25" t="s">
        <v>25</v>
      </c>
      <c r="B25">
        <v>30</v>
      </c>
      <c r="C25">
        <v>1</v>
      </c>
      <c r="D25">
        <f t="shared" si="0"/>
        <v>30</v>
      </c>
      <c r="F25" t="s">
        <v>65</v>
      </c>
      <c r="G25" t="s">
        <v>66</v>
      </c>
      <c r="AC25" t="s">
        <v>54</v>
      </c>
      <c r="AD25">
        <v>3</v>
      </c>
      <c r="AE25" t="s">
        <v>91</v>
      </c>
      <c r="DT25" s="9" t="s">
        <v>172</v>
      </c>
      <c r="DU25">
        <v>1000</v>
      </c>
      <c r="DV25" t="s">
        <v>173</v>
      </c>
      <c r="ET25" t="s">
        <v>192</v>
      </c>
      <c r="EU25">
        <f>EU21/2</f>
        <v>3.6999999999999998E-2</v>
      </c>
      <c r="EV25" t="s">
        <v>55</v>
      </c>
    </row>
    <row r="26" spans="1:154" x14ac:dyDescent="0.35">
      <c r="A26" t="s">
        <v>26</v>
      </c>
      <c r="B26">
        <v>138</v>
      </c>
      <c r="C26">
        <v>2</v>
      </c>
      <c r="D26">
        <f t="shared" si="0"/>
        <v>276</v>
      </c>
      <c r="AC26" t="s">
        <v>90</v>
      </c>
      <c r="AD26">
        <f>AD22/AD25</f>
        <v>2.8770373291346947</v>
      </c>
      <c r="AE26" t="s">
        <v>129</v>
      </c>
      <c r="BB26" s="7" t="s">
        <v>122</v>
      </c>
      <c r="BC26">
        <f>BC17+BC22+BC24</f>
        <v>1046.0115791999997</v>
      </c>
      <c r="BD26" t="s">
        <v>125</v>
      </c>
      <c r="DT26" s="1" t="s">
        <v>174</v>
      </c>
      <c r="DU26" s="1">
        <f>DU22*DU23*DU24*DU25</f>
        <v>602.20646999999997</v>
      </c>
      <c r="DV26" s="1" t="s">
        <v>157</v>
      </c>
      <c r="DW26" s="1" t="s">
        <v>78</v>
      </c>
      <c r="DX26" s="1">
        <v>219.77379999999999</v>
      </c>
      <c r="DY26" s="1" t="s">
        <v>142</v>
      </c>
      <c r="DZ26" s="1" t="s">
        <v>165</v>
      </c>
      <c r="ET26" t="s">
        <v>195</v>
      </c>
      <c r="EU26">
        <v>0.76200000000000001</v>
      </c>
      <c r="EV26" t="s">
        <v>55</v>
      </c>
    </row>
    <row r="27" spans="1:154" x14ac:dyDescent="0.35">
      <c r="D27">
        <f t="shared" si="0"/>
        <v>0</v>
      </c>
      <c r="AC27" t="s">
        <v>93</v>
      </c>
      <c r="BB27" t="s">
        <v>123</v>
      </c>
      <c r="BC27">
        <f>1+BC26/100000</f>
        <v>1.0104601157919999</v>
      </c>
      <c r="BD27" t="s">
        <v>124</v>
      </c>
      <c r="ET27" t="s">
        <v>118</v>
      </c>
      <c r="EU27">
        <v>0.8</v>
      </c>
      <c r="EV27" t="s">
        <v>55</v>
      </c>
    </row>
    <row r="28" spans="1:154" ht="15.5" x14ac:dyDescent="0.35">
      <c r="A28" s="2" t="s">
        <v>16</v>
      </c>
      <c r="D28">
        <f t="shared" si="0"/>
        <v>0</v>
      </c>
      <c r="AC28" t="s">
        <v>94</v>
      </c>
      <c r="AD28">
        <f>2*9.81</f>
        <v>19.62</v>
      </c>
      <c r="AE28" t="s">
        <v>54</v>
      </c>
      <c r="ET28" t="s">
        <v>197</v>
      </c>
      <c r="EU28">
        <f>2*SQRT(2*0.2*EU21-EU21^2)</f>
        <v>0.31063805304566278</v>
      </c>
    </row>
    <row r="29" spans="1:154" x14ac:dyDescent="0.35">
      <c r="A29" t="s">
        <v>17</v>
      </c>
      <c r="B29">
        <v>11.76</v>
      </c>
      <c r="C29">
        <v>1</v>
      </c>
      <c r="D29">
        <f t="shared" si="0"/>
        <v>11.76</v>
      </c>
      <c r="AC29" t="s">
        <v>97</v>
      </c>
      <c r="AD29">
        <v>0.4</v>
      </c>
      <c r="ET29" t="s">
        <v>196</v>
      </c>
      <c r="EU29">
        <f>4*EU27*EU28*(EU26/2)^2</f>
        <v>0.14429609733811666</v>
      </c>
    </row>
    <row r="30" spans="1:154" x14ac:dyDescent="0.35">
      <c r="A30" t="s">
        <v>18</v>
      </c>
      <c r="B30">
        <v>18.5</v>
      </c>
      <c r="C30">
        <v>1</v>
      </c>
      <c r="D30">
        <f t="shared" si="0"/>
        <v>18.5</v>
      </c>
      <c r="AC30" t="s">
        <v>96</v>
      </c>
      <c r="AD30">
        <f>AD29*AD28</f>
        <v>7.8480000000000008</v>
      </c>
      <c r="AE30" t="s">
        <v>54</v>
      </c>
      <c r="ET30" t="s">
        <v>194</v>
      </c>
      <c r="EU30">
        <f>EU29/EU9</f>
        <v>2.79723830358546</v>
      </c>
      <c r="EV30" t="s">
        <v>55</v>
      </c>
    </row>
    <row r="31" spans="1:154" x14ac:dyDescent="0.35">
      <c r="AC31" t="s">
        <v>98</v>
      </c>
      <c r="AD31">
        <v>5</v>
      </c>
      <c r="AE31" t="s">
        <v>54</v>
      </c>
      <c r="ET31" t="s">
        <v>198</v>
      </c>
      <c r="EU31">
        <v>0.98799999999999999</v>
      </c>
      <c r="EV31" t="s">
        <v>55</v>
      </c>
    </row>
    <row r="32" spans="1:154" x14ac:dyDescent="0.35">
      <c r="A32" t="s">
        <v>6</v>
      </c>
      <c r="D32">
        <f>SUM(D6:D30)</f>
        <v>2374.3100000000004</v>
      </c>
      <c r="AC32" t="s">
        <v>99</v>
      </c>
      <c r="AD32">
        <f>AD28+AD31+AD30</f>
        <v>32.468000000000004</v>
      </c>
      <c r="AE32" t="s">
        <v>54</v>
      </c>
      <c r="ET32" t="s">
        <v>190</v>
      </c>
      <c r="EU32">
        <f>EU25+EU30-EU31</f>
        <v>1.8462383035854599</v>
      </c>
      <c r="EV32" t="s">
        <v>55</v>
      </c>
      <c r="EW32" t="s">
        <v>199</v>
      </c>
    </row>
    <row r="33" spans="29:156" x14ac:dyDescent="0.35">
      <c r="AC33" t="s">
        <v>100</v>
      </c>
      <c r="AD33">
        <f>AD32*AD17</f>
        <v>5.0909824000000006</v>
      </c>
      <c r="AE33" t="s">
        <v>101</v>
      </c>
      <c r="AF33" s="7" t="s">
        <v>89</v>
      </c>
      <c r="ET33" t="s">
        <v>200</v>
      </c>
    </row>
    <row r="35" spans="29:156" ht="18.5" x14ac:dyDescent="0.45">
      <c r="ET35" s="8" t="s">
        <v>201</v>
      </c>
    </row>
    <row r="36" spans="29:156" x14ac:dyDescent="0.35">
      <c r="ET36" t="s">
        <v>211</v>
      </c>
      <c r="EU36" t="s">
        <v>212</v>
      </c>
      <c r="EV36">
        <v>22.22</v>
      </c>
      <c r="EW36" t="s">
        <v>66</v>
      </c>
    </row>
    <row r="37" spans="29:156" x14ac:dyDescent="0.35">
      <c r="ET37" t="s">
        <v>202</v>
      </c>
      <c r="EU37">
        <v>12</v>
      </c>
      <c r="EV37" t="s">
        <v>203</v>
      </c>
      <c r="EW37" t="s">
        <v>206</v>
      </c>
      <c r="EX37">
        <v>0.20791169000000001</v>
      </c>
      <c r="EY37" t="s">
        <v>216</v>
      </c>
      <c r="EZ37">
        <v>0.97814760000000001</v>
      </c>
    </row>
    <row r="38" spans="29:156" x14ac:dyDescent="0.35">
      <c r="ET38" t="s">
        <v>204</v>
      </c>
      <c r="EU38" t="s">
        <v>205</v>
      </c>
      <c r="EV38">
        <f>EU6*9.81*EU32*0.20791169</f>
        <v>194.2498944918072</v>
      </c>
    </row>
    <row r="39" spans="29:156" x14ac:dyDescent="0.35">
      <c r="ET39" t="s">
        <v>207</v>
      </c>
      <c r="EU39" t="s">
        <v>208</v>
      </c>
      <c r="EW39" t="s">
        <v>92</v>
      </c>
    </row>
    <row r="40" spans="29:156" x14ac:dyDescent="0.35">
      <c r="EU40" t="s">
        <v>44</v>
      </c>
      <c r="EV40">
        <v>1</v>
      </c>
    </row>
    <row r="41" spans="29:156" x14ac:dyDescent="0.35">
      <c r="ET41" t="s">
        <v>209</v>
      </c>
      <c r="EU41" t="s">
        <v>29</v>
      </c>
      <c r="EV41">
        <v>0.5</v>
      </c>
      <c r="EW41" t="s">
        <v>53</v>
      </c>
    </row>
    <row r="42" spans="29:156" x14ac:dyDescent="0.35">
      <c r="EU42" t="s">
        <v>210</v>
      </c>
      <c r="EV42">
        <v>1.2</v>
      </c>
      <c r="EW42" t="s">
        <v>51</v>
      </c>
    </row>
    <row r="43" spans="29:156" x14ac:dyDescent="0.35">
      <c r="EU43" t="s">
        <v>43</v>
      </c>
      <c r="EV43">
        <f>EV40*EV41*0.5*EV42*EV36^2</f>
        <v>148.11851999999999</v>
      </c>
      <c r="EW43" t="s">
        <v>92</v>
      </c>
    </row>
    <row r="44" spans="29:156" x14ac:dyDescent="0.35">
      <c r="ET44" t="s">
        <v>215</v>
      </c>
      <c r="EU44" t="s">
        <v>214</v>
      </c>
      <c r="EV44">
        <v>0.7</v>
      </c>
      <c r="EW44" t="s">
        <v>55</v>
      </c>
    </row>
    <row r="45" spans="29:156" x14ac:dyDescent="0.35">
      <c r="ET45" s="7" t="s">
        <v>213</v>
      </c>
      <c r="EU45" s="7" t="s">
        <v>208</v>
      </c>
      <c r="EV45">
        <f>EV43*EV44*EZ37</f>
        <v>101.41724239748639</v>
      </c>
      <c r="EW45" s="7" t="s">
        <v>92</v>
      </c>
      <c r="EX45" t="s">
        <v>217</v>
      </c>
      <c r="EY45" t="s">
        <v>218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B6031A5BD43204FA22661A67FD2DC5B" ma:contentTypeVersion="14" ma:contentTypeDescription="新建文档。" ma:contentTypeScope="" ma:versionID="695a9a9d2e16f9fc12b7c4adf36e8359">
  <xsd:schema xmlns:xsd="http://www.w3.org/2001/XMLSchema" xmlns:xs="http://www.w3.org/2001/XMLSchema" xmlns:p="http://schemas.microsoft.com/office/2006/metadata/properties" xmlns:ns2="bb455778-7b2f-4dc5-91bd-b12c2134fa02" xmlns:ns3="20d2f86d-2c29-429b-8e3c-f3d83548be91" targetNamespace="http://schemas.microsoft.com/office/2006/metadata/properties" ma:root="true" ma:fieldsID="11c13df0868e8220fb690384381d941a" ns2:_="" ns3:_="">
    <xsd:import namespace="bb455778-7b2f-4dc5-91bd-b12c2134fa02"/>
    <xsd:import namespace="20d2f86d-2c29-429b-8e3c-f3d83548be9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55778-7b2f-4dc5-91bd-b12c2134fa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图像标记" ma:readOnly="false" ma:fieldId="{5cf76f15-5ced-4ddc-b409-7134ff3c332f}" ma:taxonomyMulti="true" ma:sspId="5b41eaff-6be1-43e3-aa28-e44eb035eb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2f86d-2c29-429b-8e3c-f3d83548be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a47f256-fc36-4666-9a3a-a289cfc9b242}" ma:internalName="TaxCatchAll" ma:showField="CatchAllData" ma:web="20d2f86d-2c29-429b-8e3c-f3d83548be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d2f86d-2c29-429b-8e3c-f3d83548be91" xsi:nil="true"/>
    <ReferenceId xmlns="bb455778-7b2f-4dc5-91bd-b12c2134fa02" xsi:nil="true"/>
    <lcf76f155ced4ddcb4097134ff3c332f xmlns="bb455778-7b2f-4dc5-91bd-b12c2134fa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6A25FA-25EC-4CC3-A906-FBA6E3471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455778-7b2f-4dc5-91bd-b12c2134fa02"/>
    <ds:schemaRef ds:uri="20d2f86d-2c29-429b-8e3c-f3d83548be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94CB4E-4E97-435B-A567-D37319EFFDCB}">
  <ds:schemaRefs>
    <ds:schemaRef ds:uri="http://schemas.microsoft.com/office/2006/documentManagement/types"/>
    <ds:schemaRef ds:uri="20d2f86d-2c29-429b-8e3c-f3d83548be91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b455778-7b2f-4dc5-91bd-b12c2134fa0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F7F5E4-0B63-4FF8-BA37-10587AC905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Mattie Carlson</dc:creator>
  <cp:keywords/>
  <dc:description/>
  <cp:lastModifiedBy>Zibo ZHENG (20515130)</cp:lastModifiedBy>
  <cp:revision/>
  <dcterms:created xsi:type="dcterms:W3CDTF">2017-04-26T04:00:46Z</dcterms:created>
  <dcterms:modified xsi:type="dcterms:W3CDTF">2025-04-19T13:36:40Z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0x010100AB6031A5BD43204FA22661A67FD2DC5B</vt:lpwstr>
  </property>
</Properties>
</file>