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-private\data\"/>
    </mc:Choice>
  </mc:AlternateContent>
  <xr:revisionPtr revIDLastSave="0" documentId="13_ncr:1_{BEB94E5F-8C94-4B85-8599-90B1A860D2F5}" xr6:coauthVersionLast="47" xr6:coauthVersionMax="47" xr10:uidLastSave="{00000000-0000-0000-0000-000000000000}"/>
  <bookViews>
    <workbookView xWindow="28680" yWindow="-120" windowWidth="29040" windowHeight="15840" xr2:uid="{0DC09E48-9579-49E6-AA56-8FECFF415513}"/>
  </bookViews>
  <sheets>
    <sheet name="Energy costs" sheetId="1" r:id="rId1"/>
    <sheet name="Inhouse heat system costs" sheetId="2" r:id="rId2"/>
    <sheet name="District heating costs" sheetId="6" r:id="rId3"/>
    <sheet name="Inhouse VestaMAIS" sheetId="4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A44" i="1"/>
  <c r="P3" i="1"/>
  <c r="P4" i="1"/>
  <c r="P5" i="1"/>
  <c r="P6" i="1"/>
  <c r="P2" i="1"/>
  <c r="L31" i="1"/>
  <c r="J31" i="1"/>
  <c r="F31" i="1"/>
  <c r="L30" i="1"/>
  <c r="J30" i="1"/>
  <c r="F30" i="1"/>
  <c r="L29" i="1"/>
  <c r="J29" i="1" s="1"/>
  <c r="L28" i="1"/>
  <c r="J28" i="1" s="1"/>
  <c r="F28" i="1"/>
  <c r="L27" i="1"/>
  <c r="F27" i="1"/>
  <c r="D47" i="6"/>
  <c r="D46" i="6"/>
  <c r="D40" i="6"/>
  <c r="M27" i="1" l="1"/>
  <c r="M31" i="1"/>
  <c r="J27" i="1"/>
  <c r="M29" i="1"/>
  <c r="F29" i="1"/>
  <c r="F7" i="2"/>
  <c r="P36" i="1"/>
  <c r="P35" i="1"/>
  <c r="P34" i="1"/>
  <c r="P33" i="1"/>
  <c r="P32" i="1"/>
  <c r="L26" i="1"/>
  <c r="J26" i="1"/>
  <c r="F26" i="1"/>
  <c r="P25" i="1"/>
  <c r="L25" i="1"/>
  <c r="J25" i="1" s="1"/>
  <c r="F25" i="1"/>
  <c r="L24" i="1"/>
  <c r="F24" i="1"/>
  <c r="L23" i="1"/>
  <c r="F23" i="1" s="1"/>
  <c r="L22" i="1"/>
  <c r="J22" i="1" s="1"/>
  <c r="F22" i="1"/>
  <c r="L21" i="1"/>
  <c r="M21" i="1" s="1"/>
  <c r="J21" i="1"/>
  <c r="F21" i="1"/>
  <c r="P20" i="1"/>
  <c r="L20" i="1"/>
  <c r="M20" i="1" s="1"/>
  <c r="L19" i="1"/>
  <c r="J19" i="1"/>
  <c r="F19" i="1"/>
  <c r="L18" i="1"/>
  <c r="J18" i="1" s="1"/>
  <c r="P17" i="1"/>
  <c r="L17" i="1"/>
  <c r="J17" i="1"/>
  <c r="F17" i="1"/>
  <c r="P16" i="1"/>
  <c r="J16" i="1"/>
  <c r="L16" i="1" s="1"/>
  <c r="M16" i="1" s="1"/>
  <c r="F16" i="1"/>
  <c r="P15" i="1"/>
  <c r="J15" i="1"/>
  <c r="L15" i="1" s="1"/>
  <c r="M15" i="1" s="1"/>
  <c r="P14" i="1"/>
  <c r="F14" i="1"/>
  <c r="J14" i="1" s="1"/>
  <c r="L14" i="1" s="1"/>
  <c r="M14" i="1" s="1"/>
  <c r="P13" i="1"/>
  <c r="F13" i="1"/>
  <c r="J13" i="1" s="1"/>
  <c r="L13" i="1" s="1"/>
  <c r="M13" i="1" s="1"/>
  <c r="P12" i="1"/>
  <c r="F12" i="1"/>
  <c r="J12" i="1" s="1"/>
  <c r="L12" i="1" s="1"/>
  <c r="M12" i="1" s="1"/>
  <c r="P11" i="1"/>
  <c r="J11" i="1"/>
  <c r="L11" i="1" s="1"/>
  <c r="M11" i="1" s="1"/>
  <c r="P10" i="1"/>
  <c r="J10" i="1"/>
  <c r="L10" i="1" s="1"/>
  <c r="M10" i="1" s="1"/>
  <c r="P9" i="1"/>
  <c r="J9" i="1"/>
  <c r="L9" i="1" s="1"/>
  <c r="M9" i="1" s="1"/>
  <c r="P8" i="1"/>
  <c r="L8" i="1"/>
  <c r="M8" i="1" s="1"/>
  <c r="J8" i="1"/>
  <c r="P7" i="1"/>
  <c r="J7" i="1"/>
  <c r="L7" i="1" s="1"/>
  <c r="P18" i="1"/>
  <c r="J6" i="1"/>
  <c r="L6" i="1" s="1"/>
  <c r="M6" i="1" s="1"/>
  <c r="J5" i="1"/>
  <c r="L5" i="1" s="1"/>
  <c r="M5" i="1" s="1"/>
  <c r="J4" i="1"/>
  <c r="L4" i="1" s="1"/>
  <c r="M4" i="1" s="1"/>
  <c r="J3" i="1"/>
  <c r="L3" i="1" s="1"/>
  <c r="M3" i="1" s="1"/>
  <c r="J2" i="1"/>
  <c r="L2" i="1" s="1"/>
  <c r="M2" i="1" s="1"/>
  <c r="M25" i="1" l="1"/>
  <c r="M18" i="1"/>
  <c r="M26" i="1"/>
  <c r="P22" i="1"/>
  <c r="P31" i="1"/>
  <c r="M28" i="1"/>
  <c r="P30" i="1"/>
  <c r="P28" i="1"/>
  <c r="M30" i="1"/>
  <c r="P27" i="1"/>
  <c r="P29" i="1"/>
  <c r="M22" i="1"/>
  <c r="P23" i="1"/>
  <c r="F20" i="1"/>
  <c r="J20" i="1"/>
  <c r="M24" i="1"/>
  <c r="J23" i="1"/>
  <c r="P21" i="1"/>
  <c r="J24" i="1"/>
  <c r="M19" i="1"/>
  <c r="P26" i="1"/>
  <c r="M23" i="1"/>
  <c r="P19" i="1"/>
  <c r="M17" i="1"/>
  <c r="P24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tc={65E701A3-3121-41AD-9B6C-017738A393A2}</author>
    <author>tc={5ED37669-2B19-41B8-A25D-1405ADE5971A}</author>
    <author>tc={F4196DB3-0BC4-42BA-A47B-1F214887B43E}</author>
    <author>Loomans, N.</author>
  </authors>
  <commentList>
    <comment ref="F13" authorId="0" shapeId="0" xr:uid="{65E701A3-3121-41AD-9B6C-017738A393A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4" authorId="1" shapeId="0" xr:uid="{5ED37669-2B19-41B8-A25D-1405ADE5971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5" authorId="2" shapeId="0" xr:uid="{F4196DB3-0BC4-42BA-A47B-1F214887B43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6" authorId="3" shapeId="0" xr:uid="{B091B629-8411-472B-BB4E-6E4F884513A1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<sst xmlns="http://schemas.openxmlformats.org/spreadsheetml/2006/main" count="473" uniqueCount="214">
  <si>
    <t>Jaar</t>
  </si>
  <si>
    <t>Energiedrager</t>
  </si>
  <si>
    <t>Netbeheerkosten (eur/jaar)</t>
  </si>
  <si>
    <t>Vaste leveringskosten (eur/jaar)</t>
  </si>
  <si>
    <t>belastingvermindering</t>
  </si>
  <si>
    <t>Variabele leveringskosten</t>
  </si>
  <si>
    <t>Energiebelasting</t>
  </si>
  <si>
    <t>ODE</t>
  </si>
  <si>
    <t>Subtotaal</t>
  </si>
  <si>
    <t>BTW</t>
  </si>
  <si>
    <t>Totaal</t>
  </si>
  <si>
    <t>CO2-emissiefactor</t>
  </si>
  <si>
    <t>CO2-emissiefactor (kg/kWh)</t>
  </si>
  <si>
    <t>electricity</t>
  </si>
  <si>
    <t>Eur/kWh</t>
  </si>
  <si>
    <t>kg/kWh</t>
  </si>
  <si>
    <t>Cent accijns per liter brandstof</t>
  </si>
  <si>
    <t>Lijst Emissiefactoren</t>
  </si>
  <si>
    <t>kWh per m3 gas</t>
  </si>
  <si>
    <t>GJ per kWh</t>
  </si>
  <si>
    <t>natural gas</t>
  </si>
  <si>
    <t>Eur/m3</t>
  </si>
  <si>
    <t>kg/Nm3</t>
  </si>
  <si>
    <t>kWh per km</t>
  </si>
  <si>
    <t>green gas</t>
  </si>
  <si>
    <t>LT-warmte</t>
  </si>
  <si>
    <t>Eur/GJ</t>
  </si>
  <si>
    <t>kg/GJ</t>
  </si>
  <si>
    <t>MT-warmte</t>
  </si>
  <si>
    <t>Benzine autokilometer</t>
  </si>
  <si>
    <t>Eur/l</t>
  </si>
  <si>
    <t>kg/km</t>
  </si>
  <si>
    <t>Heat Installations household</t>
  </si>
  <si>
    <t>Type</t>
  </si>
  <si>
    <t>Fixed OPEX</t>
  </si>
  <si>
    <t>Unit (Fixed OPEX)</t>
  </si>
  <si>
    <t>Variable OPEX (EUR/kW/y</t>
  </si>
  <si>
    <t>CAPEX (EUR/kW)</t>
  </si>
  <si>
    <t>Unit</t>
  </si>
  <si>
    <t>Lifetime</t>
  </si>
  <si>
    <t>Heat pump</t>
  </si>
  <si>
    <t>Air-water</t>
  </si>
  <si>
    <t>EUR/kW/y</t>
  </si>
  <si>
    <t>EUR/kW</t>
  </si>
  <si>
    <t>Ground-water</t>
  </si>
  <si>
    <t>Hybrid</t>
  </si>
  <si>
    <t>Gas boiler</t>
  </si>
  <si>
    <t>Decentral</t>
  </si>
  <si>
    <t>Green gas boiler</t>
  </si>
  <si>
    <t>Electric boiler</t>
  </si>
  <si>
    <t>EUR per aansluiting</t>
  </si>
  <si>
    <t>HT-radiator</t>
  </si>
  <si>
    <t>EUR/m2</t>
  </si>
  <si>
    <t>LT-radiator</t>
  </si>
  <si>
    <t>Underfloor heating</t>
  </si>
  <si>
    <t>€/m</t>
  </si>
  <si>
    <t>name</t>
  </si>
  <si>
    <t>RVb</t>
  </si>
  <si>
    <t>RVp</t>
  </si>
  <si>
    <t>TWb</t>
  </si>
  <si>
    <t>TWp</t>
  </si>
  <si>
    <t>Kb</t>
  </si>
  <si>
    <t>Kp</t>
  </si>
  <si>
    <t>Dak</t>
  </si>
  <si>
    <t>LeerCurve</t>
  </si>
  <si>
    <t>Ki_asl_min_w</t>
  </si>
  <si>
    <t>Ki_asl_max_w</t>
  </si>
  <si>
    <t>Ki_asl_min_u</t>
  </si>
  <si>
    <t>Ki_asl_max_u</t>
  </si>
  <si>
    <t>Ki_cap_min_w</t>
  </si>
  <si>
    <t>Ki_cap_max_w</t>
  </si>
  <si>
    <t>Ki_cap_min_u</t>
  </si>
  <si>
    <t>Ki_cap_max_u</t>
  </si>
  <si>
    <t>Ki_opp_min_w</t>
  </si>
  <si>
    <t>Ki_opp_max_w</t>
  </si>
  <si>
    <t>Ki_opp_min_u</t>
  </si>
  <si>
    <t>Ki_opp_max_u</t>
  </si>
  <si>
    <t>R_OH</t>
  </si>
  <si>
    <t>R_Adm</t>
  </si>
  <si>
    <t>AT30</t>
  </si>
  <si>
    <t>AT20</t>
  </si>
  <si>
    <t>niks</t>
  </si>
  <si>
    <t>aangepast</t>
  </si>
  <si>
    <t>geen</t>
  </si>
  <si>
    <t>VR</t>
  </si>
  <si>
    <t>HR</t>
  </si>
  <si>
    <t>eWP_lw</t>
  </si>
  <si>
    <t>eWPlw</t>
  </si>
  <si>
    <t>eWP_bw</t>
  </si>
  <si>
    <t>eWPww</t>
  </si>
  <si>
    <t>eWP_ll</t>
  </si>
  <si>
    <t>Pellet</t>
  </si>
  <si>
    <t>Bioketel</t>
  </si>
  <si>
    <t>IR</t>
  </si>
  <si>
    <t>ZonPV_l</t>
  </si>
  <si>
    <t>ZonPV_h</t>
  </si>
  <si>
    <t>ZonB</t>
  </si>
  <si>
    <t>H2R</t>
  </si>
  <si>
    <t>Waterstof</t>
  </si>
  <si>
    <t>eBoiler</t>
  </si>
  <si>
    <t>Doorstroom</t>
  </si>
  <si>
    <t>EWV</t>
  </si>
  <si>
    <t>mWKK</t>
  </si>
  <si>
    <t>Airco</t>
  </si>
  <si>
    <t>BasisHWP_w</t>
  </si>
  <si>
    <t>hWP</t>
  </si>
  <si>
    <t>eWP_lw_u</t>
  </si>
  <si>
    <t>eWP_bw_uG</t>
  </si>
  <si>
    <t>eWP_bw_uK</t>
  </si>
  <si>
    <t>hHR</t>
  </si>
  <si>
    <t>hWP_lw_u</t>
  </si>
  <si>
    <t>€/kW</t>
  </si>
  <si>
    <t>€</t>
  </si>
  <si>
    <t>Induction cooking</t>
  </si>
  <si>
    <t>EUR/connection</t>
  </si>
  <si>
    <t>https://cedelft.eu/wp-content/uploads/sites/2/2022/11/CE_Delft_210347_Warmtetenetten-in-Vesta-MAIS_DEF.pdf</t>
  </si>
  <si>
    <t>Source</t>
  </si>
  <si>
    <t>distribution grid</t>
  </si>
  <si>
    <t>LT</t>
  </si>
  <si>
    <t>MT</t>
  </si>
  <si>
    <t>Warmteoverdrachtstation</t>
  </si>
  <si>
    <t>Onderstation</t>
  </si>
  <si>
    <t>Vermogen per onderstation</t>
  </si>
  <si>
    <t>kw/OS</t>
  </si>
  <si>
    <t>Kosten verzamelen aansluitleidingen tot onderstation</t>
  </si>
  <si>
    <t>primary grid</t>
  </si>
  <si>
    <t>Grid costs</t>
  </si>
  <si>
    <t>TEO source (fixed)</t>
  </si>
  <si>
    <t>% of peak demand</t>
  </si>
  <si>
    <t>Primary heat source share (volume)</t>
  </si>
  <si>
    <t>Primary heat source share (capacity)</t>
  </si>
  <si>
    <t>Secondary heat source share (capacity)</t>
  </si>
  <si>
    <t>Secondary heat source share (volume)</t>
  </si>
  <si>
    <t>% of volume</t>
  </si>
  <si>
    <t>Inhouse costs</t>
  </si>
  <si>
    <t>€/connection</t>
  </si>
  <si>
    <t>Heat meter (Variable)</t>
  </si>
  <si>
    <t>Heat meter (Fixed)</t>
  </si>
  <si>
    <t>Heat delivery set</t>
  </si>
  <si>
    <t>Booster heat pump</t>
  </si>
  <si>
    <t>water-water heat pump label B</t>
  </si>
  <si>
    <t>water-water heat pump utility</t>
  </si>
  <si>
    <t>water-water heat pump label C/D/E</t>
  </si>
  <si>
    <t>Inhouse distribution costs</t>
  </si>
  <si>
    <t>Delivery system</t>
  </si>
  <si>
    <t>€/m2</t>
  </si>
  <si>
    <t>utility</t>
  </si>
  <si>
    <t>ground-bound</t>
  </si>
  <si>
    <t>high-rise</t>
  </si>
  <si>
    <t>residential</t>
  </si>
  <si>
    <t>Connection costs till delivery set</t>
  </si>
  <si>
    <t>ATES (fixed)</t>
  </si>
  <si>
    <t>ATES (variable)</t>
  </si>
  <si>
    <t>TEO source (variable)</t>
  </si>
  <si>
    <t>Heat loss</t>
  </si>
  <si>
    <t>GJ/connection</t>
  </si>
  <si>
    <t>Temperature</t>
  </si>
  <si>
    <t>Costs</t>
  </si>
  <si>
    <t>primary heat source (average)</t>
  </si>
  <si>
    <t>secondary heat source</t>
  </si>
  <si>
    <t>primary heat source annual costs</t>
  </si>
  <si>
    <t>% of investment costs</t>
  </si>
  <si>
    <t>secondary heat source annual costs</t>
  </si>
  <si>
    <t>all</t>
  </si>
  <si>
    <t>K_kW_min</t>
  </si>
  <si>
    <t>K_kW_max</t>
  </si>
  <si>
    <t>MWth_min</t>
  </si>
  <si>
    <t>JaarKosten</t>
  </si>
  <si>
    <t>CO2_2010</t>
  </si>
  <si>
    <t>CO2_2020</t>
  </si>
  <si>
    <t>CO2_2030</t>
  </si>
  <si>
    <t>CO2_2040</t>
  </si>
  <si>
    <t>CO2_2050</t>
  </si>
  <si>
    <t>NOx_2010</t>
  </si>
  <si>
    <t>NOx_2020</t>
  </si>
  <si>
    <t>NOx_2030</t>
  </si>
  <si>
    <t>NOx_2040</t>
  </si>
  <si>
    <t>NOx_2050</t>
  </si>
  <si>
    <t>SO2_2010</t>
  </si>
  <si>
    <t>SO2_2020</t>
  </si>
  <si>
    <t>SO2_2030</t>
  </si>
  <si>
    <t>SO2_2040</t>
  </si>
  <si>
    <t>SO2_2050</t>
  </si>
  <si>
    <t>VOS_2010</t>
  </si>
  <si>
    <t>VOS_2020</t>
  </si>
  <si>
    <t>VOS_2030</t>
  </si>
  <si>
    <t>VOS_2040</t>
  </si>
  <si>
    <t>VOS_2050</t>
  </si>
  <si>
    <t>TS_2010</t>
  </si>
  <si>
    <t>TS_2020</t>
  </si>
  <si>
    <t>TS_2030</t>
  </si>
  <si>
    <t>TS_2040</t>
  </si>
  <si>
    <t>TS_2050</t>
  </si>
  <si>
    <t>STEG</t>
  </si>
  <si>
    <t>Kolen</t>
  </si>
  <si>
    <t>Gasmotor</t>
  </si>
  <si>
    <t>Gasturbine</t>
  </si>
  <si>
    <t>Conventioneel</t>
  </si>
  <si>
    <t>Industrie</t>
  </si>
  <si>
    <t>Raffinaderij</t>
  </si>
  <si>
    <t>KVSTEG</t>
  </si>
  <si>
    <t>AVI</t>
  </si>
  <si>
    <t>BMC</t>
  </si>
  <si>
    <t>Kern</t>
  </si>
  <si>
    <t>WijkWKK</t>
  </si>
  <si>
    <t>Geothermie</t>
  </si>
  <si>
    <t>BioWKK</t>
  </si>
  <si>
    <t>HulpKetel</t>
  </si>
  <si>
    <t>System lifetime</t>
  </si>
  <si>
    <t>years</t>
  </si>
  <si>
    <t>HT</t>
  </si>
  <si>
    <t>HT-warmte</t>
  </si>
  <si>
    <t>KEV 2022 CO2-emissiefactor integrale methode</t>
  </si>
  <si>
    <t>primary heat source 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</si>
</sst>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1" fontId="0" fillId="0" borderId="0" xfId="0" applyNumberFormat="1"/>
    <xf numFmtId="0" fontId="0" fillId="0" borderId="0" xfId="0" applyFont="1"/>
    <xf numFmtId="1" fontId="0" fillId="0" borderId="0" xfId="2" applyNumberFormat="1" applyFont="1"/>
    <xf numFmtId="2" fontId="0" fillId="0" borderId="0" xfId="2" applyNumberFormat="1" applyFont="1"/>
    <xf numFmtId="164" fontId="0" fillId="0" borderId="0" xfId="0" applyNumberFormat="1"/>
    <xf numFmtId="1" fontId="0" fillId="0" borderId="0" xfId="0" applyNumberFormat="1" applyFont="1"/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D5F9325E-4135-411B-998D-64850B0E58E8}" userId="S::n.loomans@tue.nl::b1f982a0-abfb-428d-a2b4-b1c79a794269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2-08-05T13:29:38.93" personId="{D5F9325E-4135-411B-998D-64850B0E58E8}" id="{65E701A3-3121-41AD-9B6C-017738A393A2}">
    <text>Power peers groen gas</text>
  </threadedComment>
  <threadedComment ref="F14" dT="2022-08-05T13:29:38.93" personId="{D5F9325E-4135-411B-998D-64850B0E58E8}" id="{5ED37669-2B19-41B8-A25D-1405ADE5971A}">
    <text>Power peers groen gas</text>
  </threadedComment>
  <threadedComment ref="F15" dT="2022-08-05T13:29:38.93" personId="{D5F9325E-4135-411B-998D-64850B0E58E8}" id="{F4196DB3-0BC4-42BA-A47B-1F214887B43E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3083-9044-45A1-A680-74930665CF4B}">
  <dimension ref="A1:Q45"/>
  <sheetViews>
    <sheetView tabSelected="1" workbookViewId="0">
      <selection activeCell="F28" sqref="F28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</row>
    <row r="2" spans="1:17" x14ac:dyDescent="0.3">
      <c r="A2">
        <v>2018</v>
      </c>
      <c r="B2" t="s">
        <v>13</v>
      </c>
      <c r="C2">
        <v>195</v>
      </c>
      <c r="D2">
        <v>45</v>
      </c>
      <c r="E2">
        <v>313</v>
      </c>
      <c r="F2">
        <v>0.06</v>
      </c>
      <c r="G2" t="s">
        <v>14</v>
      </c>
      <c r="H2" s="1">
        <v>0.11</v>
      </c>
      <c r="I2">
        <v>0.01</v>
      </c>
      <c r="J2" s="1">
        <f>SUM(F2:I2)</f>
        <v>0.18</v>
      </c>
      <c r="K2" s="2">
        <v>0.21</v>
      </c>
      <c r="L2" s="1">
        <f>J2*(1+K2)</f>
        <v>0.21779999999999999</v>
      </c>
      <c r="M2" s="1">
        <f>L2</f>
        <v>0.21779999999999999</v>
      </c>
      <c r="N2">
        <v>0.4</v>
      </c>
      <c r="O2" t="s">
        <v>15</v>
      </c>
      <c r="P2" s="1">
        <f>N2</f>
        <v>0.4</v>
      </c>
      <c r="Q2" t="s">
        <v>212</v>
      </c>
    </row>
    <row r="3" spans="1:17" x14ac:dyDescent="0.3">
      <c r="A3">
        <v>2019</v>
      </c>
      <c r="B3" t="s">
        <v>13</v>
      </c>
      <c r="C3">
        <v>197</v>
      </c>
      <c r="D3">
        <v>55</v>
      </c>
      <c r="E3">
        <v>258</v>
      </c>
      <c r="F3">
        <v>7.0000000000000007E-2</v>
      </c>
      <c r="G3" t="s">
        <v>14</v>
      </c>
      <c r="H3" s="1">
        <v>0.1</v>
      </c>
      <c r="I3">
        <v>0.02</v>
      </c>
      <c r="J3" s="1">
        <f t="shared" ref="J3:J6" si="0">SUM(F3:I3)</f>
        <v>0.19</v>
      </c>
      <c r="K3" s="2">
        <v>0.21</v>
      </c>
      <c r="L3" s="1">
        <f t="shared" ref="L3:L6" si="1">J3*(1+K3)</f>
        <v>0.22989999999999999</v>
      </c>
      <c r="M3" s="1">
        <f t="shared" ref="M3:M6" si="2">L3</f>
        <v>0.22989999999999999</v>
      </c>
      <c r="N3">
        <v>0.35</v>
      </c>
      <c r="O3" t="s">
        <v>15</v>
      </c>
      <c r="P3" s="1">
        <f t="shared" ref="P3:P6" si="3">N3</f>
        <v>0.35</v>
      </c>
      <c r="Q3" t="s">
        <v>212</v>
      </c>
    </row>
    <row r="4" spans="1:17" x14ac:dyDescent="0.3">
      <c r="A4">
        <v>2020</v>
      </c>
      <c r="B4" t="s">
        <v>13</v>
      </c>
      <c r="C4">
        <v>197</v>
      </c>
      <c r="D4">
        <v>55</v>
      </c>
      <c r="E4">
        <v>430</v>
      </c>
      <c r="F4">
        <v>0.06</v>
      </c>
      <c r="G4" t="s">
        <v>14</v>
      </c>
      <c r="H4" s="1">
        <v>0.1</v>
      </c>
      <c r="I4">
        <v>0.03</v>
      </c>
      <c r="J4" s="1">
        <f>SUM(F4:I4)</f>
        <v>0.19</v>
      </c>
      <c r="K4" s="2">
        <v>0.21</v>
      </c>
      <c r="L4" s="1">
        <f t="shared" si="1"/>
        <v>0.22989999999999999</v>
      </c>
      <c r="M4" s="1">
        <f t="shared" si="2"/>
        <v>0.22989999999999999</v>
      </c>
      <c r="N4">
        <v>0.28999999999999998</v>
      </c>
      <c r="O4" t="s">
        <v>15</v>
      </c>
      <c r="P4" s="1">
        <f t="shared" si="3"/>
        <v>0.28999999999999998</v>
      </c>
      <c r="Q4" t="s">
        <v>212</v>
      </c>
    </row>
    <row r="5" spans="1:17" x14ac:dyDescent="0.3">
      <c r="A5">
        <v>2022</v>
      </c>
      <c r="B5" t="s">
        <v>13</v>
      </c>
      <c r="C5">
        <v>229</v>
      </c>
      <c r="D5">
        <v>64</v>
      </c>
      <c r="E5">
        <v>430</v>
      </c>
      <c r="F5">
        <v>0.64</v>
      </c>
      <c r="G5" t="s">
        <v>14</v>
      </c>
      <c r="H5" s="1">
        <v>3.6999999999999998E-2</v>
      </c>
      <c r="I5">
        <v>0.03</v>
      </c>
      <c r="J5" s="1">
        <f t="shared" si="0"/>
        <v>0.70700000000000007</v>
      </c>
      <c r="K5" s="2">
        <v>0.09</v>
      </c>
      <c r="L5" s="1">
        <f t="shared" si="1"/>
        <v>0.77063000000000015</v>
      </c>
      <c r="M5" s="1">
        <f t="shared" si="2"/>
        <v>0.77063000000000015</v>
      </c>
      <c r="N5">
        <v>0.25</v>
      </c>
      <c r="O5" t="s">
        <v>15</v>
      </c>
      <c r="P5" s="1">
        <f t="shared" si="3"/>
        <v>0.25</v>
      </c>
      <c r="Q5" t="s">
        <v>212</v>
      </c>
    </row>
    <row r="6" spans="1:17" x14ac:dyDescent="0.3">
      <c r="A6">
        <v>2030</v>
      </c>
      <c r="B6" t="s">
        <v>13</v>
      </c>
      <c r="C6">
        <v>246</v>
      </c>
      <c r="D6">
        <v>55</v>
      </c>
      <c r="E6">
        <v>449</v>
      </c>
      <c r="F6">
        <v>0.08</v>
      </c>
      <c r="G6" t="s">
        <v>14</v>
      </c>
      <c r="H6" s="1">
        <v>7.0000000000000007E-2</v>
      </c>
      <c r="I6">
        <v>0.03</v>
      </c>
      <c r="J6" s="1">
        <f t="shared" si="0"/>
        <v>0.18000000000000002</v>
      </c>
      <c r="K6" s="2">
        <v>0.21</v>
      </c>
      <c r="L6" s="1">
        <f t="shared" si="1"/>
        <v>0.21780000000000002</v>
      </c>
      <c r="M6" s="1">
        <f t="shared" si="2"/>
        <v>0.21780000000000002</v>
      </c>
      <c r="N6">
        <v>7.0000000000000007E-2</v>
      </c>
      <c r="O6" t="s">
        <v>15</v>
      </c>
      <c r="P6" s="1">
        <f t="shared" si="3"/>
        <v>7.0000000000000007E-2</v>
      </c>
      <c r="Q6" t="s">
        <v>212</v>
      </c>
    </row>
    <row r="7" spans="1:17" x14ac:dyDescent="0.3">
      <c r="A7">
        <v>2018</v>
      </c>
      <c r="B7" t="s">
        <v>20</v>
      </c>
      <c r="C7">
        <v>146</v>
      </c>
      <c r="D7">
        <v>46</v>
      </c>
      <c r="E7">
        <v>0</v>
      </c>
      <c r="F7" s="1">
        <v>0.28000000000000003</v>
      </c>
      <c r="G7" s="1" t="s">
        <v>21</v>
      </c>
      <c r="H7">
        <v>0.26</v>
      </c>
      <c r="I7" s="1">
        <v>2.8500000000000001E-2</v>
      </c>
      <c r="J7" s="1">
        <f t="shared" ref="J7:J16" si="4">SUM(F7:I7)</f>
        <v>0.56850000000000001</v>
      </c>
      <c r="K7" s="2">
        <v>0.21</v>
      </c>
      <c r="L7" s="1">
        <f>J7*(1+K7)</f>
        <v>0.68788499999999997</v>
      </c>
      <c r="M7" s="1">
        <f t="shared" ref="M7:M16" si="5">L7/$A$43</f>
        <v>7.0415088545398713E-2</v>
      </c>
      <c r="N7">
        <v>2.085</v>
      </c>
      <c r="O7" t="s">
        <v>22</v>
      </c>
      <c r="P7" s="1">
        <f t="shared" ref="P7:P16" si="6">N7/$A$43</f>
        <v>0.21343023850957107</v>
      </c>
      <c r="Q7" t="s">
        <v>17</v>
      </c>
    </row>
    <row r="8" spans="1:17" x14ac:dyDescent="0.3">
      <c r="A8">
        <v>2019</v>
      </c>
      <c r="B8" t="s">
        <v>20</v>
      </c>
      <c r="C8">
        <v>147</v>
      </c>
      <c r="D8">
        <v>55</v>
      </c>
      <c r="E8">
        <v>0</v>
      </c>
      <c r="F8" s="1">
        <v>0.28999999999999998</v>
      </c>
      <c r="G8" s="1" t="s">
        <v>21</v>
      </c>
      <c r="H8">
        <v>0.28999999999999998</v>
      </c>
      <c r="I8" s="1">
        <v>5.2400000000000002E-2</v>
      </c>
      <c r="J8" s="1">
        <f t="shared" si="4"/>
        <v>0.63239999999999996</v>
      </c>
      <c r="K8" s="2">
        <v>0.21</v>
      </c>
      <c r="L8" s="1">
        <f t="shared" ref="L8:L16" si="7">J8*(1+K8)</f>
        <v>0.76520399999999988</v>
      </c>
      <c r="M8" s="1">
        <f t="shared" si="5"/>
        <v>7.832981881461766E-2</v>
      </c>
      <c r="N8">
        <v>2.085</v>
      </c>
      <c r="O8" t="s">
        <v>22</v>
      </c>
      <c r="P8" s="1">
        <f t="shared" si="6"/>
        <v>0.21343023850957107</v>
      </c>
      <c r="Q8" t="s">
        <v>17</v>
      </c>
    </row>
    <row r="9" spans="1:17" x14ac:dyDescent="0.3">
      <c r="A9">
        <v>2020</v>
      </c>
      <c r="B9" t="s">
        <v>20</v>
      </c>
      <c r="C9">
        <v>151</v>
      </c>
      <c r="D9">
        <v>55</v>
      </c>
      <c r="E9">
        <v>0</v>
      </c>
      <c r="F9" s="1">
        <v>0.26</v>
      </c>
      <c r="G9" s="1" t="s">
        <v>21</v>
      </c>
      <c r="H9">
        <v>0.33</v>
      </c>
      <c r="I9" s="1">
        <v>7.7499999999999999E-2</v>
      </c>
      <c r="J9" s="1">
        <f t="shared" si="4"/>
        <v>0.66750000000000009</v>
      </c>
      <c r="K9" s="2">
        <v>0.21</v>
      </c>
      <c r="L9" s="1">
        <f t="shared" si="7"/>
        <v>0.80767500000000014</v>
      </c>
      <c r="M9" s="1">
        <f t="shared" si="5"/>
        <v>8.2677346708977389E-2</v>
      </c>
      <c r="N9">
        <v>2.085</v>
      </c>
      <c r="O9" t="s">
        <v>22</v>
      </c>
      <c r="P9" s="1">
        <f t="shared" si="6"/>
        <v>0.21343023850957107</v>
      </c>
      <c r="Q9" t="s">
        <v>17</v>
      </c>
    </row>
    <row r="10" spans="1:17" x14ac:dyDescent="0.3">
      <c r="A10">
        <v>2022</v>
      </c>
      <c r="B10" t="s">
        <v>20</v>
      </c>
      <c r="C10">
        <v>151</v>
      </c>
      <c r="D10">
        <v>60</v>
      </c>
      <c r="E10">
        <v>0</v>
      </c>
      <c r="F10" s="1">
        <v>2</v>
      </c>
      <c r="G10" s="1" t="s">
        <v>21</v>
      </c>
      <c r="H10">
        <v>0.36</v>
      </c>
      <c r="I10" s="1">
        <v>8.6499999999999994E-2</v>
      </c>
      <c r="J10" s="1">
        <f t="shared" si="4"/>
        <v>2.4464999999999999</v>
      </c>
      <c r="K10" s="2">
        <v>0.21</v>
      </c>
      <c r="L10" s="1">
        <f t="shared" si="7"/>
        <v>2.9602649999999997</v>
      </c>
      <c r="M10" s="1">
        <f t="shared" si="5"/>
        <v>0.30302641007267883</v>
      </c>
      <c r="N10">
        <v>2.085</v>
      </c>
      <c r="O10" t="s">
        <v>22</v>
      </c>
      <c r="P10" s="1">
        <f t="shared" si="6"/>
        <v>0.21343023850957107</v>
      </c>
      <c r="Q10" t="s">
        <v>17</v>
      </c>
    </row>
    <row r="11" spans="1:17" x14ac:dyDescent="0.3">
      <c r="A11">
        <v>2030</v>
      </c>
      <c r="B11" t="s">
        <v>20</v>
      </c>
      <c r="C11">
        <v>151</v>
      </c>
      <c r="D11">
        <v>55</v>
      </c>
      <c r="E11">
        <v>0</v>
      </c>
      <c r="F11" s="1">
        <v>0.33</v>
      </c>
      <c r="G11" s="1" t="s">
        <v>21</v>
      </c>
      <c r="H11">
        <v>0.39</v>
      </c>
      <c r="I11" s="1">
        <v>0.1</v>
      </c>
      <c r="J11" s="1">
        <f t="shared" si="4"/>
        <v>0.82</v>
      </c>
      <c r="K11" s="2">
        <v>0.21</v>
      </c>
      <c r="L11" s="1">
        <f t="shared" si="7"/>
        <v>0.99219999999999986</v>
      </c>
      <c r="M11" s="1">
        <f t="shared" si="5"/>
        <v>0.10156617872863137</v>
      </c>
      <c r="N11">
        <v>2.085</v>
      </c>
      <c r="O11" t="s">
        <v>22</v>
      </c>
      <c r="P11" s="1">
        <f t="shared" si="6"/>
        <v>0.21343023850957107</v>
      </c>
      <c r="Q11" t="s">
        <v>17</v>
      </c>
    </row>
    <row r="12" spans="1:17" x14ac:dyDescent="0.3">
      <c r="A12">
        <v>2018</v>
      </c>
      <c r="B12" t="s">
        <v>24</v>
      </c>
      <c r="C12">
        <v>146</v>
      </c>
      <c r="D12">
        <v>46</v>
      </c>
      <c r="E12">
        <v>0</v>
      </c>
      <c r="F12" s="1">
        <f>1.54 * (1-K12)</f>
        <v>1.2166000000000001</v>
      </c>
      <c r="G12" s="1" t="s">
        <v>21</v>
      </c>
      <c r="H12">
        <v>0.26</v>
      </c>
      <c r="I12" s="1">
        <v>0</v>
      </c>
      <c r="J12" s="1">
        <f t="shared" si="4"/>
        <v>1.4766000000000001</v>
      </c>
      <c r="K12" s="2">
        <v>0.21</v>
      </c>
      <c r="L12" s="1">
        <f t="shared" si="7"/>
        <v>1.7866860000000002</v>
      </c>
      <c r="M12" s="1">
        <f t="shared" si="5"/>
        <v>0.18289343842767941</v>
      </c>
      <c r="N12">
        <v>0.72299999999999998</v>
      </c>
      <c r="O12" t="s">
        <v>22</v>
      </c>
      <c r="P12" s="1">
        <f t="shared" si="6"/>
        <v>7.4009622274541914E-2</v>
      </c>
      <c r="Q12" t="s">
        <v>17</v>
      </c>
    </row>
    <row r="13" spans="1:17" x14ac:dyDescent="0.3">
      <c r="A13">
        <v>2019</v>
      </c>
      <c r="B13" t="s">
        <v>24</v>
      </c>
      <c r="C13">
        <v>147</v>
      </c>
      <c r="D13">
        <v>55</v>
      </c>
      <c r="E13">
        <v>0</v>
      </c>
      <c r="F13" s="1">
        <f>1.54 * (1-K13)</f>
        <v>1.2166000000000001</v>
      </c>
      <c r="G13" s="1" t="s">
        <v>21</v>
      </c>
      <c r="H13">
        <v>0.28999999999999998</v>
      </c>
      <c r="I13" s="1">
        <v>0</v>
      </c>
      <c r="J13" s="1">
        <f t="shared" si="4"/>
        <v>1.5066000000000002</v>
      </c>
      <c r="K13" s="2">
        <v>0.21</v>
      </c>
      <c r="L13" s="1">
        <f t="shared" si="7"/>
        <v>1.8229860000000002</v>
      </c>
      <c r="M13" s="1">
        <f t="shared" si="5"/>
        <v>0.18660927423482446</v>
      </c>
      <c r="N13">
        <v>0.72299999999999998</v>
      </c>
      <c r="O13" t="s">
        <v>22</v>
      </c>
      <c r="P13" s="1">
        <f t="shared" si="6"/>
        <v>7.4009622274541914E-2</v>
      </c>
      <c r="Q13" t="s">
        <v>17</v>
      </c>
    </row>
    <row r="14" spans="1:17" x14ac:dyDescent="0.3">
      <c r="A14">
        <v>2020</v>
      </c>
      <c r="B14" t="s">
        <v>24</v>
      </c>
      <c r="C14">
        <v>151</v>
      </c>
      <c r="D14">
        <v>55</v>
      </c>
      <c r="E14">
        <v>0</v>
      </c>
      <c r="F14" s="1">
        <f>1.54 * (1-K14)</f>
        <v>1.2166000000000001</v>
      </c>
      <c r="G14" s="1" t="s">
        <v>21</v>
      </c>
      <c r="H14">
        <v>0.33</v>
      </c>
      <c r="I14" s="1">
        <v>0</v>
      </c>
      <c r="J14" s="1">
        <f t="shared" si="4"/>
        <v>1.5466000000000002</v>
      </c>
      <c r="K14" s="2">
        <v>0.21</v>
      </c>
      <c r="L14" s="1">
        <f t="shared" si="7"/>
        <v>1.8713860000000002</v>
      </c>
      <c r="M14" s="1">
        <f t="shared" si="5"/>
        <v>0.19156372197768454</v>
      </c>
      <c r="N14">
        <v>0.72299999999999998</v>
      </c>
      <c r="O14" t="s">
        <v>22</v>
      </c>
      <c r="P14" s="1">
        <f t="shared" si="6"/>
        <v>7.4009622274541914E-2</v>
      </c>
      <c r="Q14" t="s">
        <v>17</v>
      </c>
    </row>
    <row r="15" spans="1:17" x14ac:dyDescent="0.3">
      <c r="A15">
        <v>2022</v>
      </c>
      <c r="B15" t="s">
        <v>24</v>
      </c>
      <c r="C15">
        <v>168</v>
      </c>
      <c r="D15">
        <v>60</v>
      </c>
      <c r="E15">
        <v>0</v>
      </c>
      <c r="F15" s="1">
        <v>2</v>
      </c>
      <c r="G15" s="1" t="s">
        <v>21</v>
      </c>
      <c r="H15">
        <v>0.33</v>
      </c>
      <c r="I15" s="1">
        <v>0</v>
      </c>
      <c r="J15" s="1">
        <f t="shared" si="4"/>
        <v>2.33</v>
      </c>
      <c r="K15" s="2">
        <v>0.21</v>
      </c>
      <c r="L15" s="1">
        <f t="shared" si="7"/>
        <v>2.8193000000000001</v>
      </c>
      <c r="M15" s="1">
        <f t="shared" si="5"/>
        <v>0.28859658102159896</v>
      </c>
      <c r="N15">
        <v>0.72299999999999998</v>
      </c>
      <c r="O15" t="s">
        <v>22</v>
      </c>
      <c r="P15" s="1">
        <f t="shared" si="6"/>
        <v>7.4009622274541914E-2</v>
      </c>
      <c r="Q15" t="s">
        <v>17</v>
      </c>
    </row>
    <row r="16" spans="1:17" x14ac:dyDescent="0.3">
      <c r="A16">
        <v>2030</v>
      </c>
      <c r="B16" t="s">
        <v>24</v>
      </c>
      <c r="C16">
        <v>151</v>
      </c>
      <c r="D16">
        <v>55</v>
      </c>
      <c r="E16">
        <v>0</v>
      </c>
      <c r="F16" s="1">
        <f>65*0.0097694444</f>
        <v>0.63501388600000008</v>
      </c>
      <c r="G16" s="1" t="s">
        <v>21</v>
      </c>
      <c r="H16">
        <v>0.39</v>
      </c>
      <c r="I16" s="1">
        <v>0</v>
      </c>
      <c r="J16" s="1">
        <f t="shared" si="4"/>
        <v>1.025013886</v>
      </c>
      <c r="K16" s="2">
        <v>0.21</v>
      </c>
      <c r="L16" s="1">
        <f t="shared" si="7"/>
        <v>1.2402668020599998</v>
      </c>
      <c r="M16" s="1">
        <f t="shared" si="5"/>
        <v>0.12695944334732315</v>
      </c>
      <c r="N16">
        <v>0.72299999999999998</v>
      </c>
      <c r="O16" t="s">
        <v>22</v>
      </c>
      <c r="P16" s="1">
        <f t="shared" si="6"/>
        <v>7.4009622274541914E-2</v>
      </c>
      <c r="Q16" t="s">
        <v>17</v>
      </c>
    </row>
    <row r="17" spans="1:17" x14ac:dyDescent="0.3">
      <c r="A17">
        <v>2018</v>
      </c>
      <c r="B17" t="s">
        <v>25</v>
      </c>
      <c r="C17">
        <v>267.92</v>
      </c>
      <c r="D17">
        <v>0</v>
      </c>
      <c r="E17">
        <v>0</v>
      </c>
      <c r="F17" s="1">
        <f>L17*(1-K17)</f>
        <v>42.620500000000007</v>
      </c>
      <c r="G17" s="1" t="s">
        <v>26</v>
      </c>
      <c r="H17">
        <v>0</v>
      </c>
      <c r="I17" s="1">
        <v>0</v>
      </c>
      <c r="J17" s="1">
        <f t="shared" ref="J17:J26" si="8">L17*(1-K17)</f>
        <v>42.620500000000007</v>
      </c>
      <c r="K17" s="2">
        <v>0.21</v>
      </c>
      <c r="L17" s="1">
        <f>53.95</f>
        <v>53.95</v>
      </c>
      <c r="M17" s="1">
        <f t="shared" ref="M17:M31" si="9">L17*$A$44</f>
        <v>0.19422</v>
      </c>
      <c r="N17">
        <v>8.8000000000000007</v>
      </c>
      <c r="O17" t="s">
        <v>27</v>
      </c>
      <c r="P17" s="1">
        <f t="shared" ref="P17:P31" si="10">N17*$A$44</f>
        <v>3.168E-2</v>
      </c>
      <c r="Q17" t="s">
        <v>17</v>
      </c>
    </row>
    <row r="18" spans="1:17" x14ac:dyDescent="0.3">
      <c r="A18">
        <v>2019</v>
      </c>
      <c r="B18" t="s">
        <v>25</v>
      </c>
      <c r="C18">
        <v>267.92</v>
      </c>
      <c r="D18">
        <v>0</v>
      </c>
      <c r="E18">
        <v>0</v>
      </c>
      <c r="F18" s="1">
        <f t="shared" ref="F18:F26" si="11">L18*(1-K18)</f>
        <v>42.620500000000007</v>
      </c>
      <c r="G18" s="1" t="s">
        <v>26</v>
      </c>
      <c r="H18">
        <v>0</v>
      </c>
      <c r="I18" s="1">
        <v>0</v>
      </c>
      <c r="J18" s="1">
        <f t="shared" si="8"/>
        <v>42.620500000000007</v>
      </c>
      <c r="K18" s="2">
        <v>0.21</v>
      </c>
      <c r="L18" s="1">
        <f t="shared" ref="L18:L31" si="12">53.95</f>
        <v>53.95</v>
      </c>
      <c r="M18" s="1">
        <f t="shared" si="9"/>
        <v>0.19422</v>
      </c>
      <c r="N18">
        <v>8.8000000000000007</v>
      </c>
      <c r="O18" t="s">
        <v>27</v>
      </c>
      <c r="P18" s="1">
        <f t="shared" si="10"/>
        <v>3.168E-2</v>
      </c>
      <c r="Q18" t="s">
        <v>17</v>
      </c>
    </row>
    <row r="19" spans="1:17" x14ac:dyDescent="0.3">
      <c r="A19">
        <v>2020</v>
      </c>
      <c r="B19" t="s">
        <v>25</v>
      </c>
      <c r="C19">
        <v>267.92</v>
      </c>
      <c r="D19">
        <v>0</v>
      </c>
      <c r="E19">
        <v>0</v>
      </c>
      <c r="F19" s="1">
        <f t="shared" si="11"/>
        <v>42.620500000000007</v>
      </c>
      <c r="G19" s="1" t="s">
        <v>26</v>
      </c>
      <c r="H19">
        <v>0</v>
      </c>
      <c r="I19" s="1">
        <v>0</v>
      </c>
      <c r="J19" s="1">
        <f t="shared" si="8"/>
        <v>42.620500000000007</v>
      </c>
      <c r="K19" s="2">
        <v>0.21</v>
      </c>
      <c r="L19" s="1">
        <f t="shared" si="12"/>
        <v>53.95</v>
      </c>
      <c r="M19" s="1">
        <f t="shared" si="9"/>
        <v>0.19422</v>
      </c>
      <c r="N19">
        <v>8.8000000000000007</v>
      </c>
      <c r="O19" t="s">
        <v>27</v>
      </c>
      <c r="P19" s="1">
        <f t="shared" si="10"/>
        <v>3.168E-2</v>
      </c>
      <c r="Q19" t="s">
        <v>17</v>
      </c>
    </row>
    <row r="20" spans="1:17" x14ac:dyDescent="0.3">
      <c r="A20">
        <v>2022</v>
      </c>
      <c r="B20" t="s">
        <v>25</v>
      </c>
      <c r="C20">
        <v>267.92</v>
      </c>
      <c r="D20">
        <v>0</v>
      </c>
      <c r="E20">
        <v>0</v>
      </c>
      <c r="F20" s="1">
        <f t="shared" si="11"/>
        <v>42.620500000000007</v>
      </c>
      <c r="G20" s="1" t="s">
        <v>26</v>
      </c>
      <c r="H20">
        <v>0</v>
      </c>
      <c r="I20" s="1">
        <v>0</v>
      </c>
      <c r="J20" s="1">
        <f t="shared" si="8"/>
        <v>42.620500000000007</v>
      </c>
      <c r="K20" s="2">
        <v>0.21</v>
      </c>
      <c r="L20" s="1">
        <f t="shared" si="12"/>
        <v>53.95</v>
      </c>
      <c r="M20" s="1">
        <f t="shared" si="9"/>
        <v>0.19422</v>
      </c>
      <c r="N20">
        <v>8.8000000000000007</v>
      </c>
      <c r="O20" t="s">
        <v>27</v>
      </c>
      <c r="P20" s="1">
        <f t="shared" si="10"/>
        <v>3.168E-2</v>
      </c>
      <c r="Q20" t="s">
        <v>17</v>
      </c>
    </row>
    <row r="21" spans="1:17" x14ac:dyDescent="0.3">
      <c r="A21">
        <v>2030</v>
      </c>
      <c r="B21" t="s">
        <v>25</v>
      </c>
      <c r="C21">
        <v>267.92</v>
      </c>
      <c r="D21">
        <v>0</v>
      </c>
      <c r="E21">
        <v>0</v>
      </c>
      <c r="F21" s="1">
        <f t="shared" si="11"/>
        <v>42.620500000000007</v>
      </c>
      <c r="G21" s="1" t="s">
        <v>26</v>
      </c>
      <c r="H21">
        <v>0</v>
      </c>
      <c r="I21" s="1">
        <v>0</v>
      </c>
      <c r="J21" s="1">
        <f t="shared" si="8"/>
        <v>42.620500000000007</v>
      </c>
      <c r="K21" s="2">
        <v>0.21</v>
      </c>
      <c r="L21" s="1">
        <f t="shared" si="12"/>
        <v>53.95</v>
      </c>
      <c r="M21" s="1">
        <f t="shared" si="9"/>
        <v>0.19422</v>
      </c>
      <c r="N21">
        <v>8.8000000000000007</v>
      </c>
      <c r="O21" t="s">
        <v>27</v>
      </c>
      <c r="P21" s="1">
        <f t="shared" si="10"/>
        <v>3.168E-2</v>
      </c>
      <c r="Q21" t="s">
        <v>17</v>
      </c>
    </row>
    <row r="22" spans="1:17" x14ac:dyDescent="0.3">
      <c r="A22">
        <v>2018</v>
      </c>
      <c r="B22" t="s">
        <v>28</v>
      </c>
      <c r="C22">
        <v>267.92</v>
      </c>
      <c r="D22">
        <v>0</v>
      </c>
      <c r="E22">
        <v>0</v>
      </c>
      <c r="F22" s="1">
        <f t="shared" si="11"/>
        <v>42.620500000000007</v>
      </c>
      <c r="G22" s="1" t="s">
        <v>26</v>
      </c>
      <c r="H22">
        <v>0</v>
      </c>
      <c r="I22" s="1">
        <v>0</v>
      </c>
      <c r="J22" s="1">
        <f t="shared" si="8"/>
        <v>42.620500000000007</v>
      </c>
      <c r="K22" s="2">
        <v>0.21</v>
      </c>
      <c r="L22" s="1">
        <f>53.95</f>
        <v>53.95</v>
      </c>
      <c r="M22" s="1">
        <f t="shared" si="9"/>
        <v>0.19422</v>
      </c>
      <c r="N22">
        <v>17.82</v>
      </c>
      <c r="O22" t="s">
        <v>27</v>
      </c>
      <c r="P22" s="1">
        <f t="shared" si="10"/>
        <v>6.4152000000000001E-2</v>
      </c>
      <c r="Q22" t="s">
        <v>17</v>
      </c>
    </row>
    <row r="23" spans="1:17" x14ac:dyDescent="0.3">
      <c r="A23">
        <v>2019</v>
      </c>
      <c r="B23" t="s">
        <v>28</v>
      </c>
      <c r="C23">
        <v>267.92</v>
      </c>
      <c r="D23">
        <v>0</v>
      </c>
      <c r="E23">
        <v>0</v>
      </c>
      <c r="F23" s="1">
        <f t="shared" si="11"/>
        <v>42.620500000000007</v>
      </c>
      <c r="G23" s="1" t="s">
        <v>26</v>
      </c>
      <c r="H23">
        <v>0</v>
      </c>
      <c r="I23" s="1">
        <v>0</v>
      </c>
      <c r="J23" s="1">
        <f t="shared" si="8"/>
        <v>42.620500000000007</v>
      </c>
      <c r="K23" s="2">
        <v>0.21</v>
      </c>
      <c r="L23" s="1">
        <f t="shared" si="12"/>
        <v>53.95</v>
      </c>
      <c r="M23" s="1">
        <f t="shared" si="9"/>
        <v>0.19422</v>
      </c>
      <c r="N23">
        <v>17.82</v>
      </c>
      <c r="O23" t="s">
        <v>27</v>
      </c>
      <c r="P23" s="1">
        <f t="shared" si="10"/>
        <v>6.4152000000000001E-2</v>
      </c>
      <c r="Q23" t="s">
        <v>17</v>
      </c>
    </row>
    <row r="24" spans="1:17" x14ac:dyDescent="0.3">
      <c r="A24">
        <v>2020</v>
      </c>
      <c r="B24" t="s">
        <v>28</v>
      </c>
      <c r="C24">
        <v>267.92</v>
      </c>
      <c r="D24">
        <v>0</v>
      </c>
      <c r="E24">
        <v>0</v>
      </c>
      <c r="F24" s="1">
        <f t="shared" si="11"/>
        <v>42.620500000000007</v>
      </c>
      <c r="G24" s="1" t="s">
        <v>26</v>
      </c>
      <c r="H24">
        <v>0</v>
      </c>
      <c r="I24" s="1">
        <v>0</v>
      </c>
      <c r="J24" s="1">
        <f t="shared" si="8"/>
        <v>42.620500000000007</v>
      </c>
      <c r="K24" s="2">
        <v>0.21</v>
      </c>
      <c r="L24" s="1">
        <f t="shared" si="12"/>
        <v>53.95</v>
      </c>
      <c r="M24" s="1">
        <f t="shared" si="9"/>
        <v>0.19422</v>
      </c>
      <c r="N24">
        <v>17.82</v>
      </c>
      <c r="O24" t="s">
        <v>27</v>
      </c>
      <c r="P24" s="1">
        <f t="shared" si="10"/>
        <v>6.4152000000000001E-2</v>
      </c>
      <c r="Q24" t="s">
        <v>17</v>
      </c>
    </row>
    <row r="25" spans="1:17" x14ac:dyDescent="0.3">
      <c r="A25">
        <v>2022</v>
      </c>
      <c r="B25" t="s">
        <v>28</v>
      </c>
      <c r="C25">
        <v>267.92</v>
      </c>
      <c r="D25">
        <v>0</v>
      </c>
      <c r="E25">
        <v>0</v>
      </c>
      <c r="F25" s="1">
        <f t="shared" si="11"/>
        <v>42.620500000000007</v>
      </c>
      <c r="G25" s="1" t="s">
        <v>26</v>
      </c>
      <c r="H25">
        <v>0</v>
      </c>
      <c r="I25" s="1">
        <v>0</v>
      </c>
      <c r="J25" s="1">
        <f t="shared" si="8"/>
        <v>42.620500000000007</v>
      </c>
      <c r="K25" s="2">
        <v>0.21</v>
      </c>
      <c r="L25" s="1">
        <f t="shared" si="12"/>
        <v>53.95</v>
      </c>
      <c r="M25" s="1">
        <f t="shared" si="9"/>
        <v>0.19422</v>
      </c>
      <c r="N25">
        <v>17.82</v>
      </c>
      <c r="O25" t="s">
        <v>27</v>
      </c>
      <c r="P25" s="1">
        <f t="shared" si="10"/>
        <v>6.4152000000000001E-2</v>
      </c>
      <c r="Q25" t="s">
        <v>17</v>
      </c>
    </row>
    <row r="26" spans="1:17" x14ac:dyDescent="0.3">
      <c r="A26">
        <v>2030</v>
      </c>
      <c r="B26" t="s">
        <v>28</v>
      </c>
      <c r="C26">
        <v>267.92</v>
      </c>
      <c r="D26">
        <v>0</v>
      </c>
      <c r="E26">
        <v>0</v>
      </c>
      <c r="F26" s="1">
        <f t="shared" si="11"/>
        <v>42.620500000000007</v>
      </c>
      <c r="G26" s="1" t="s">
        <v>26</v>
      </c>
      <c r="H26">
        <v>0</v>
      </c>
      <c r="I26" s="1">
        <v>0</v>
      </c>
      <c r="J26" s="1">
        <f t="shared" si="8"/>
        <v>42.620500000000007</v>
      </c>
      <c r="K26" s="2">
        <v>0.21</v>
      </c>
      <c r="L26" s="1">
        <f t="shared" si="12"/>
        <v>53.95</v>
      </c>
      <c r="M26" s="1">
        <f t="shared" si="9"/>
        <v>0.19422</v>
      </c>
      <c r="N26">
        <v>17.82</v>
      </c>
      <c r="O26" t="s">
        <v>27</v>
      </c>
      <c r="P26" s="1">
        <f t="shared" si="10"/>
        <v>6.4152000000000001E-2</v>
      </c>
      <c r="Q26" t="s">
        <v>17</v>
      </c>
    </row>
    <row r="27" spans="1:17" x14ac:dyDescent="0.3">
      <c r="A27">
        <v>2018</v>
      </c>
      <c r="B27" t="s">
        <v>211</v>
      </c>
      <c r="C27">
        <v>267.92</v>
      </c>
      <c r="D27">
        <v>0</v>
      </c>
      <c r="E27">
        <v>0</v>
      </c>
      <c r="F27" s="1">
        <f t="shared" ref="F27:F31" si="13">L27*(1-K27)</f>
        <v>42.620500000000007</v>
      </c>
      <c r="G27" s="1" t="s">
        <v>26</v>
      </c>
      <c r="H27">
        <v>0</v>
      </c>
      <c r="I27" s="1">
        <v>0</v>
      </c>
      <c r="J27" s="1">
        <f t="shared" ref="J27:J31" si="14">L27*(1-K27)</f>
        <v>42.620500000000007</v>
      </c>
      <c r="K27" s="2">
        <v>0.21</v>
      </c>
      <c r="L27" s="1">
        <f>53.95</f>
        <v>53.95</v>
      </c>
      <c r="M27" s="1">
        <f t="shared" si="9"/>
        <v>0.19422</v>
      </c>
      <c r="N27">
        <v>26.84</v>
      </c>
      <c r="O27" t="s">
        <v>27</v>
      </c>
      <c r="P27" s="1">
        <f t="shared" si="10"/>
        <v>9.6624000000000002E-2</v>
      </c>
      <c r="Q27" t="s">
        <v>17</v>
      </c>
    </row>
    <row r="28" spans="1:17" x14ac:dyDescent="0.3">
      <c r="A28">
        <v>2019</v>
      </c>
      <c r="B28" t="s">
        <v>211</v>
      </c>
      <c r="C28">
        <v>267.92</v>
      </c>
      <c r="D28">
        <v>0</v>
      </c>
      <c r="E28">
        <v>0</v>
      </c>
      <c r="F28" s="1">
        <f t="shared" si="13"/>
        <v>42.620500000000007</v>
      </c>
      <c r="G28" s="1" t="s">
        <v>26</v>
      </c>
      <c r="H28">
        <v>0</v>
      </c>
      <c r="I28" s="1">
        <v>0</v>
      </c>
      <c r="J28" s="1">
        <f t="shared" si="14"/>
        <v>42.620500000000007</v>
      </c>
      <c r="K28" s="2">
        <v>0.21</v>
      </c>
      <c r="L28" s="1">
        <f t="shared" si="12"/>
        <v>53.95</v>
      </c>
      <c r="M28" s="1">
        <f t="shared" si="9"/>
        <v>0.19422</v>
      </c>
      <c r="N28">
        <v>26.84</v>
      </c>
      <c r="O28" t="s">
        <v>27</v>
      </c>
      <c r="P28" s="1">
        <f t="shared" si="10"/>
        <v>9.6624000000000002E-2</v>
      </c>
      <c r="Q28" t="s">
        <v>17</v>
      </c>
    </row>
    <row r="29" spans="1:17" x14ac:dyDescent="0.3">
      <c r="A29">
        <v>2020</v>
      </c>
      <c r="B29" t="s">
        <v>211</v>
      </c>
      <c r="C29">
        <v>267.92</v>
      </c>
      <c r="D29">
        <v>0</v>
      </c>
      <c r="E29">
        <v>0</v>
      </c>
      <c r="F29" s="1">
        <f t="shared" si="13"/>
        <v>42.620500000000007</v>
      </c>
      <c r="G29" s="1" t="s">
        <v>26</v>
      </c>
      <c r="H29">
        <v>0</v>
      </c>
      <c r="I29" s="1">
        <v>0</v>
      </c>
      <c r="J29" s="1">
        <f t="shared" si="14"/>
        <v>42.620500000000007</v>
      </c>
      <c r="K29" s="2">
        <v>0.21</v>
      </c>
      <c r="L29" s="1">
        <f t="shared" si="12"/>
        <v>53.95</v>
      </c>
      <c r="M29" s="1">
        <f t="shared" si="9"/>
        <v>0.19422</v>
      </c>
      <c r="N29">
        <v>26.84</v>
      </c>
      <c r="O29" t="s">
        <v>27</v>
      </c>
      <c r="P29" s="1">
        <f t="shared" si="10"/>
        <v>9.6624000000000002E-2</v>
      </c>
      <c r="Q29" t="s">
        <v>17</v>
      </c>
    </row>
    <row r="30" spans="1:17" x14ac:dyDescent="0.3">
      <c r="A30">
        <v>2022</v>
      </c>
      <c r="B30" t="s">
        <v>211</v>
      </c>
      <c r="C30">
        <v>267.92</v>
      </c>
      <c r="D30">
        <v>0</v>
      </c>
      <c r="E30">
        <v>0</v>
      </c>
      <c r="F30" s="1">
        <f t="shared" si="13"/>
        <v>42.620500000000007</v>
      </c>
      <c r="G30" s="1" t="s">
        <v>26</v>
      </c>
      <c r="H30">
        <v>0</v>
      </c>
      <c r="I30" s="1">
        <v>0</v>
      </c>
      <c r="J30" s="1">
        <f t="shared" si="14"/>
        <v>42.620500000000007</v>
      </c>
      <c r="K30" s="2">
        <v>0.21</v>
      </c>
      <c r="L30" s="1">
        <f t="shared" si="12"/>
        <v>53.95</v>
      </c>
      <c r="M30" s="1">
        <f t="shared" si="9"/>
        <v>0.19422</v>
      </c>
      <c r="N30">
        <v>26.84</v>
      </c>
      <c r="O30" t="s">
        <v>27</v>
      </c>
      <c r="P30" s="1">
        <f t="shared" si="10"/>
        <v>9.6624000000000002E-2</v>
      </c>
      <c r="Q30" t="s">
        <v>17</v>
      </c>
    </row>
    <row r="31" spans="1:17" x14ac:dyDescent="0.3">
      <c r="A31">
        <v>2030</v>
      </c>
      <c r="B31" t="s">
        <v>211</v>
      </c>
      <c r="C31">
        <v>267.92</v>
      </c>
      <c r="D31">
        <v>0</v>
      </c>
      <c r="E31">
        <v>0</v>
      </c>
      <c r="F31" s="1">
        <f t="shared" si="13"/>
        <v>42.620500000000007</v>
      </c>
      <c r="G31" s="1" t="s">
        <v>26</v>
      </c>
      <c r="H31">
        <v>0</v>
      </c>
      <c r="I31" s="1">
        <v>0</v>
      </c>
      <c r="J31" s="1">
        <f t="shared" si="14"/>
        <v>42.620500000000007</v>
      </c>
      <c r="K31" s="2">
        <v>0.21</v>
      </c>
      <c r="L31" s="1">
        <f t="shared" si="12"/>
        <v>53.95</v>
      </c>
      <c r="M31" s="1">
        <f t="shared" si="9"/>
        <v>0.19422</v>
      </c>
      <c r="N31">
        <v>26.84</v>
      </c>
      <c r="O31" t="s">
        <v>27</v>
      </c>
      <c r="P31" s="1">
        <f t="shared" si="10"/>
        <v>9.6624000000000002E-2</v>
      </c>
      <c r="Q31" t="s">
        <v>17</v>
      </c>
    </row>
    <row r="32" spans="1:17" x14ac:dyDescent="0.3">
      <c r="A32">
        <v>2018</v>
      </c>
      <c r="B32" t="s">
        <v>29</v>
      </c>
      <c r="D32">
        <v>0</v>
      </c>
      <c r="E32">
        <v>0</v>
      </c>
      <c r="G32" t="s">
        <v>30</v>
      </c>
      <c r="H32">
        <v>0</v>
      </c>
      <c r="L32">
        <v>1.6180000000000001</v>
      </c>
      <c r="N32">
        <v>4.7E-2</v>
      </c>
      <c r="O32" t="s">
        <v>31</v>
      </c>
      <c r="P32" s="1">
        <f>N32/$A$45</f>
        <v>0.23499999999999999</v>
      </c>
      <c r="Q32" t="s">
        <v>17</v>
      </c>
    </row>
    <row r="33" spans="1:17" x14ac:dyDescent="0.3">
      <c r="A33">
        <v>2019</v>
      </c>
      <c r="B33" t="s">
        <v>29</v>
      </c>
      <c r="D33">
        <v>0</v>
      </c>
      <c r="E33">
        <v>0</v>
      </c>
      <c r="G33" t="s">
        <v>30</v>
      </c>
      <c r="L33">
        <v>1.647</v>
      </c>
      <c r="N33">
        <v>4.7E-2</v>
      </c>
      <c r="O33" t="s">
        <v>31</v>
      </c>
      <c r="P33" s="1">
        <f>N33/$A$45</f>
        <v>0.23499999999999999</v>
      </c>
      <c r="Q33" t="s">
        <v>17</v>
      </c>
    </row>
    <row r="34" spans="1:17" x14ac:dyDescent="0.3">
      <c r="A34">
        <v>2020</v>
      </c>
      <c r="B34" t="s">
        <v>29</v>
      </c>
      <c r="D34">
        <v>0</v>
      </c>
      <c r="E34">
        <v>0</v>
      </c>
      <c r="G34" t="s">
        <v>30</v>
      </c>
      <c r="L34">
        <v>1.5620000000000001</v>
      </c>
      <c r="N34">
        <v>4.7E-2</v>
      </c>
      <c r="O34" t="s">
        <v>31</v>
      </c>
      <c r="P34" s="1">
        <f>N34/$A$45</f>
        <v>0.23499999999999999</v>
      </c>
      <c r="Q34" t="s">
        <v>17</v>
      </c>
    </row>
    <row r="35" spans="1:17" x14ac:dyDescent="0.3">
      <c r="A35">
        <v>2022</v>
      </c>
      <c r="B35" t="s">
        <v>29</v>
      </c>
      <c r="D35">
        <v>0</v>
      </c>
      <c r="E35">
        <v>0</v>
      </c>
      <c r="G35" t="s">
        <v>30</v>
      </c>
      <c r="L35">
        <v>2</v>
      </c>
      <c r="N35">
        <v>4.7E-2</v>
      </c>
      <c r="O35" t="s">
        <v>31</v>
      </c>
      <c r="P35" s="1">
        <f>N35/$A$45</f>
        <v>0.23499999999999999</v>
      </c>
      <c r="Q35" t="s">
        <v>17</v>
      </c>
    </row>
    <row r="36" spans="1:17" x14ac:dyDescent="0.3">
      <c r="A36">
        <v>2030</v>
      </c>
      <c r="B36" t="s">
        <v>29</v>
      </c>
      <c r="D36">
        <v>0</v>
      </c>
      <c r="E36">
        <v>0</v>
      </c>
      <c r="G36" t="s">
        <v>30</v>
      </c>
      <c r="L36">
        <v>2</v>
      </c>
      <c r="N36">
        <v>4.7E-2</v>
      </c>
      <c r="O36" t="s">
        <v>31</v>
      </c>
      <c r="P36" s="1">
        <f>N36/$A$45</f>
        <v>0.23499999999999999</v>
      </c>
      <c r="Q36" t="s">
        <v>17</v>
      </c>
    </row>
    <row r="42" spans="1:17" x14ac:dyDescent="0.3">
      <c r="A42">
        <v>0.83</v>
      </c>
      <c r="B42" t="s">
        <v>16</v>
      </c>
    </row>
    <row r="43" spans="1:17" x14ac:dyDescent="0.3">
      <c r="A43">
        <v>9.7690000000000001</v>
      </c>
      <c r="B43" t="s">
        <v>18</v>
      </c>
    </row>
    <row r="44" spans="1:17" x14ac:dyDescent="0.3">
      <c r="A44">
        <f>3.6/1000</f>
        <v>3.5999999999999999E-3</v>
      </c>
      <c r="B44" t="s">
        <v>19</v>
      </c>
    </row>
    <row r="45" spans="1:17" x14ac:dyDescent="0.3">
      <c r="A45">
        <v>0.2</v>
      </c>
      <c r="B45" t="s">
        <v>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D1B4-07BD-4D49-9C71-3B95918C3305}">
  <dimension ref="A1:I11"/>
  <sheetViews>
    <sheetView workbookViewId="0">
      <selection activeCell="K18" sqref="K18"/>
    </sheetView>
  </sheetViews>
  <sheetFormatPr defaultRowHeight="14.4" x14ac:dyDescent="0.3"/>
  <cols>
    <col min="1" max="1" width="26.88671875" bestFit="1" customWidth="1"/>
    <col min="2" max="2" width="13.5546875" bestFit="1" customWidth="1"/>
    <col min="3" max="3" width="13.44140625" bestFit="1" customWidth="1"/>
    <col min="4" max="4" width="24.109375" bestFit="1" customWidth="1"/>
    <col min="5" max="5" width="17" bestFit="1" customWidth="1"/>
  </cols>
  <sheetData>
    <row r="1" spans="1:9" x14ac:dyDescent="0.3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</row>
    <row r="2" spans="1:9" x14ac:dyDescent="0.3">
      <c r="A2" t="s">
        <v>40</v>
      </c>
      <c r="B2" t="s">
        <v>41</v>
      </c>
      <c r="C2">
        <v>10</v>
      </c>
      <c r="D2" t="s">
        <v>42</v>
      </c>
      <c r="E2">
        <v>0</v>
      </c>
      <c r="F2">
        <v>909.8</v>
      </c>
      <c r="G2" t="s">
        <v>43</v>
      </c>
      <c r="H2">
        <v>15</v>
      </c>
    </row>
    <row r="3" spans="1:9" x14ac:dyDescent="0.3">
      <c r="A3" t="s">
        <v>40</v>
      </c>
      <c r="B3" t="s">
        <v>44</v>
      </c>
      <c r="C3">
        <v>10</v>
      </c>
      <c r="D3" t="s">
        <v>42</v>
      </c>
      <c r="E3">
        <v>0</v>
      </c>
      <c r="F3">
        <v>1390.4</v>
      </c>
      <c r="G3" t="s">
        <v>43</v>
      </c>
      <c r="H3">
        <v>15</v>
      </c>
    </row>
    <row r="4" spans="1:9" x14ac:dyDescent="0.3">
      <c r="A4" t="s">
        <v>40</v>
      </c>
      <c r="B4" t="s">
        <v>45</v>
      </c>
      <c r="C4" s="4">
        <v>40.816326530612201</v>
      </c>
      <c r="D4" t="s">
        <v>42</v>
      </c>
      <c r="E4">
        <v>0</v>
      </c>
      <c r="F4">
        <v>779.38775510204096</v>
      </c>
      <c r="G4" t="s">
        <v>43</v>
      </c>
      <c r="H4">
        <v>15</v>
      </c>
    </row>
    <row r="5" spans="1:9" x14ac:dyDescent="0.3">
      <c r="A5" t="s">
        <v>46</v>
      </c>
      <c r="B5" t="s">
        <v>47</v>
      </c>
      <c r="C5">
        <v>4.4545454545454497</v>
      </c>
      <c r="D5" t="s">
        <v>42</v>
      </c>
      <c r="E5">
        <v>0</v>
      </c>
      <c r="F5">
        <v>97.022272727272707</v>
      </c>
      <c r="G5" t="s">
        <v>43</v>
      </c>
      <c r="H5">
        <v>15</v>
      </c>
    </row>
    <row r="6" spans="1:9" x14ac:dyDescent="0.3">
      <c r="A6" t="s">
        <v>48</v>
      </c>
      <c r="B6" t="s">
        <v>47</v>
      </c>
      <c r="C6">
        <v>4.4545454545454497</v>
      </c>
      <c r="D6" t="s">
        <v>42</v>
      </c>
      <c r="E6">
        <v>0</v>
      </c>
      <c r="F6">
        <v>97.022272727272707</v>
      </c>
      <c r="G6" t="s">
        <v>43</v>
      </c>
      <c r="H6">
        <v>15</v>
      </c>
    </row>
    <row r="7" spans="1:9" x14ac:dyDescent="0.3">
      <c r="A7" t="s">
        <v>49</v>
      </c>
      <c r="B7" t="s">
        <v>47</v>
      </c>
      <c r="C7">
        <v>0</v>
      </c>
      <c r="D7" t="s">
        <v>42</v>
      </c>
      <c r="E7">
        <v>0</v>
      </c>
      <c r="F7">
        <f>(1774.85+1112)/2</f>
        <v>1443.425</v>
      </c>
      <c r="G7" t="s">
        <v>50</v>
      </c>
      <c r="H7">
        <v>15</v>
      </c>
    </row>
    <row r="8" spans="1:9" x14ac:dyDescent="0.3">
      <c r="A8" t="s">
        <v>51</v>
      </c>
      <c r="C8">
        <v>0</v>
      </c>
      <c r="D8" t="s">
        <v>42</v>
      </c>
      <c r="E8">
        <v>0</v>
      </c>
      <c r="F8">
        <v>8</v>
      </c>
      <c r="G8" t="s">
        <v>52</v>
      </c>
      <c r="H8">
        <v>15</v>
      </c>
    </row>
    <row r="9" spans="1:9" x14ac:dyDescent="0.3">
      <c r="A9" t="s">
        <v>53</v>
      </c>
      <c r="C9">
        <v>0</v>
      </c>
      <c r="D9" t="s">
        <v>42</v>
      </c>
      <c r="E9">
        <v>0</v>
      </c>
      <c r="F9">
        <v>15</v>
      </c>
      <c r="G9" t="s">
        <v>52</v>
      </c>
      <c r="H9">
        <v>15</v>
      </c>
    </row>
    <row r="10" spans="1:9" x14ac:dyDescent="0.3">
      <c r="A10" t="s">
        <v>54</v>
      </c>
      <c r="C10">
        <v>0</v>
      </c>
      <c r="D10" t="s">
        <v>42</v>
      </c>
      <c r="E10">
        <v>0</v>
      </c>
      <c r="F10">
        <v>71</v>
      </c>
      <c r="G10" t="s">
        <v>52</v>
      </c>
      <c r="H10">
        <v>30</v>
      </c>
    </row>
    <row r="11" spans="1:9" x14ac:dyDescent="0.3">
      <c r="A11" t="s">
        <v>113</v>
      </c>
      <c r="F11">
        <v>1200</v>
      </c>
      <c r="G11" t="s">
        <v>114</v>
      </c>
      <c r="H11">
        <v>15</v>
      </c>
      <c r="I11" t="s">
        <v>115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771A-2E3D-45CD-A95A-9E5395863168}">
  <dimension ref="A1:E49"/>
  <sheetViews>
    <sheetView topLeftCell="A15" workbookViewId="0">
      <selection activeCell="C14" sqref="C14"/>
    </sheetView>
  </sheetViews>
  <sheetFormatPr defaultRowHeight="14.4" x14ac:dyDescent="0.3"/>
  <cols>
    <col min="1" max="1" width="36.6640625" customWidth="1"/>
    <col min="2" max="3" width="15.88671875" customWidth="1"/>
    <col min="4" max="4" width="9.88671875" bestFit="1" customWidth="1"/>
  </cols>
  <sheetData>
    <row r="1" spans="1:5" x14ac:dyDescent="0.3">
      <c r="A1" s="3" t="s">
        <v>126</v>
      </c>
      <c r="B1" s="3" t="s">
        <v>33</v>
      </c>
      <c r="C1" s="3" t="s">
        <v>156</v>
      </c>
      <c r="D1" s="3" t="s">
        <v>157</v>
      </c>
      <c r="E1" s="3" t="s">
        <v>38</v>
      </c>
    </row>
    <row r="2" spans="1:5" x14ac:dyDescent="0.3">
      <c r="A2" t="s">
        <v>117</v>
      </c>
      <c r="D2" s="4">
        <v>414</v>
      </c>
      <c r="E2" s="5" t="s">
        <v>55</v>
      </c>
    </row>
    <row r="3" spans="1:5" x14ac:dyDescent="0.3">
      <c r="A3" t="s">
        <v>125</v>
      </c>
      <c r="D3" s="4">
        <v>591</v>
      </c>
      <c r="E3" s="5" t="s">
        <v>55</v>
      </c>
    </row>
    <row r="4" spans="1:5" x14ac:dyDescent="0.3">
      <c r="A4" t="s">
        <v>120</v>
      </c>
      <c r="D4" s="4">
        <v>132.5</v>
      </c>
      <c r="E4" s="5" t="s">
        <v>111</v>
      </c>
    </row>
    <row r="5" spans="1:5" x14ac:dyDescent="0.3">
      <c r="A5" t="s">
        <v>121</v>
      </c>
      <c r="D5" s="4">
        <v>135</v>
      </c>
      <c r="E5" s="5" t="s">
        <v>111</v>
      </c>
    </row>
    <row r="6" spans="1:5" x14ac:dyDescent="0.3">
      <c r="A6" t="s">
        <v>124</v>
      </c>
      <c r="D6" s="4">
        <v>3337.78</v>
      </c>
      <c r="E6" s="5" t="s">
        <v>135</v>
      </c>
    </row>
    <row r="7" spans="1:5" x14ac:dyDescent="0.3">
      <c r="A7" t="s">
        <v>122</v>
      </c>
      <c r="D7" s="4">
        <v>825</v>
      </c>
      <c r="E7" t="s">
        <v>123</v>
      </c>
    </row>
    <row r="8" spans="1:5" x14ac:dyDescent="0.3">
      <c r="A8" s="3" t="s">
        <v>154</v>
      </c>
      <c r="D8" s="4"/>
    </row>
    <row r="9" spans="1:5" x14ac:dyDescent="0.3">
      <c r="A9" s="5" t="s">
        <v>154</v>
      </c>
      <c r="C9" t="s">
        <v>118</v>
      </c>
      <c r="D9" s="8">
        <v>2.5</v>
      </c>
      <c r="E9" t="s">
        <v>155</v>
      </c>
    </row>
    <row r="10" spans="1:5" x14ac:dyDescent="0.3">
      <c r="A10" s="5" t="s">
        <v>154</v>
      </c>
      <c r="C10" t="s">
        <v>119</v>
      </c>
      <c r="D10" s="8">
        <v>10.5</v>
      </c>
      <c r="E10" t="s">
        <v>155</v>
      </c>
    </row>
    <row r="11" spans="1:5" x14ac:dyDescent="0.3">
      <c r="A11" s="5" t="s">
        <v>154</v>
      </c>
      <c r="C11" t="s">
        <v>210</v>
      </c>
      <c r="D11" s="8">
        <v>15</v>
      </c>
      <c r="E11" t="s">
        <v>155</v>
      </c>
    </row>
    <row r="12" spans="1:5" x14ac:dyDescent="0.3">
      <c r="A12" s="3" t="s">
        <v>116</v>
      </c>
      <c r="C12" s="3"/>
      <c r="D12" s="4"/>
    </row>
    <row r="13" spans="1:5" x14ac:dyDescent="0.3">
      <c r="A13" s="5" t="s">
        <v>158</v>
      </c>
      <c r="C13" s="5" t="s">
        <v>118</v>
      </c>
      <c r="D13" s="4">
        <v>150</v>
      </c>
      <c r="E13" s="5" t="s">
        <v>111</v>
      </c>
    </row>
    <row r="14" spans="1:5" x14ac:dyDescent="0.3">
      <c r="A14" s="5" t="s">
        <v>158</v>
      </c>
      <c r="C14" s="5" t="s">
        <v>119</v>
      </c>
      <c r="D14" s="4">
        <v>355.5</v>
      </c>
      <c r="E14" s="5" t="s">
        <v>111</v>
      </c>
    </row>
    <row r="15" spans="1:5" x14ac:dyDescent="0.3">
      <c r="A15" s="5" t="s">
        <v>158</v>
      </c>
      <c r="C15" s="5" t="s">
        <v>210</v>
      </c>
      <c r="D15" s="4">
        <v>355.5</v>
      </c>
      <c r="E15" s="5" t="s">
        <v>111</v>
      </c>
    </row>
    <row r="16" spans="1:5" x14ac:dyDescent="0.3">
      <c r="A16" s="5" t="s">
        <v>213</v>
      </c>
      <c r="C16" s="5" t="s">
        <v>119</v>
      </c>
      <c r="D16" s="4">
        <v>250</v>
      </c>
      <c r="E16" s="5" t="s">
        <v>111</v>
      </c>
    </row>
    <row r="17" spans="1:5" x14ac:dyDescent="0.3">
      <c r="A17" s="5" t="s">
        <v>159</v>
      </c>
      <c r="B17" s="5" t="s">
        <v>46</v>
      </c>
      <c r="C17" t="s">
        <v>119</v>
      </c>
      <c r="D17" s="4">
        <v>60</v>
      </c>
      <c r="E17" s="5" t="s">
        <v>111</v>
      </c>
    </row>
    <row r="18" spans="1:5" x14ac:dyDescent="0.3">
      <c r="A18" s="5" t="s">
        <v>159</v>
      </c>
      <c r="B18" s="5" t="s">
        <v>46</v>
      </c>
      <c r="C18" t="s">
        <v>210</v>
      </c>
      <c r="D18" s="4">
        <v>60</v>
      </c>
      <c r="E18" s="5" t="s">
        <v>111</v>
      </c>
    </row>
    <row r="19" spans="1:5" x14ac:dyDescent="0.3">
      <c r="A19" s="5" t="s">
        <v>160</v>
      </c>
      <c r="C19" t="s">
        <v>163</v>
      </c>
      <c r="D19" s="1">
        <v>0.05</v>
      </c>
      <c r="E19" s="5" t="s">
        <v>161</v>
      </c>
    </row>
    <row r="20" spans="1:5" x14ac:dyDescent="0.3">
      <c r="A20" s="5" t="s">
        <v>162</v>
      </c>
      <c r="B20" s="5" t="s">
        <v>46</v>
      </c>
      <c r="C20" t="s">
        <v>163</v>
      </c>
      <c r="D20" s="1">
        <v>0.01</v>
      </c>
      <c r="E20" s="5" t="s">
        <v>161</v>
      </c>
    </row>
    <row r="21" spans="1:5" x14ac:dyDescent="0.3">
      <c r="A21" s="5" t="s">
        <v>127</v>
      </c>
      <c r="C21" t="s">
        <v>163</v>
      </c>
      <c r="D21" s="9">
        <v>100000</v>
      </c>
      <c r="E21" s="5" t="s">
        <v>112</v>
      </c>
    </row>
    <row r="22" spans="1:5" x14ac:dyDescent="0.3">
      <c r="A22" s="5" t="s">
        <v>153</v>
      </c>
      <c r="C22" t="s">
        <v>163</v>
      </c>
      <c r="D22" s="4">
        <v>220</v>
      </c>
      <c r="E22" s="5" t="s">
        <v>111</v>
      </c>
    </row>
    <row r="23" spans="1:5" x14ac:dyDescent="0.3">
      <c r="A23" s="5" t="s">
        <v>151</v>
      </c>
      <c r="C23" t="s">
        <v>163</v>
      </c>
      <c r="D23" s="9">
        <v>150000</v>
      </c>
      <c r="E23" s="5" t="s">
        <v>112</v>
      </c>
    </row>
    <row r="24" spans="1:5" x14ac:dyDescent="0.3">
      <c r="A24" s="5" t="s">
        <v>152</v>
      </c>
      <c r="C24" t="s">
        <v>163</v>
      </c>
      <c r="D24" s="9">
        <v>115</v>
      </c>
      <c r="E24" s="5" t="s">
        <v>111</v>
      </c>
    </row>
    <row r="25" spans="1:5" x14ac:dyDescent="0.3">
      <c r="A25" s="5" t="s">
        <v>130</v>
      </c>
      <c r="C25" t="s">
        <v>163</v>
      </c>
      <c r="D25" s="1">
        <v>0.3</v>
      </c>
      <c r="E25" s="5" t="s">
        <v>128</v>
      </c>
    </row>
    <row r="26" spans="1:5" x14ac:dyDescent="0.3">
      <c r="A26" s="5" t="s">
        <v>131</v>
      </c>
      <c r="C26" t="s">
        <v>163</v>
      </c>
      <c r="D26" s="1">
        <v>0.75</v>
      </c>
      <c r="E26" s="5" t="s">
        <v>128</v>
      </c>
    </row>
    <row r="27" spans="1:5" x14ac:dyDescent="0.3">
      <c r="A27" s="5" t="s">
        <v>132</v>
      </c>
      <c r="C27" t="s">
        <v>163</v>
      </c>
      <c r="D27" s="1">
        <v>0.85</v>
      </c>
      <c r="E27" s="5" t="s">
        <v>133</v>
      </c>
    </row>
    <row r="28" spans="1:5" x14ac:dyDescent="0.3">
      <c r="A28" s="5" t="s">
        <v>129</v>
      </c>
      <c r="C28" t="s">
        <v>163</v>
      </c>
      <c r="D28" s="1">
        <v>0.15</v>
      </c>
      <c r="E28" s="5" t="s">
        <v>133</v>
      </c>
    </row>
    <row r="29" spans="1:5" x14ac:dyDescent="0.3">
      <c r="A29" s="3" t="s">
        <v>134</v>
      </c>
      <c r="C29" t="s">
        <v>163</v>
      </c>
      <c r="D29" s="4"/>
    </row>
    <row r="30" spans="1:5" x14ac:dyDescent="0.3">
      <c r="A30" s="5" t="s">
        <v>150</v>
      </c>
      <c r="B30" s="5" t="s">
        <v>147</v>
      </c>
      <c r="C30" t="s">
        <v>163</v>
      </c>
      <c r="D30" s="9">
        <v>2450</v>
      </c>
      <c r="E30" s="5" t="s">
        <v>135</v>
      </c>
    </row>
    <row r="31" spans="1:5" x14ac:dyDescent="0.3">
      <c r="A31" s="5" t="s">
        <v>150</v>
      </c>
      <c r="B31" s="5" t="s">
        <v>148</v>
      </c>
      <c r="C31" t="s">
        <v>163</v>
      </c>
      <c r="D31" s="9">
        <v>1450</v>
      </c>
      <c r="E31" s="5" t="s">
        <v>135</v>
      </c>
    </row>
    <row r="32" spans="1:5" x14ac:dyDescent="0.3">
      <c r="A32" s="5" t="s">
        <v>150</v>
      </c>
      <c r="B32" s="5" t="s">
        <v>146</v>
      </c>
      <c r="C32" t="s">
        <v>163</v>
      </c>
      <c r="D32" s="9">
        <v>2450</v>
      </c>
      <c r="E32" s="5" t="s">
        <v>135</v>
      </c>
    </row>
    <row r="33" spans="1:5" x14ac:dyDescent="0.3">
      <c r="A33" s="5" t="s">
        <v>137</v>
      </c>
      <c r="B33" t="s">
        <v>149</v>
      </c>
      <c r="C33" t="s">
        <v>163</v>
      </c>
      <c r="D33" s="6">
        <v>900</v>
      </c>
      <c r="E33" s="5" t="s">
        <v>135</v>
      </c>
    </row>
    <row r="34" spans="1:5" x14ac:dyDescent="0.3">
      <c r="A34" s="5" t="s">
        <v>136</v>
      </c>
      <c r="B34" t="s">
        <v>149</v>
      </c>
      <c r="C34" t="s">
        <v>163</v>
      </c>
      <c r="D34" s="7">
        <v>1.35</v>
      </c>
      <c r="E34" s="5" t="s">
        <v>111</v>
      </c>
    </row>
    <row r="35" spans="1:5" x14ac:dyDescent="0.3">
      <c r="A35" s="5" t="s">
        <v>138</v>
      </c>
      <c r="B35" t="s">
        <v>149</v>
      </c>
      <c r="C35" t="s">
        <v>163</v>
      </c>
      <c r="D35" s="6">
        <v>1300</v>
      </c>
      <c r="E35" s="5" t="s">
        <v>135</v>
      </c>
    </row>
    <row r="36" spans="1:5" x14ac:dyDescent="0.3">
      <c r="A36" t="s">
        <v>143</v>
      </c>
      <c r="B36" s="5" t="s">
        <v>147</v>
      </c>
      <c r="C36" s="5" t="s">
        <v>210</v>
      </c>
      <c r="D36" s="6">
        <v>2000</v>
      </c>
      <c r="E36" s="5" t="s">
        <v>135</v>
      </c>
    </row>
    <row r="37" spans="1:5" x14ac:dyDescent="0.3">
      <c r="A37" t="s">
        <v>143</v>
      </c>
      <c r="B37" s="5" t="s">
        <v>148</v>
      </c>
      <c r="C37" s="5" t="s">
        <v>210</v>
      </c>
      <c r="D37" s="6">
        <v>1000</v>
      </c>
      <c r="E37" s="5" t="s">
        <v>135</v>
      </c>
    </row>
    <row r="38" spans="1:5" x14ac:dyDescent="0.3">
      <c r="A38" t="s">
        <v>143</v>
      </c>
      <c r="B38" s="5" t="s">
        <v>147</v>
      </c>
      <c r="C38" s="5" t="s">
        <v>119</v>
      </c>
      <c r="D38" s="6">
        <v>2500</v>
      </c>
      <c r="E38" s="5" t="s">
        <v>135</v>
      </c>
    </row>
    <row r="39" spans="1:5" x14ac:dyDescent="0.3">
      <c r="A39" t="s">
        <v>143</v>
      </c>
      <c r="B39" s="5" t="s">
        <v>148</v>
      </c>
      <c r="C39" s="5" t="s">
        <v>119</v>
      </c>
      <c r="D39" s="6">
        <v>1500</v>
      </c>
      <c r="E39" s="5" t="s">
        <v>135</v>
      </c>
    </row>
    <row r="40" spans="1:5" x14ac:dyDescent="0.3">
      <c r="A40" t="s">
        <v>139</v>
      </c>
      <c r="B40" t="s">
        <v>149</v>
      </c>
      <c r="C40" t="s">
        <v>118</v>
      </c>
      <c r="D40" s="6">
        <f>AVERAGE(2225.98,2560.84)</f>
        <v>2393.41</v>
      </c>
      <c r="E40" s="5" t="s">
        <v>135</v>
      </c>
    </row>
    <row r="41" spans="1:5" x14ac:dyDescent="0.3">
      <c r="A41" t="s">
        <v>140</v>
      </c>
      <c r="B41" t="s">
        <v>149</v>
      </c>
      <c r="C41" t="s">
        <v>118</v>
      </c>
      <c r="D41" s="6">
        <v>4500</v>
      </c>
      <c r="E41" s="5" t="s">
        <v>135</v>
      </c>
    </row>
    <row r="42" spans="1:5" x14ac:dyDescent="0.3">
      <c r="A42" t="s">
        <v>142</v>
      </c>
      <c r="B42" t="s">
        <v>149</v>
      </c>
      <c r="C42" t="s">
        <v>118</v>
      </c>
      <c r="D42" s="6">
        <v>7000</v>
      </c>
      <c r="E42" s="5" t="s">
        <v>135</v>
      </c>
    </row>
    <row r="43" spans="1:5" x14ac:dyDescent="0.3">
      <c r="A43" t="s">
        <v>141</v>
      </c>
      <c r="B43" t="s">
        <v>146</v>
      </c>
      <c r="C43" t="s">
        <v>118</v>
      </c>
      <c r="D43" s="6">
        <v>700</v>
      </c>
      <c r="E43" s="5" t="s">
        <v>111</v>
      </c>
    </row>
    <row r="44" spans="1:5" x14ac:dyDescent="0.3">
      <c r="A44" t="s">
        <v>143</v>
      </c>
      <c r="B44" t="s">
        <v>147</v>
      </c>
      <c r="C44" t="s">
        <v>118</v>
      </c>
      <c r="D44" s="6">
        <v>2500</v>
      </c>
      <c r="E44" s="5" t="s">
        <v>135</v>
      </c>
    </row>
    <row r="45" spans="1:5" x14ac:dyDescent="0.3">
      <c r="A45" t="s">
        <v>143</v>
      </c>
      <c r="B45" t="s">
        <v>148</v>
      </c>
      <c r="C45" t="s">
        <v>118</v>
      </c>
      <c r="D45" s="6">
        <v>1500</v>
      </c>
      <c r="E45" s="5" t="s">
        <v>135</v>
      </c>
    </row>
    <row r="46" spans="1:5" x14ac:dyDescent="0.3">
      <c r="A46" t="s">
        <v>144</v>
      </c>
      <c r="B46" t="s">
        <v>147</v>
      </c>
      <c r="C46" t="s">
        <v>118</v>
      </c>
      <c r="D46" s="6">
        <f>AVERAGE(401.34,2014.85)</f>
        <v>1208.095</v>
      </c>
      <c r="E46" s="5" t="s">
        <v>135</v>
      </c>
    </row>
    <row r="47" spans="1:5" x14ac:dyDescent="0.3">
      <c r="A47" t="s">
        <v>144</v>
      </c>
      <c r="B47" t="s">
        <v>148</v>
      </c>
      <c r="C47" t="s">
        <v>118</v>
      </c>
      <c r="D47" s="6">
        <f>AVERAGE(957.21,3221.92)</f>
        <v>2089.5650000000001</v>
      </c>
      <c r="E47" s="5" t="s">
        <v>135</v>
      </c>
    </row>
    <row r="48" spans="1:5" x14ac:dyDescent="0.3">
      <c r="A48" t="s">
        <v>144</v>
      </c>
      <c r="B48" t="s">
        <v>146</v>
      </c>
      <c r="C48" t="s">
        <v>118</v>
      </c>
      <c r="D48" s="6">
        <v>90.576999999999998</v>
      </c>
      <c r="E48" s="5" t="s">
        <v>145</v>
      </c>
    </row>
    <row r="49" spans="1:5" x14ac:dyDescent="0.3">
      <c r="A49" t="s">
        <v>208</v>
      </c>
      <c r="D49" s="6">
        <v>30</v>
      </c>
      <c r="E49" s="5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3E2B-6F15-47C0-BA1B-2E949B426085}">
  <dimension ref="A1:Y27"/>
  <sheetViews>
    <sheetView topLeftCell="A7" workbookViewId="0">
      <selection activeCell="J1" sqref="J1"/>
    </sheetView>
  </sheetViews>
  <sheetFormatPr defaultRowHeight="14.4" x14ac:dyDescent="0.3"/>
  <cols>
    <col min="1" max="1" width="28.109375" customWidth="1"/>
  </cols>
  <sheetData>
    <row r="1" spans="1:25" x14ac:dyDescent="0.3">
      <c r="A1" s="3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</row>
    <row r="2" spans="1:25" x14ac:dyDescent="0.3">
      <c r="A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J2">
        <v>564.06333329999995</v>
      </c>
      <c r="K2">
        <v>619.83333330000005</v>
      </c>
      <c r="L2">
        <v>0</v>
      </c>
      <c r="M2">
        <v>0</v>
      </c>
      <c r="N2">
        <v>0</v>
      </c>
      <c r="O2">
        <v>0</v>
      </c>
      <c r="P2">
        <v>26.552700000000002</v>
      </c>
      <c r="Q2">
        <v>26.552700000000002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t="s">
        <v>82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t="s">
        <v>83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t="s">
        <v>84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 t="s">
        <v>85</v>
      </c>
      <c r="J5">
        <v>1692.19</v>
      </c>
      <c r="K5">
        <v>1859.5</v>
      </c>
      <c r="L5">
        <v>0</v>
      </c>
      <c r="M5">
        <v>0</v>
      </c>
      <c r="N5">
        <v>0</v>
      </c>
      <c r="O5">
        <v>0</v>
      </c>
      <c r="P5">
        <v>79.658100000000005</v>
      </c>
      <c r="Q5">
        <v>79.658100000000005</v>
      </c>
      <c r="R5">
        <v>0</v>
      </c>
      <c r="S5">
        <v>0</v>
      </c>
      <c r="T5">
        <v>0</v>
      </c>
      <c r="U5">
        <v>0</v>
      </c>
      <c r="V5">
        <v>4.65E-2</v>
      </c>
      <c r="W5">
        <v>0</v>
      </c>
      <c r="X5">
        <v>0</v>
      </c>
      <c r="Y5">
        <v>0</v>
      </c>
    </row>
    <row r="6" spans="1:25" x14ac:dyDescent="0.3">
      <c r="A6" t="s">
        <v>85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 t="s">
        <v>85</v>
      </c>
      <c r="J6">
        <v>1692.19</v>
      </c>
      <c r="K6">
        <v>1859.5</v>
      </c>
      <c r="L6">
        <v>0</v>
      </c>
      <c r="M6">
        <v>0</v>
      </c>
      <c r="N6">
        <v>0</v>
      </c>
      <c r="O6">
        <v>0</v>
      </c>
      <c r="P6">
        <v>79.658100000000005</v>
      </c>
      <c r="Q6">
        <v>79.658100000000005</v>
      </c>
      <c r="R6">
        <v>0</v>
      </c>
      <c r="S6">
        <v>0</v>
      </c>
      <c r="T6">
        <v>0</v>
      </c>
      <c r="U6">
        <v>0</v>
      </c>
      <c r="V6">
        <v>4.65E-2</v>
      </c>
      <c r="W6">
        <v>0</v>
      </c>
      <c r="X6">
        <v>0</v>
      </c>
      <c r="Y6">
        <v>0</v>
      </c>
    </row>
    <row r="7" spans="1:25" x14ac:dyDescent="0.3">
      <c r="A7" t="s">
        <v>86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 t="s">
        <v>87</v>
      </c>
      <c r="J7">
        <v>5359</v>
      </c>
      <c r="K7">
        <v>4637</v>
      </c>
      <c r="L7">
        <v>3768.75</v>
      </c>
      <c r="M7">
        <v>6281.25</v>
      </c>
      <c r="N7">
        <v>320</v>
      </c>
      <c r="O7">
        <v>500</v>
      </c>
      <c r="P7">
        <v>555</v>
      </c>
      <c r="Q7">
        <v>925</v>
      </c>
      <c r="R7">
        <v>0</v>
      </c>
      <c r="S7">
        <v>0</v>
      </c>
      <c r="T7">
        <v>0</v>
      </c>
      <c r="U7">
        <v>0</v>
      </c>
      <c r="V7">
        <v>1.4999999999999999E-2</v>
      </c>
      <c r="W7">
        <v>0</v>
      </c>
      <c r="X7">
        <v>0</v>
      </c>
      <c r="Y7">
        <v>0</v>
      </c>
    </row>
    <row r="8" spans="1:25" x14ac:dyDescent="0.3">
      <c r="A8" t="s">
        <v>88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 t="s">
        <v>89</v>
      </c>
      <c r="J8">
        <v>4628</v>
      </c>
      <c r="K8">
        <v>8460</v>
      </c>
      <c r="L8">
        <v>5800</v>
      </c>
      <c r="M8">
        <v>5800</v>
      </c>
      <c r="N8">
        <v>899</v>
      </c>
      <c r="O8">
        <v>753</v>
      </c>
      <c r="P8">
        <v>420</v>
      </c>
      <c r="Q8">
        <v>420</v>
      </c>
      <c r="R8">
        <v>0</v>
      </c>
      <c r="S8">
        <v>0</v>
      </c>
      <c r="T8">
        <v>0</v>
      </c>
      <c r="U8">
        <v>0</v>
      </c>
      <c r="V8">
        <v>8.9999999999999993E-3</v>
      </c>
      <c r="W8">
        <v>0</v>
      </c>
      <c r="X8">
        <v>0.4</v>
      </c>
      <c r="Y8">
        <v>0</v>
      </c>
    </row>
    <row r="9" spans="1:25" x14ac:dyDescent="0.3">
      <c r="A9" t="s">
        <v>90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 t="s">
        <v>87</v>
      </c>
      <c r="J9">
        <v>2975.21</v>
      </c>
      <c r="K9">
        <v>4793.3900000000003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13.77</v>
      </c>
      <c r="U9">
        <v>44.08</v>
      </c>
      <c r="V9">
        <v>1.4999999999999999E-2</v>
      </c>
      <c r="W9">
        <v>0</v>
      </c>
      <c r="X9">
        <v>0</v>
      </c>
      <c r="Y9">
        <v>0</v>
      </c>
    </row>
    <row r="10" spans="1:25" x14ac:dyDescent="0.3">
      <c r="A10" t="s">
        <v>91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v>1074.3800000000001</v>
      </c>
      <c r="K10">
        <v>3305.79</v>
      </c>
      <c r="L10">
        <v>1074.3800000000001</v>
      </c>
      <c r="M10">
        <v>3305.79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0.04</v>
      </c>
      <c r="W10">
        <v>0</v>
      </c>
      <c r="X10">
        <v>0</v>
      </c>
      <c r="Y10">
        <v>0</v>
      </c>
    </row>
    <row r="11" spans="1:25" x14ac:dyDescent="0.3">
      <c r="A11" t="s">
        <v>92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J11">
        <v>5331</v>
      </c>
      <c r="K11">
        <v>17716.150000000001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40.9</v>
      </c>
      <c r="U11">
        <v>40.9</v>
      </c>
      <c r="V11">
        <v>0.01</v>
      </c>
      <c r="W11">
        <v>0</v>
      </c>
      <c r="X11">
        <v>0</v>
      </c>
      <c r="Y11">
        <v>0</v>
      </c>
    </row>
    <row r="12" spans="1:25" x14ac:dyDescent="0.3">
      <c r="A12" t="s">
        <v>93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371.9</v>
      </c>
      <c r="O12">
        <v>371.9</v>
      </c>
      <c r="P12">
        <v>371.9</v>
      </c>
      <c r="Q12">
        <v>371.9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x14ac:dyDescent="0.3">
      <c r="A13" t="s">
        <v>94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J13">
        <v>0</v>
      </c>
      <c r="K13">
        <v>0</v>
      </c>
      <c r="L13">
        <v>0</v>
      </c>
      <c r="M13">
        <v>0</v>
      </c>
      <c r="N13">
        <v>1000</v>
      </c>
      <c r="O13">
        <v>1250</v>
      </c>
      <c r="P13">
        <v>957</v>
      </c>
      <c r="Q13">
        <v>957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</row>
    <row r="14" spans="1:25" x14ac:dyDescent="0.3">
      <c r="A14" t="s">
        <v>95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J14">
        <v>0</v>
      </c>
      <c r="K14">
        <v>0</v>
      </c>
      <c r="L14">
        <v>0</v>
      </c>
      <c r="M14">
        <v>0</v>
      </c>
      <c r="N14">
        <v>1000</v>
      </c>
      <c r="O14">
        <v>1250</v>
      </c>
      <c r="P14">
        <v>957</v>
      </c>
      <c r="Q14">
        <v>957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">
      <c r="A15" t="s">
        <v>96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J15">
        <v>1350</v>
      </c>
      <c r="K15">
        <v>1350</v>
      </c>
      <c r="L15">
        <v>0</v>
      </c>
      <c r="M15">
        <v>0</v>
      </c>
      <c r="N15">
        <v>161</v>
      </c>
      <c r="O15">
        <v>161</v>
      </c>
      <c r="P15">
        <v>0</v>
      </c>
      <c r="Q15">
        <v>0</v>
      </c>
      <c r="R15">
        <v>0</v>
      </c>
      <c r="S15">
        <v>0</v>
      </c>
      <c r="T15">
        <v>4.8600000000000003</v>
      </c>
      <c r="U15">
        <v>4.8600000000000003</v>
      </c>
      <c r="V15">
        <v>0.02</v>
      </c>
      <c r="W15">
        <v>0</v>
      </c>
      <c r="X15">
        <v>0</v>
      </c>
      <c r="Y15">
        <v>1</v>
      </c>
    </row>
    <row r="16" spans="1:25" x14ac:dyDescent="0.3">
      <c r="A16" t="s">
        <v>97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 t="s">
        <v>98</v>
      </c>
      <c r="J16">
        <v>1792.19</v>
      </c>
      <c r="K16">
        <v>2359.5</v>
      </c>
      <c r="L16">
        <v>0</v>
      </c>
      <c r="M16">
        <v>0</v>
      </c>
      <c r="N16">
        <v>0</v>
      </c>
      <c r="O16">
        <v>0</v>
      </c>
      <c r="P16">
        <v>95.59</v>
      </c>
      <c r="Q16">
        <v>95.59</v>
      </c>
      <c r="R16">
        <v>0</v>
      </c>
      <c r="S16">
        <v>0</v>
      </c>
      <c r="T16">
        <v>0</v>
      </c>
      <c r="U16">
        <v>0</v>
      </c>
      <c r="V16">
        <v>4.65E-2</v>
      </c>
      <c r="W16">
        <v>0</v>
      </c>
      <c r="X16">
        <v>0</v>
      </c>
      <c r="Y16">
        <v>0</v>
      </c>
    </row>
    <row r="17" spans="1:25" x14ac:dyDescent="0.3">
      <c r="A17" t="s">
        <v>99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J17">
        <v>1112</v>
      </c>
      <c r="K17">
        <v>1774.85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9.6199999999999992</v>
      </c>
      <c r="U17">
        <v>9.6199999999999992</v>
      </c>
      <c r="V17">
        <v>0.03</v>
      </c>
      <c r="W17">
        <v>0</v>
      </c>
      <c r="X17">
        <v>0</v>
      </c>
      <c r="Y17">
        <v>0</v>
      </c>
    </row>
    <row r="18" spans="1:25" x14ac:dyDescent="0.3">
      <c r="A18" t="s">
        <v>100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J18">
        <v>826.45</v>
      </c>
      <c r="K18">
        <v>826.45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5.51</v>
      </c>
      <c r="U18">
        <v>5.51</v>
      </c>
      <c r="V18">
        <v>0.06</v>
      </c>
      <c r="W18">
        <v>0</v>
      </c>
      <c r="X18">
        <v>0</v>
      </c>
      <c r="Y18">
        <v>0</v>
      </c>
    </row>
    <row r="19" spans="1:25" x14ac:dyDescent="0.3">
      <c r="A19" t="s">
        <v>101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101</v>
      </c>
      <c r="J19">
        <v>1487.6</v>
      </c>
      <c r="K19">
        <v>3140.5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15.43</v>
      </c>
      <c r="U19">
        <v>15.43</v>
      </c>
      <c r="V19">
        <v>0</v>
      </c>
      <c r="W19">
        <v>0</v>
      </c>
      <c r="X19">
        <v>0</v>
      </c>
      <c r="Y19">
        <v>0</v>
      </c>
    </row>
    <row r="20" spans="1:25" x14ac:dyDescent="0.3">
      <c r="A20" t="s">
        <v>102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102</v>
      </c>
      <c r="J20">
        <v>9504.1299999999992</v>
      </c>
      <c r="K20">
        <v>16963.310000000001</v>
      </c>
      <c r="L20">
        <v>134802.37</v>
      </c>
      <c r="M20">
        <v>134802.37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88.22</v>
      </c>
      <c r="U20">
        <v>88.22</v>
      </c>
      <c r="V20">
        <v>5.0000000000000001E-3</v>
      </c>
      <c r="W20">
        <v>0</v>
      </c>
      <c r="X20">
        <v>0</v>
      </c>
      <c r="Y20">
        <v>0</v>
      </c>
    </row>
    <row r="21" spans="1:25" x14ac:dyDescent="0.3">
      <c r="A21" t="s">
        <v>103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J21">
        <v>1343</v>
      </c>
      <c r="K21">
        <v>2025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11.23</v>
      </c>
      <c r="U21">
        <v>11.23</v>
      </c>
      <c r="V21">
        <v>7.0000000000000007E-2</v>
      </c>
      <c r="W21">
        <v>0</v>
      </c>
      <c r="X21">
        <v>0</v>
      </c>
      <c r="Y21">
        <v>0</v>
      </c>
    </row>
    <row r="22" spans="1:25" x14ac:dyDescent="0.3">
      <c r="A22" t="s">
        <v>104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105</v>
      </c>
      <c r="J22">
        <v>2315</v>
      </c>
      <c r="K22">
        <v>2315</v>
      </c>
      <c r="L22">
        <v>0</v>
      </c>
      <c r="M22">
        <v>0</v>
      </c>
      <c r="N22">
        <v>250</v>
      </c>
      <c r="O22">
        <v>250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3.4500000000000003E-2</v>
      </c>
      <c r="W22">
        <v>0</v>
      </c>
      <c r="X22">
        <v>0</v>
      </c>
      <c r="Y22">
        <v>0</v>
      </c>
    </row>
    <row r="23" spans="1:25" x14ac:dyDescent="0.3">
      <c r="A23" t="s">
        <v>106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 t="s">
        <v>87</v>
      </c>
      <c r="J23">
        <v>0</v>
      </c>
      <c r="K23">
        <v>0</v>
      </c>
      <c r="L23">
        <v>3768.75</v>
      </c>
      <c r="M23">
        <v>6281.25</v>
      </c>
      <c r="N23">
        <v>0</v>
      </c>
      <c r="O23">
        <v>0</v>
      </c>
      <c r="P23">
        <v>555</v>
      </c>
      <c r="Q23">
        <v>925</v>
      </c>
      <c r="R23">
        <v>0</v>
      </c>
      <c r="S23">
        <v>0</v>
      </c>
      <c r="T23">
        <v>0</v>
      </c>
      <c r="U23">
        <v>0</v>
      </c>
      <c r="V23">
        <v>0.02</v>
      </c>
      <c r="W23">
        <v>0</v>
      </c>
      <c r="X23">
        <v>0</v>
      </c>
      <c r="Y23">
        <v>0</v>
      </c>
    </row>
    <row r="24" spans="1:25" x14ac:dyDescent="0.3">
      <c r="A24" t="s">
        <v>107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 t="s">
        <v>89</v>
      </c>
      <c r="J24">
        <v>0</v>
      </c>
      <c r="K24">
        <v>0</v>
      </c>
      <c r="L24">
        <v>153857</v>
      </c>
      <c r="M24">
        <v>256428</v>
      </c>
      <c r="N24">
        <v>0</v>
      </c>
      <c r="O24">
        <v>0</v>
      </c>
      <c r="P24">
        <v>293</v>
      </c>
      <c r="Q24">
        <v>488</v>
      </c>
      <c r="R24">
        <v>0</v>
      </c>
      <c r="S24">
        <v>0</v>
      </c>
      <c r="T24">
        <v>0</v>
      </c>
      <c r="U24">
        <v>0</v>
      </c>
      <c r="V24">
        <v>0.01</v>
      </c>
      <c r="W24">
        <v>0</v>
      </c>
      <c r="X24">
        <v>0.4</v>
      </c>
      <c r="Y24">
        <v>0</v>
      </c>
    </row>
    <row r="25" spans="1:25" x14ac:dyDescent="0.3">
      <c r="A25" t="s">
        <v>108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 t="s">
        <v>89</v>
      </c>
      <c r="J25">
        <v>0</v>
      </c>
      <c r="K25">
        <v>0</v>
      </c>
      <c r="L25">
        <v>5257</v>
      </c>
      <c r="M25">
        <v>8761</v>
      </c>
      <c r="N25">
        <v>0</v>
      </c>
      <c r="O25">
        <v>0</v>
      </c>
      <c r="P25">
        <v>1170</v>
      </c>
      <c r="Q25">
        <v>1950</v>
      </c>
      <c r="R25">
        <v>0</v>
      </c>
      <c r="S25">
        <v>0</v>
      </c>
      <c r="T25">
        <v>0</v>
      </c>
      <c r="U25">
        <v>0</v>
      </c>
      <c r="V25">
        <v>0.01</v>
      </c>
      <c r="W25">
        <v>0</v>
      </c>
      <c r="X25">
        <v>0.4</v>
      </c>
      <c r="Y25">
        <v>0</v>
      </c>
    </row>
    <row r="26" spans="1:25" x14ac:dyDescent="0.3">
      <c r="A26" t="s">
        <v>109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 t="s">
        <v>105</v>
      </c>
      <c r="J26">
        <v>1692.19</v>
      </c>
      <c r="K26">
        <v>1859.5</v>
      </c>
      <c r="L26">
        <v>0</v>
      </c>
      <c r="M26">
        <v>0</v>
      </c>
      <c r="N26">
        <v>0</v>
      </c>
      <c r="O26">
        <v>0</v>
      </c>
      <c r="P26">
        <v>79.658100000000005</v>
      </c>
      <c r="Q26">
        <v>79.658100000000005</v>
      </c>
      <c r="R26">
        <v>0</v>
      </c>
      <c r="S26">
        <v>0</v>
      </c>
      <c r="T26">
        <v>0</v>
      </c>
      <c r="U26">
        <v>0</v>
      </c>
      <c r="V26">
        <v>3.4500000000000003E-2</v>
      </c>
      <c r="W26">
        <v>0</v>
      </c>
      <c r="X26">
        <v>0</v>
      </c>
      <c r="Y26">
        <v>0</v>
      </c>
    </row>
    <row r="27" spans="1:25" x14ac:dyDescent="0.3">
      <c r="A27" t="s">
        <v>110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 t="s">
        <v>105</v>
      </c>
      <c r="J27">
        <v>0</v>
      </c>
      <c r="K27">
        <v>0</v>
      </c>
      <c r="L27">
        <v>3768.75</v>
      </c>
      <c r="M27">
        <v>6281.25</v>
      </c>
      <c r="N27">
        <v>0</v>
      </c>
      <c r="O27">
        <v>0</v>
      </c>
      <c r="P27">
        <v>555</v>
      </c>
      <c r="Q27">
        <v>925</v>
      </c>
      <c r="R27">
        <v>0</v>
      </c>
      <c r="S27">
        <v>0</v>
      </c>
      <c r="T27">
        <v>0</v>
      </c>
      <c r="U27">
        <v>0</v>
      </c>
      <c r="V27">
        <v>0.02</v>
      </c>
      <c r="W27">
        <v>0</v>
      </c>
      <c r="X27">
        <v>0</v>
      </c>
      <c r="Y2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B49A-E63A-4F74-9D5F-AFCCEE4A4297}">
  <dimension ref="A1:AD19"/>
  <sheetViews>
    <sheetView workbookViewId="0">
      <selection activeCell="A11" sqref="A11:A12"/>
    </sheetView>
  </sheetViews>
  <sheetFormatPr defaultRowHeight="14.4" x14ac:dyDescent="0.3"/>
  <sheetData>
    <row r="1" spans="1:30" x14ac:dyDescent="0.3">
      <c r="A1" t="s">
        <v>33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</row>
    <row r="2" spans="1:30" x14ac:dyDescent="0.3">
      <c r="A2" t="s">
        <v>193</v>
      </c>
      <c r="B2">
        <v>150</v>
      </c>
      <c r="C2">
        <v>175</v>
      </c>
      <c r="D2">
        <v>0</v>
      </c>
      <c r="E2">
        <v>0.05</v>
      </c>
    </row>
    <row r="3" spans="1:30" x14ac:dyDescent="0.3">
      <c r="A3" t="s">
        <v>194</v>
      </c>
      <c r="B3">
        <v>150</v>
      </c>
      <c r="C3">
        <v>175</v>
      </c>
      <c r="D3">
        <v>0</v>
      </c>
      <c r="E3">
        <v>0.05</v>
      </c>
    </row>
    <row r="4" spans="1:30" x14ac:dyDescent="0.3">
      <c r="A4" t="s">
        <v>195</v>
      </c>
      <c r="B4">
        <v>800</v>
      </c>
      <c r="C4">
        <v>1800</v>
      </c>
      <c r="D4">
        <v>0</v>
      </c>
      <c r="E4">
        <v>0.01</v>
      </c>
    </row>
    <row r="5" spans="1:30" x14ac:dyDescent="0.3">
      <c r="A5" t="s">
        <v>196</v>
      </c>
      <c r="B5">
        <v>175</v>
      </c>
      <c r="C5">
        <v>185</v>
      </c>
      <c r="D5">
        <v>0</v>
      </c>
      <c r="E5">
        <v>0.05</v>
      </c>
    </row>
    <row r="6" spans="1:30" x14ac:dyDescent="0.3">
      <c r="A6" t="s">
        <v>197</v>
      </c>
      <c r="B6">
        <v>175</v>
      </c>
      <c r="C6">
        <v>185</v>
      </c>
      <c r="D6">
        <v>0</v>
      </c>
      <c r="E6">
        <v>0.05</v>
      </c>
    </row>
    <row r="7" spans="1:30" x14ac:dyDescent="0.3">
      <c r="A7" t="s">
        <v>198</v>
      </c>
      <c r="B7">
        <v>225</v>
      </c>
      <c r="C7">
        <v>275</v>
      </c>
      <c r="D7">
        <v>0</v>
      </c>
      <c r="E7">
        <v>0.05</v>
      </c>
    </row>
    <row r="8" spans="1:30" x14ac:dyDescent="0.3">
      <c r="A8" t="s">
        <v>199</v>
      </c>
      <c r="B8">
        <v>225</v>
      </c>
      <c r="C8">
        <v>275</v>
      </c>
      <c r="D8">
        <v>0</v>
      </c>
      <c r="E8">
        <v>0.05</v>
      </c>
    </row>
    <row r="9" spans="1:30" x14ac:dyDescent="0.3">
      <c r="A9" t="s">
        <v>200</v>
      </c>
      <c r="B9">
        <v>150</v>
      </c>
      <c r="C9">
        <v>175</v>
      </c>
      <c r="D9">
        <v>0</v>
      </c>
      <c r="E9">
        <v>0.05</v>
      </c>
    </row>
    <row r="10" spans="1:30" x14ac:dyDescent="0.3">
      <c r="A10" t="s">
        <v>201</v>
      </c>
      <c r="B10">
        <v>150</v>
      </c>
      <c r="C10">
        <v>175</v>
      </c>
      <c r="D10">
        <v>0</v>
      </c>
      <c r="E10">
        <v>0.05</v>
      </c>
    </row>
    <row r="11" spans="1:30" x14ac:dyDescent="0.3">
      <c r="A11" t="s">
        <v>202</v>
      </c>
      <c r="B11">
        <v>150</v>
      </c>
      <c r="C11">
        <v>175</v>
      </c>
      <c r="D11">
        <v>0</v>
      </c>
      <c r="E11">
        <v>0.05</v>
      </c>
    </row>
    <row r="12" spans="1:30" x14ac:dyDescent="0.3">
      <c r="A12" t="s">
        <v>203</v>
      </c>
      <c r="E12">
        <v>0.05</v>
      </c>
    </row>
    <row r="13" spans="1:30" x14ac:dyDescent="0.3">
      <c r="A13" t="s">
        <v>204</v>
      </c>
      <c r="B13">
        <v>800</v>
      </c>
      <c r="C13">
        <v>1800</v>
      </c>
      <c r="D13">
        <v>0</v>
      </c>
      <c r="E13">
        <v>0.01</v>
      </c>
      <c r="F13">
        <v>0</v>
      </c>
      <c r="G13">
        <v>0</v>
      </c>
      <c r="H13">
        <v>0</v>
      </c>
      <c r="I13">
        <v>0</v>
      </c>
      <c r="J13">
        <v>0</v>
      </c>
      <c r="K13">
        <v>28</v>
      </c>
      <c r="L13">
        <v>28</v>
      </c>
      <c r="M13">
        <v>28</v>
      </c>
      <c r="N13">
        <v>28</v>
      </c>
      <c r="O13">
        <v>28</v>
      </c>
      <c r="P13">
        <v>0</v>
      </c>
      <c r="Q13">
        <v>0</v>
      </c>
      <c r="R13">
        <v>0</v>
      </c>
      <c r="S13">
        <v>0</v>
      </c>
      <c r="T13">
        <v>0</v>
      </c>
      <c r="U13">
        <v>0.42</v>
      </c>
      <c r="V13">
        <v>0.42</v>
      </c>
      <c r="W13">
        <v>0.42</v>
      </c>
      <c r="X13">
        <v>0.42</v>
      </c>
      <c r="Y13">
        <v>0.42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">
      <c r="A14" t="s">
        <v>205</v>
      </c>
      <c r="B14">
        <v>1523</v>
      </c>
      <c r="C14">
        <v>1523</v>
      </c>
      <c r="D14">
        <v>0</v>
      </c>
      <c r="E14">
        <v>6.9000000000000006E-2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t="s">
        <v>206</v>
      </c>
      <c r="B15">
        <v>415</v>
      </c>
      <c r="C15">
        <v>415</v>
      </c>
      <c r="D15">
        <v>0</v>
      </c>
      <c r="E15">
        <v>0.16600000000000001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49</v>
      </c>
      <c r="L15">
        <v>49</v>
      </c>
      <c r="M15">
        <v>49</v>
      </c>
      <c r="N15">
        <v>49</v>
      </c>
      <c r="O15">
        <v>49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2</v>
      </c>
      <c r="AB15">
        <v>2</v>
      </c>
      <c r="AC15">
        <v>2</v>
      </c>
      <c r="AD15">
        <v>2</v>
      </c>
    </row>
    <row r="16" spans="1:30" x14ac:dyDescent="0.3">
      <c r="A16" t="s">
        <v>207</v>
      </c>
      <c r="B16">
        <v>800</v>
      </c>
      <c r="C16">
        <v>1800</v>
      </c>
      <c r="D16">
        <v>0</v>
      </c>
      <c r="E16">
        <v>0.01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85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 t="s">
        <v>105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 t="s">
        <v>102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Energy costs</vt:lpstr>
      <vt:lpstr>Inhouse heat system costs</vt:lpstr>
      <vt:lpstr>District heating costs</vt:lpstr>
      <vt:lpstr>Inhouse VestaMAIS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2022-12-01T12:43:59Z</dcterms:created>
  <dcterms:modified xsi:type="dcterms:W3CDTF">2023-03-23T10:47:00Z</dcterms:modified>
</cp:coreProperties>
</file>