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583"/>
  </bookViews>
  <sheets>
    <sheet name="0727" sheetId="17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U35" i="17" l="1"/>
  <c r="Y33" i="17"/>
  <c r="L30" i="17" l="1"/>
  <c r="H29" i="17"/>
  <c r="S29" i="17"/>
  <c r="O29" i="17"/>
  <c r="N29" i="17"/>
  <c r="M29" i="17"/>
  <c r="AB33" i="17" l="1"/>
  <c r="U33" i="17"/>
  <c r="P33" i="17"/>
  <c r="O33" i="17"/>
  <c r="M33" i="17"/>
  <c r="S33" i="17"/>
  <c r="R33" i="17"/>
  <c r="N33" i="17"/>
  <c r="Q33" i="17"/>
  <c r="H33" i="17"/>
  <c r="K33" i="17"/>
  <c r="L33" i="17"/>
  <c r="J33" i="17"/>
  <c r="Y3" i="17" l="1"/>
  <c r="C42" i="17"/>
  <c r="Y4" i="17" l="1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D29" i="17"/>
  <c r="W29" i="17" l="1"/>
  <c r="Y29" i="17"/>
  <c r="C44" i="17" s="1"/>
  <c r="T20" i="17"/>
  <c r="V20" i="17" s="1"/>
  <c r="X20" i="17" s="1"/>
  <c r="T6" i="17"/>
  <c r="V6" i="17" s="1"/>
  <c r="X6" i="17" s="1"/>
  <c r="T24" i="17"/>
  <c r="V24" i="17" s="1"/>
  <c r="X24" i="17" s="1"/>
  <c r="T10" i="17"/>
  <c r="V10" i="17" s="1"/>
  <c r="X10" i="17" s="1"/>
  <c r="T3" i="17"/>
  <c r="V3" i="17" s="1"/>
  <c r="X3" i="17" s="1"/>
  <c r="T16" i="17"/>
  <c r="V16" i="17" s="1"/>
  <c r="X16" i="17" s="1"/>
  <c r="V9" i="17"/>
  <c r="X9" i="17" s="1"/>
  <c r="V15" i="17"/>
  <c r="X15" i="17" s="1"/>
  <c r="V19" i="17"/>
  <c r="X19" i="17" s="1"/>
  <c r="V23" i="17"/>
  <c r="X23" i="17" s="1"/>
  <c r="V27" i="17"/>
  <c r="X27" i="17" s="1"/>
  <c r="T12" i="17"/>
  <c r="V12" i="17" s="1"/>
  <c r="X12" i="17" s="1"/>
  <c r="T22" i="17" l="1"/>
  <c r="V22" i="17" s="1"/>
  <c r="X22" i="17" s="1"/>
  <c r="T8" i="17"/>
  <c r="V8" i="17" s="1"/>
  <c r="X8" i="17" s="1"/>
  <c r="T26" i="17"/>
  <c r="V26" i="17" s="1"/>
  <c r="X26" i="17" s="1"/>
  <c r="T5" i="17"/>
  <c r="V5" i="17" s="1"/>
  <c r="X5" i="17" s="1"/>
  <c r="T18" i="17"/>
  <c r="V18" i="17" s="1"/>
  <c r="X18" i="17" s="1"/>
  <c r="T14" i="17"/>
  <c r="V14" i="17" s="1"/>
  <c r="X14" i="17" s="1"/>
  <c r="T21" i="17" l="1"/>
  <c r="V21" i="17" s="1"/>
  <c r="X21" i="17" s="1"/>
  <c r="T7" i="17"/>
  <c r="V7" i="17" s="1"/>
  <c r="X7" i="17" s="1"/>
  <c r="T25" i="17"/>
  <c r="V25" i="17" s="1"/>
  <c r="X25" i="17" s="1"/>
  <c r="T11" i="17"/>
  <c r="V11" i="17" s="1"/>
  <c r="X11" i="17" s="1"/>
  <c r="T4" i="17"/>
  <c r="V4" i="17" s="1"/>
  <c r="X4" i="17" s="1"/>
  <c r="T17" i="17"/>
  <c r="V17" i="17" s="1"/>
  <c r="X17" i="17" s="1"/>
  <c r="T13" i="17"/>
  <c r="V13" i="17" s="1"/>
  <c r="X13" i="17" s="1"/>
  <c r="R29" i="17"/>
  <c r="I29" i="17"/>
  <c r="J29" i="17"/>
  <c r="P29" i="17"/>
  <c r="K29" i="17"/>
  <c r="Q29" i="17"/>
</calcChain>
</file>

<file path=xl/sharedStrings.xml><?xml version="1.0" encoding="utf-8"?>
<sst xmlns="http://schemas.openxmlformats.org/spreadsheetml/2006/main" count="109" uniqueCount="86">
  <si>
    <t>#</t>
  </si>
  <si>
    <t>Code</t>
  </si>
  <si>
    <t>Program</t>
  </si>
  <si>
    <t>Campuses</t>
  </si>
  <si>
    <t>M018 A01</t>
  </si>
  <si>
    <t>D.A.B. 1st</t>
  </si>
  <si>
    <t>Mississauga</t>
  </si>
  <si>
    <t>M228 A01</t>
  </si>
  <si>
    <t>O.A.H.S 1st</t>
  </si>
  <si>
    <t>M802 A01</t>
  </si>
  <si>
    <t>HRM 1st</t>
  </si>
  <si>
    <t>Toronto</t>
  </si>
  <si>
    <t>M977 A01</t>
  </si>
  <si>
    <t>Business 1st</t>
  </si>
  <si>
    <t>M979 A01</t>
  </si>
  <si>
    <t>Networking 1st</t>
  </si>
  <si>
    <t>M995 A01</t>
  </si>
  <si>
    <t>SSW 1st</t>
  </si>
  <si>
    <t>M999 A01</t>
  </si>
  <si>
    <t>IBM 1ST</t>
  </si>
  <si>
    <t>Total FT</t>
  </si>
  <si>
    <t>M018 A02</t>
  </si>
  <si>
    <t>D.A.B. 2nd</t>
  </si>
  <si>
    <t>M228 A02</t>
  </si>
  <si>
    <t>O.A.H.S 2nd</t>
  </si>
  <si>
    <t>M228 A03</t>
  </si>
  <si>
    <t>O.A.H.S 3rd</t>
  </si>
  <si>
    <t>M228 A04</t>
  </si>
  <si>
    <t>O.A.H.S 4th</t>
  </si>
  <si>
    <t>M802 A02</t>
  </si>
  <si>
    <t>HRM 2nd</t>
  </si>
  <si>
    <t>M977 A02</t>
  </si>
  <si>
    <t>Business 2nd</t>
  </si>
  <si>
    <t>M977 A03</t>
  </si>
  <si>
    <t xml:space="preserve">Business 3rd </t>
  </si>
  <si>
    <t>M977 A04</t>
  </si>
  <si>
    <t xml:space="preserve">Business 4th </t>
  </si>
  <si>
    <t>M979 A02</t>
  </si>
  <si>
    <t>Networking 2nd</t>
  </si>
  <si>
    <t>M979 A03</t>
  </si>
  <si>
    <t>Networking 3rd</t>
  </si>
  <si>
    <t>M979 A04</t>
  </si>
  <si>
    <t>Networking 4th</t>
  </si>
  <si>
    <t>M995 A02</t>
  </si>
  <si>
    <t>SSW 2nd</t>
  </si>
  <si>
    <t>M995 A03</t>
  </si>
  <si>
    <t>SSW 3rd</t>
  </si>
  <si>
    <t>M995 A04</t>
  </si>
  <si>
    <t>SSW 4th</t>
  </si>
  <si>
    <t>M999 A02</t>
  </si>
  <si>
    <t>IBM 2nd</t>
  </si>
  <si>
    <t>M999 A03</t>
  </si>
  <si>
    <t>IBM 3rd</t>
  </si>
  <si>
    <t>M999 A04</t>
  </si>
  <si>
    <t>IBM 4th</t>
  </si>
  <si>
    <t>M018 A03</t>
  </si>
  <si>
    <t>D.A.B. 3rd</t>
  </si>
  <si>
    <t>Total</t>
  </si>
  <si>
    <t>Grad</t>
  </si>
  <si>
    <t>Trans</t>
  </si>
  <si>
    <t>SRC
Membership</t>
  </si>
  <si>
    <t>Alumni
Assoc</t>
  </si>
  <si>
    <t>Campus
Security</t>
  </si>
  <si>
    <t>Acad Support
St.Clair Col</t>
  </si>
  <si>
    <t>Acad Support
SRC</t>
  </si>
  <si>
    <t>Building
Operating</t>
  </si>
  <si>
    <t>Mat
Fee</t>
  </si>
  <si>
    <t>Std.
Card</t>
  </si>
  <si>
    <t>Career
Services</t>
  </si>
  <si>
    <t>Health &amp;
Counselling</t>
  </si>
  <si>
    <t>Hlth
Int'l</t>
  </si>
  <si>
    <t>Total
Ancillary</t>
  </si>
  <si>
    <t>Tuition
Tuition</t>
  </si>
  <si>
    <t xml:space="preserve">Tuition
Total </t>
  </si>
  <si>
    <t>Sum in 
Tuition</t>
  </si>
  <si>
    <t xml:space="preserve">Sum in
Tuition Total </t>
  </si>
  <si>
    <t>Athletics
Operating</t>
  </si>
  <si>
    <t>Sum In 
Pay to Acumen</t>
  </si>
  <si>
    <t>From Grace</t>
  </si>
  <si>
    <t xml:space="preserve">Cell Y29 </t>
  </si>
  <si>
    <t>Invoiced</t>
  </si>
  <si>
    <t>Registration Summary of Spring 2021 (1380)
- Listed on 0728</t>
  </si>
  <si>
    <t>Marco Sub Total</t>
  </si>
  <si>
    <t>Safety</t>
  </si>
  <si>
    <t>Operating+REV</t>
  </si>
  <si>
    <t>Acumen Tuition 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</si>
</sst>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409]#,##0;\(#,##0\)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name val="Calibri"/>
      <family val="2"/>
    </font>
    <font>
      <sz val="12"/>
      <color theme="0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164" fontId="3" fillId="0" borderId="0"/>
    <xf numFmtId="44" fontId="6" fillId="0" borderId="0" applyFont="0" applyFill="0" applyBorder="0" applyAlignment="0" applyProtection="0"/>
  </cellStyleXfs>
  <cellXfs count="59">
    <xf numFmtId="0" fontId="0" fillId="0" borderId="0" xfId="0"/>
    <xf numFmtId="1" fontId="1" fillId="0" borderId="0" xfId="2" applyNumberFormat="1" applyFont="1" applyFill="1" applyBorder="1" applyAlignment="1">
      <alignment horizontal="center" vertical="center"/>
    </xf>
    <xf numFmtId="164" fontId="1" fillId="0" borderId="0" xfId="2" applyFont="1" applyFill="1" applyBorder="1" applyAlignment="1">
      <alignment horizontal="center" vertical="center"/>
    </xf>
    <xf numFmtId="164" fontId="3" fillId="0" borderId="0" xfId="2"/>
    <xf numFmtId="164" fontId="5" fillId="0" borderId="0" xfId="2" applyFont="1" applyFill="1" applyBorder="1" applyAlignment="1">
      <alignment horizontal="center" vertical="center"/>
    </xf>
    <xf numFmtId="164" fontId="3" fillId="0" borderId="0" xfId="2" applyAlignment="1">
      <alignment horizontal="center" vertical="center"/>
    </xf>
    <xf numFmtId="164" fontId="3" fillId="0" borderId="0" xfId="2" applyFill="1"/>
    <xf numFmtId="164" fontId="3" fillId="0" borderId="0" xfId="2" applyFont="1"/>
    <xf numFmtId="44" fontId="8" fillId="0" borderId="1" xfId="3" applyFont="1" applyFill="1" applyBorder="1"/>
    <xf numFmtId="44" fontId="9" fillId="0" borderId="1" xfId="3" applyFont="1" applyFill="1" applyBorder="1" applyAlignment="1" applyProtection="1">
      <alignment horizontal="center"/>
    </xf>
    <xf numFmtId="44" fontId="10" fillId="0" borderId="1" xfId="3" applyFont="1" applyFill="1" applyBorder="1" applyAlignment="1" applyProtection="1">
      <alignment horizontal="center"/>
    </xf>
    <xf numFmtId="44" fontId="10" fillId="0" borderId="1" xfId="3" applyFont="1" applyFill="1" applyBorder="1" applyAlignment="1" applyProtection="1">
      <alignment horizontal="center"/>
      <protection hidden="1"/>
    </xf>
    <xf numFmtId="1" fontId="10" fillId="0" borderId="1" xfId="2" applyNumberFormat="1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44" fontId="9" fillId="0" borderId="1" xfId="3" applyFont="1" applyFill="1" applyBorder="1" applyAlignment="1">
      <alignment horizontal="center"/>
    </xf>
    <xf numFmtId="44" fontId="9" fillId="0" borderId="1" xfId="3" applyFont="1" applyFill="1" applyBorder="1"/>
    <xf numFmtId="164" fontId="13" fillId="0" borderId="0" xfId="2" applyFont="1" applyAlignment="1"/>
    <xf numFmtId="44" fontId="11" fillId="0" borderId="1" xfId="3" applyFont="1" applyFill="1" applyBorder="1"/>
    <xf numFmtId="1" fontId="16" fillId="0" borderId="1" xfId="2" applyNumberFormat="1" applyFont="1" applyFill="1" applyBorder="1" applyAlignment="1">
      <alignment horizontal="center" vertical="center"/>
    </xf>
    <xf numFmtId="164" fontId="16" fillId="0" borderId="1" xfId="2" applyFont="1" applyFill="1" applyBorder="1" applyAlignment="1">
      <alignment horizontal="center" vertical="center"/>
    </xf>
    <xf numFmtId="44" fontId="17" fillId="0" borderId="1" xfId="3" applyFont="1" applyFill="1" applyBorder="1" applyAlignment="1">
      <alignment horizontal="center"/>
    </xf>
    <xf numFmtId="44" fontId="16" fillId="0" borderId="1" xfId="3" applyFont="1" applyFill="1" applyBorder="1" applyAlignment="1" applyProtection="1">
      <alignment horizontal="center"/>
    </xf>
    <xf numFmtId="44" fontId="17" fillId="0" borderId="1" xfId="3" applyFont="1" applyFill="1" applyBorder="1" applyAlignment="1" applyProtection="1">
      <alignment horizontal="center"/>
    </xf>
    <xf numFmtId="44" fontId="16" fillId="0" borderId="1" xfId="3" applyFont="1" applyFill="1" applyBorder="1" applyAlignment="1" applyProtection="1">
      <alignment horizontal="center"/>
      <protection hidden="1"/>
    </xf>
    <xf numFmtId="44" fontId="17" fillId="0" borderId="1" xfId="3" applyFont="1" applyFill="1" applyBorder="1"/>
    <xf numFmtId="164" fontId="12" fillId="0" borderId="0" xfId="2" applyFont="1"/>
    <xf numFmtId="1" fontId="4" fillId="0" borderId="2" xfId="2" applyNumberFormat="1" applyFont="1" applyBorder="1" applyAlignment="1">
      <alignment horizontal="center" vertical="center"/>
    </xf>
    <xf numFmtId="164" fontId="4" fillId="0" borderId="4" xfId="2" applyFont="1" applyBorder="1" applyAlignment="1">
      <alignment horizontal="center" vertical="center"/>
    </xf>
    <xf numFmtId="164" fontId="4" fillId="0" borderId="4" xfId="2" applyFont="1" applyFill="1" applyBorder="1" applyAlignment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hidden="1"/>
    </xf>
    <xf numFmtId="0" fontId="7" fillId="4" borderId="3" xfId="0" applyFont="1" applyFill="1" applyBorder="1" applyAlignment="1" applyProtection="1">
      <alignment horizontal="center" vertical="center" wrapText="1"/>
      <protection hidden="1"/>
    </xf>
    <xf numFmtId="0" fontId="7" fillId="3" borderId="3" xfId="0" applyFont="1" applyFill="1" applyBorder="1" applyAlignment="1" applyProtection="1">
      <alignment horizontal="center" vertical="center"/>
      <protection hidden="1"/>
    </xf>
    <xf numFmtId="44" fontId="7" fillId="3" borderId="3" xfId="3" applyFont="1" applyFill="1" applyBorder="1" applyAlignment="1" applyProtection="1">
      <alignment horizontal="center" vertical="center" wrapText="1"/>
      <protection hidden="1"/>
    </xf>
    <xf numFmtId="164" fontId="15" fillId="0" borderId="4" xfId="2" applyFont="1" applyBorder="1" applyAlignment="1">
      <alignment horizontal="center" vertical="center" wrapText="1"/>
    </xf>
    <xf numFmtId="164" fontId="14" fillId="4" borderId="4" xfId="2" applyFont="1" applyFill="1" applyBorder="1" applyAlignment="1">
      <alignment horizontal="center" vertical="center" wrapText="1"/>
    </xf>
    <xf numFmtId="44" fontId="12" fillId="4" borderId="1" xfId="3" applyFont="1" applyFill="1" applyBorder="1"/>
    <xf numFmtId="44" fontId="3" fillId="0" borderId="0" xfId="3" applyFont="1" applyFill="1" applyAlignment="1">
      <alignment horizontal="center" vertical="center"/>
    </xf>
    <xf numFmtId="164" fontId="19" fillId="0" borderId="0" xfId="2" applyFont="1"/>
    <xf numFmtId="164" fontId="20" fillId="6" borderId="1" xfId="2" applyFont="1" applyFill="1" applyBorder="1"/>
    <xf numFmtId="164" fontId="20" fillId="6" borderId="1" xfId="2" applyFont="1" applyFill="1" applyBorder="1" applyAlignment="1">
      <alignment horizontal="center" vertical="center"/>
    </xf>
    <xf numFmtId="44" fontId="20" fillId="6" borderId="1" xfId="3" applyFont="1" applyFill="1" applyBorder="1"/>
    <xf numFmtId="164" fontId="21" fillId="0" borderId="0" xfId="2" applyFont="1"/>
    <xf numFmtId="44" fontId="21" fillId="0" borderId="0" xfId="3" applyFont="1"/>
    <xf numFmtId="44" fontId="22" fillId="0" borderId="0" xfId="3" applyFont="1"/>
    <xf numFmtId="44" fontId="12" fillId="0" borderId="0" xfId="3" applyFont="1"/>
    <xf numFmtId="44" fontId="23" fillId="0" borderId="0" xfId="3" applyFont="1"/>
    <xf numFmtId="0" fontId="0" fillId="5" borderId="5" xfId="0" applyFont="1" applyFill="1" applyBorder="1"/>
    <xf numFmtId="1" fontId="16" fillId="0" borderId="0" xfId="2" applyNumberFormat="1" applyFont="1" applyFill="1" applyBorder="1" applyAlignment="1">
      <alignment horizontal="center" vertical="center"/>
    </xf>
    <xf numFmtId="164" fontId="16" fillId="0" borderId="0" xfId="2" applyFont="1" applyFill="1" applyBorder="1" applyAlignment="1">
      <alignment horizontal="center" vertical="center"/>
    </xf>
    <xf numFmtId="44" fontId="17" fillId="0" borderId="0" xfId="3" applyFont="1" applyFill="1" applyBorder="1" applyAlignment="1">
      <alignment horizontal="center"/>
    </xf>
    <xf numFmtId="44" fontId="16" fillId="0" borderId="0" xfId="3" applyFont="1" applyFill="1" applyBorder="1" applyAlignment="1" applyProtection="1">
      <alignment horizontal="center"/>
    </xf>
    <xf numFmtId="44" fontId="17" fillId="0" borderId="0" xfId="3" applyFont="1" applyFill="1" applyBorder="1" applyAlignment="1" applyProtection="1">
      <alignment horizontal="center"/>
    </xf>
    <xf numFmtId="44" fontId="16" fillId="0" borderId="0" xfId="3" applyFont="1" applyFill="1" applyBorder="1" applyAlignment="1" applyProtection="1">
      <alignment horizontal="center"/>
      <protection hidden="1"/>
    </xf>
    <xf numFmtId="44" fontId="17" fillId="0" borderId="0" xfId="3" applyFont="1" applyFill="1" applyBorder="1"/>
    <xf numFmtId="44" fontId="18" fillId="0" borderId="0" xfId="3" applyFont="1" applyFill="1" applyBorder="1"/>
    <xf numFmtId="44" fontId="17" fillId="3" borderId="1" xfId="3" applyFont="1" applyFill="1" applyBorder="1" applyAlignment="1">
      <alignment horizontal="center"/>
    </xf>
    <xf numFmtId="44" fontId="20" fillId="7" borderId="1" xfId="3" applyFont="1" applyFill="1" applyBorder="1"/>
    <xf numFmtId="44" fontId="12" fillId="0" borderId="0" xfId="3" applyFont="1" applyFill="1" applyBorder="1"/>
  </cellXfs>
  <cellStyles count="4">
    <cellStyle name="Currency" xfId="3" builtinId="4"/>
    <cellStyle name="Neutral" xfId="1" builtinId="28"/>
    <cellStyle name="Normal" xfId="0" builtinId="0"/>
    <cellStyle name="Normal 2" xfId="2"/>
  </cellStyles>
  <dxfs count="3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rive\Work%20At%20Home\Enrolement\202105\Fee\Re-March%200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men Academic Support SCC"/>
      <sheetName val="Acumen Academic Support SRC"/>
      <sheetName val="Acumen Athletics Oper REV"/>
      <sheetName val="Acumen Athletics Operating"/>
      <sheetName val="Acumen Building Operating"/>
      <sheetName val="Acumen Campus Safety"/>
      <sheetName val="Acumen Career Services"/>
      <sheetName val="Acumen Graduation Fee"/>
      <sheetName val="Acumen Health &amp; Counselling"/>
      <sheetName val="Acumen Health Insurance Fee"/>
      <sheetName val="Acumen Material Fees"/>
      <sheetName val="Acumen Student Card Fee"/>
      <sheetName val="Acumen Transcript Fee"/>
      <sheetName val="Acumen Tuition"/>
      <sheetName val="Acumen Tuition Part Time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4" name="Table423467891011121315131617181923467859121317184679101112131415" displayName="Table423467891011121315131617181923467859121317184679101112131415" ref="A2:Y27" totalsRowShown="0" headerRowDxfId="29" dataDxfId="27" headerRowBorderDxfId="28" tableBorderDxfId="26" totalsRowBorderDxfId="25">
  <autoFilter ref="A2:Y27"/>
  <sortState ref="A3:G26">
    <sortCondition ref="A2:A26"/>
  </sortState>
  <tableColumns count="25">
    <tableColumn id="1" name="#" dataDxfId="24"/>
    <tableColumn id="2" name="Code" dataDxfId="23"/>
    <tableColumn id="3" name="Program" dataDxfId="22"/>
    <tableColumn id="5" name="Total FT" dataDxfId="21"/>
    <tableColumn id="7" name="Campuses" dataDxfId="20"/>
    <tableColumn id="4" name="SRC_x000a_Membership" dataDxfId="19" dataCellStyle="Currency"/>
    <tableColumn id="6" name="Alumni_x000a_Assoc" dataDxfId="18" dataCellStyle="Currency"/>
    <tableColumn id="8" name="Campus_x000a_Security" dataDxfId="17" dataCellStyle="Currency"/>
    <tableColumn id="9" name="Acad Support_x000a_St.Clair Col" dataDxfId="16" dataCellStyle="Currency"/>
    <tableColumn id="10" name="Acad Support_x000a_SRC" dataDxfId="15" dataCellStyle="Currency"/>
    <tableColumn id="11" name="Building_x000a_Operating" dataDxfId="14" dataCellStyle="Currency"/>
    <tableColumn id="12" name="Athletics_x000a_Operating" dataDxfId="13" dataCellStyle="Currency"/>
    <tableColumn id="13" name="Mat_x000a_Fee" dataDxfId="12" dataCellStyle="Currency"/>
    <tableColumn id="14" name="Grad" dataDxfId="11" dataCellStyle="Currency"/>
    <tableColumn id="15" name="Std._x000a_Card" dataDxfId="10" dataCellStyle="Currency"/>
    <tableColumn id="16" name="Trans" dataDxfId="9" dataCellStyle="Currency"/>
    <tableColumn id="17" name="Career_x000a_Services" dataDxfId="8" dataCellStyle="Currency"/>
    <tableColumn id="18" name="Health &amp;_x000a_Counselling" dataDxfId="7" dataCellStyle="Currency"/>
    <tableColumn id="19" name="Hlth_x000a_Int'l" dataDxfId="6" dataCellStyle="Currency"/>
    <tableColumn id="20" name="Total_x000a_Ancillary" dataDxfId="5" dataCellStyle="Currency">
      <calculatedColumnFormula>SUM(H3:S3)</calculatedColumnFormula>
    </tableColumn>
    <tableColumn id="21" name="Tuition_x000a_Tuition" dataDxfId="4" dataCellStyle="Currency"/>
    <tableColumn id="22" name="Tuition_x000a_Total " dataDxfId="3" dataCellStyle="Currency">
      <calculatedColumnFormula>SUM(T3:U3)</calculatedColumnFormula>
    </tableColumn>
    <tableColumn id="24" name="Sum in _x000a_Tuition" dataDxfId="2" dataCellStyle="Currency">
      <calculatedColumnFormula>Table423467891011121315131617181923467859121317184679101112131415[[#This Row],[Tuition
Tuition]]*Table423467891011121315131617181923467859121317184679101112131415[[#This Row],[Total FT]]</calculatedColumnFormula>
    </tableColumn>
    <tableColumn id="25" name="Sum in_x000a_Tuition Total " dataDxfId="1" dataCellStyle="Currency">
      <calculatedColumnFormula>Table423467891011121315131617181923467859121317184679101112131415[[#This Row],[Tuition
Total ]]*Table423467891011121315131617181923467859121317184679101112131415[[#This Row],[Total FT]]</calculatedColumnFormula>
    </tableColumn>
    <tableColumn id="26" name="Sum In _x000a_Pay to Acumen" dataDxfId="0" dataCellStyle="Currency">
      <calculatedColumnFormula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70" zoomScaleNormal="70" workbookViewId="0">
      <selection activeCell="U3" sqref="U3"/>
    </sheetView>
  </sheetViews>
  <sheetFormatPr defaultColWidth="9.140625" defaultRowHeight="15" x14ac:dyDescent="0.25"/>
  <cols>
    <col min="1" max="1" width="6.7109375" style="3" bestFit="1" customWidth="1"/>
    <col min="2" max="2" width="11" style="3" bestFit="1" customWidth="1"/>
    <col min="3" max="3" width="22.28515625" style="3" customWidth="1"/>
    <col min="4" max="4" width="13.28515625" style="6" bestFit="1" customWidth="1"/>
    <col min="5" max="5" width="15.140625" style="3" customWidth="1"/>
    <col min="6" max="6" width="18" style="3" bestFit="1" customWidth="1"/>
    <col min="7" max="7" width="12.5703125" style="3" bestFit="1" customWidth="1"/>
    <col min="8" max="8" width="17.7109375" style="3" bestFit="1" customWidth="1"/>
    <col min="9" max="10" width="19.140625" style="3" bestFit="1" customWidth="1"/>
    <col min="11" max="13" width="19.28515625" style="3" bestFit="1" customWidth="1"/>
    <col min="14" max="18" width="17.7109375" style="3" bestFit="1" customWidth="1"/>
    <col min="19" max="19" width="19.28515625" style="3" bestFit="1" customWidth="1"/>
    <col min="20" max="20" width="14.140625" style="3" bestFit="1" customWidth="1"/>
    <col min="21" max="21" width="23.28515625" style="3" bestFit="1" customWidth="1"/>
    <col min="22" max="22" width="12.5703125" style="3" customWidth="1"/>
    <col min="23" max="23" width="21.140625" style="3" bestFit="1" customWidth="1"/>
    <col min="24" max="24" width="18.28515625" style="3" bestFit="1" customWidth="1"/>
    <col min="25" max="25" width="23.28515625" style="3" bestFit="1" customWidth="1"/>
    <col min="26" max="27" width="9.140625" style="3"/>
    <col min="28" max="28" width="24.28515625" style="3" bestFit="1" customWidth="1"/>
    <col min="29" max="16384" width="9.140625" style="3"/>
  </cols>
  <sheetData>
    <row r="1" spans="1:25" ht="26.25" x14ac:dyDescent="0.4">
      <c r="C1" s="17" t="s">
        <v>81</v>
      </c>
    </row>
    <row r="2" spans="1:25" s="5" customFormat="1" ht="31.5" x14ac:dyDescent="0.25">
      <c r="A2" s="27" t="s">
        <v>0</v>
      </c>
      <c r="B2" s="28" t="s">
        <v>1</v>
      </c>
      <c r="C2" s="28" t="s">
        <v>2</v>
      </c>
      <c r="D2" s="29" t="s">
        <v>20</v>
      </c>
      <c r="E2" s="28" t="s">
        <v>3</v>
      </c>
      <c r="F2" s="30" t="s">
        <v>60</v>
      </c>
      <c r="G2" s="30" t="s">
        <v>61</v>
      </c>
      <c r="H2" s="31" t="s">
        <v>62</v>
      </c>
      <c r="I2" s="30" t="s">
        <v>63</v>
      </c>
      <c r="J2" s="30" t="s">
        <v>64</v>
      </c>
      <c r="K2" s="31" t="s">
        <v>65</v>
      </c>
      <c r="L2" s="31" t="s">
        <v>76</v>
      </c>
      <c r="M2" s="31" t="s">
        <v>66</v>
      </c>
      <c r="N2" s="32" t="s">
        <v>58</v>
      </c>
      <c r="O2" s="31" t="s">
        <v>67</v>
      </c>
      <c r="P2" s="32" t="s">
        <v>59</v>
      </c>
      <c r="Q2" s="31" t="s">
        <v>68</v>
      </c>
      <c r="R2" s="31" t="s">
        <v>69</v>
      </c>
      <c r="S2" s="30" t="s">
        <v>70</v>
      </c>
      <c r="T2" s="33" t="s">
        <v>71</v>
      </c>
      <c r="U2" s="31" t="s">
        <v>72</v>
      </c>
      <c r="V2" s="30" t="s">
        <v>73</v>
      </c>
      <c r="W2" s="34" t="s">
        <v>74</v>
      </c>
      <c r="X2" s="34" t="s">
        <v>75</v>
      </c>
      <c r="Y2" s="35" t="s">
        <v>77</v>
      </c>
    </row>
    <row r="3" spans="1:25" ht="15.75" x14ac:dyDescent="0.25">
      <c r="A3" s="12">
        <v>1</v>
      </c>
      <c r="B3" s="13" t="s">
        <v>4</v>
      </c>
      <c r="C3" s="13" t="s">
        <v>5</v>
      </c>
      <c r="D3" s="14">
        <v>82</v>
      </c>
      <c r="E3" s="13" t="s">
        <v>6</v>
      </c>
      <c r="F3" s="9">
        <v>50</v>
      </c>
      <c r="G3" s="9">
        <v>50</v>
      </c>
      <c r="H3" s="10">
        <v>12.5</v>
      </c>
      <c r="I3" s="9">
        <v>31.25</v>
      </c>
      <c r="J3" s="10">
        <v>56.25</v>
      </c>
      <c r="K3" s="10">
        <v>62.5</v>
      </c>
      <c r="L3" s="10">
        <v>87.5</v>
      </c>
      <c r="M3" s="9"/>
      <c r="N3" s="9">
        <v>35</v>
      </c>
      <c r="O3" s="9">
        <v>20</v>
      </c>
      <c r="P3" s="9">
        <v>10</v>
      </c>
      <c r="Q3" s="9">
        <v>10</v>
      </c>
      <c r="R3" s="9">
        <v>17.5</v>
      </c>
      <c r="S3" s="11">
        <v>335</v>
      </c>
      <c r="T3" s="11">
        <f>SUM(F3:S3)</f>
        <v>777.5</v>
      </c>
      <c r="U3" s="11">
        <v>6820.38</v>
      </c>
      <c r="V3" s="11">
        <f>SUM(T3:U3)</f>
        <v>7597.88</v>
      </c>
      <c r="W3" s="8">
        <f>Table423467891011121315131617181923467859121317184679101112131415[[#This Row],[Tuition
Tuition]]*Table423467891011121315131617181923467859121317184679101112131415[[#This Row],[Total FT]]</f>
        <v>559271.16</v>
      </c>
      <c r="X3" s="8">
        <f>Table423467891011121315131617181923467859121317184679101112131415[[#This Row],[Tuition
Total ]]*Table423467891011121315131617181923467859121317184679101112131415[[#This Row],[Total FT]]</f>
        <v>623026.16</v>
      </c>
      <c r="Y3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576491.16</v>
      </c>
    </row>
    <row r="4" spans="1:25" ht="15.75" x14ac:dyDescent="0.25">
      <c r="A4" s="12">
        <v>2</v>
      </c>
      <c r="B4" s="13" t="s">
        <v>21</v>
      </c>
      <c r="C4" s="13" t="s">
        <v>22</v>
      </c>
      <c r="D4" s="13">
        <v>26</v>
      </c>
      <c r="E4" s="13" t="s">
        <v>6</v>
      </c>
      <c r="F4" s="9"/>
      <c r="G4" s="9"/>
      <c r="H4" s="10">
        <v>12.5</v>
      </c>
      <c r="I4" s="9">
        <v>31.25</v>
      </c>
      <c r="J4" s="10">
        <v>56.25</v>
      </c>
      <c r="K4" s="10">
        <v>62.5</v>
      </c>
      <c r="L4" s="10">
        <v>87.5</v>
      </c>
      <c r="M4" s="9"/>
      <c r="N4" s="9"/>
      <c r="O4" s="9"/>
      <c r="P4" s="9">
        <v>10</v>
      </c>
      <c r="Q4" s="9">
        <v>10</v>
      </c>
      <c r="R4" s="9">
        <v>17.5</v>
      </c>
      <c r="S4" s="11"/>
      <c r="T4" s="11">
        <f>SUM(H4:S4)</f>
        <v>287.5</v>
      </c>
      <c r="U4" s="11">
        <v>6820.38</v>
      </c>
      <c r="V4" s="11">
        <f t="shared" ref="V4:V27" si="0">SUM(T4:U4)</f>
        <v>7107.88</v>
      </c>
      <c r="W4" s="8">
        <f>Table423467891011121315131617181923467859121317184679101112131415[[#This Row],[Tuition
Tuition]]*Table423467891011121315131617181923467859121317184679101112131415[[#This Row],[Total FT]]</f>
        <v>177329.88</v>
      </c>
      <c r="X4" s="8">
        <f>Table423467891011121315131617181923467859121317184679101112131415[[#This Row],[Tuition
Total ]]*Table423467891011121315131617181923467859121317184679101112131415[[#This Row],[Total FT]]</f>
        <v>184804.88</v>
      </c>
      <c r="Y4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182269.88</v>
      </c>
    </row>
    <row r="5" spans="1:25" ht="15.75" x14ac:dyDescent="0.25">
      <c r="A5" s="12">
        <v>3</v>
      </c>
      <c r="B5" s="13" t="s">
        <v>55</v>
      </c>
      <c r="C5" s="13" t="s">
        <v>56</v>
      </c>
      <c r="D5" s="13">
        <v>48</v>
      </c>
      <c r="E5" s="13" t="s">
        <v>6</v>
      </c>
      <c r="F5" s="15"/>
      <c r="G5" s="15"/>
      <c r="H5" s="10"/>
      <c r="I5" s="15"/>
      <c r="J5" s="10"/>
      <c r="K5" s="10"/>
      <c r="L5" s="10"/>
      <c r="M5" s="9"/>
      <c r="N5" s="9"/>
      <c r="O5" s="9"/>
      <c r="P5" s="15"/>
      <c r="Q5" s="15"/>
      <c r="R5" s="15"/>
      <c r="S5" s="11"/>
      <c r="T5" s="11">
        <f>SUM(H5:S5)</f>
        <v>0</v>
      </c>
      <c r="U5" s="11">
        <v>6227.31</v>
      </c>
      <c r="V5" s="11">
        <f t="shared" si="0"/>
        <v>6227.31</v>
      </c>
      <c r="W5" s="8">
        <f>Table423467891011121315131617181923467859121317184679101112131415[[#This Row],[Tuition
Tuition]]*Table423467891011121315131617181923467859121317184679101112131415[[#This Row],[Total FT]]</f>
        <v>298910.88</v>
      </c>
      <c r="X5" s="8">
        <f>Table423467891011121315131617181923467859121317184679101112131415[[#This Row],[Tuition
Total ]]*Table423467891011121315131617181923467859121317184679101112131415[[#This Row],[Total FT]]</f>
        <v>298910.88</v>
      </c>
      <c r="Y5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298910.88</v>
      </c>
    </row>
    <row r="6" spans="1:25" ht="15.75" x14ac:dyDescent="0.25">
      <c r="A6" s="12">
        <v>4</v>
      </c>
      <c r="B6" s="13" t="s">
        <v>7</v>
      </c>
      <c r="C6" s="13" t="s">
        <v>8</v>
      </c>
      <c r="D6" s="14">
        <v>225</v>
      </c>
      <c r="E6" s="13" t="s">
        <v>6</v>
      </c>
      <c r="F6" s="9">
        <v>50</v>
      </c>
      <c r="G6" s="9">
        <v>50</v>
      </c>
      <c r="H6" s="10">
        <v>12.5</v>
      </c>
      <c r="I6" s="9">
        <v>31.25</v>
      </c>
      <c r="J6" s="10">
        <v>56.25</v>
      </c>
      <c r="K6" s="10">
        <v>62.5</v>
      </c>
      <c r="L6" s="10">
        <v>87.5</v>
      </c>
      <c r="M6" s="9"/>
      <c r="N6" s="9">
        <v>35</v>
      </c>
      <c r="O6" s="9">
        <v>20</v>
      </c>
      <c r="P6" s="9">
        <v>10</v>
      </c>
      <c r="Q6" s="9">
        <v>10</v>
      </c>
      <c r="R6" s="9">
        <v>17.5</v>
      </c>
      <c r="S6" s="11">
        <v>335</v>
      </c>
      <c r="T6" s="11">
        <f>SUM(F6:S6)</f>
        <v>777.5</v>
      </c>
      <c r="U6" s="11">
        <v>6820.38</v>
      </c>
      <c r="V6" s="11">
        <f>SUM(T6:U6)</f>
        <v>7597.88</v>
      </c>
      <c r="W6" s="8">
        <f>Table423467891011121315131617181923467859121317184679101112131415[[#This Row],[Tuition
Tuition]]*Table423467891011121315131617181923467859121317184679101112131415[[#This Row],[Total FT]]</f>
        <v>1534585.5</v>
      </c>
      <c r="X6" s="8">
        <f>Table423467891011121315131617181923467859121317184679101112131415[[#This Row],[Tuition
Total ]]*Table423467891011121315131617181923467859121317184679101112131415[[#This Row],[Total FT]]</f>
        <v>1709523</v>
      </c>
      <c r="Y6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1581835.5</v>
      </c>
    </row>
    <row r="7" spans="1:25" ht="15.75" x14ac:dyDescent="0.25">
      <c r="A7" s="12">
        <v>5</v>
      </c>
      <c r="B7" s="13" t="s">
        <v>23</v>
      </c>
      <c r="C7" s="13" t="s">
        <v>24</v>
      </c>
      <c r="D7" s="13">
        <v>89</v>
      </c>
      <c r="E7" s="13" t="s">
        <v>6</v>
      </c>
      <c r="F7" s="9"/>
      <c r="G7" s="9"/>
      <c r="H7" s="10">
        <v>12.5</v>
      </c>
      <c r="I7" s="9">
        <v>31.25</v>
      </c>
      <c r="J7" s="10">
        <v>56.25</v>
      </c>
      <c r="K7" s="10">
        <v>62.5</v>
      </c>
      <c r="L7" s="10">
        <v>87.5</v>
      </c>
      <c r="M7" s="9"/>
      <c r="N7" s="9"/>
      <c r="O7" s="9"/>
      <c r="P7" s="9">
        <v>10</v>
      </c>
      <c r="Q7" s="9">
        <v>10</v>
      </c>
      <c r="R7" s="9">
        <v>17.5</v>
      </c>
      <c r="S7" s="11"/>
      <c r="T7" s="11">
        <f>SUM(H7:S7)</f>
        <v>287.5</v>
      </c>
      <c r="U7" s="11">
        <v>6820.38</v>
      </c>
      <c r="V7" s="11">
        <f t="shared" si="0"/>
        <v>7107.88</v>
      </c>
      <c r="W7" s="8">
        <f>Table423467891011121315131617181923467859121317184679101112131415[[#This Row],[Tuition
Tuition]]*Table423467891011121315131617181923467859121317184679101112131415[[#This Row],[Total FT]]</f>
        <v>607013.82000000007</v>
      </c>
      <c r="X7" s="8">
        <f>Table423467891011121315131617181923467859121317184679101112131415[[#This Row],[Tuition
Total ]]*Table423467891011121315131617181923467859121317184679101112131415[[#This Row],[Total FT]]</f>
        <v>632601.32000000007</v>
      </c>
      <c r="Y7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623923.82000000007</v>
      </c>
    </row>
    <row r="8" spans="1:25" ht="15.75" x14ac:dyDescent="0.25">
      <c r="A8" s="12">
        <v>6</v>
      </c>
      <c r="B8" s="13" t="s">
        <v>25</v>
      </c>
      <c r="C8" s="13" t="s">
        <v>26</v>
      </c>
      <c r="D8" s="13">
        <v>130</v>
      </c>
      <c r="E8" s="13" t="s">
        <v>6</v>
      </c>
      <c r="F8" s="15"/>
      <c r="G8" s="15"/>
      <c r="H8" s="10"/>
      <c r="I8" s="15"/>
      <c r="J8" s="10"/>
      <c r="K8" s="10"/>
      <c r="L8" s="10"/>
      <c r="M8" s="9"/>
      <c r="N8" s="9"/>
      <c r="O8" s="9"/>
      <c r="P8" s="15"/>
      <c r="Q8" s="15"/>
      <c r="R8" s="15"/>
      <c r="S8" s="11"/>
      <c r="T8" s="11">
        <f>SUM(H8:S8)</f>
        <v>0</v>
      </c>
      <c r="U8" s="11">
        <v>6227.31</v>
      </c>
      <c r="V8" s="11">
        <f t="shared" si="0"/>
        <v>6227.31</v>
      </c>
      <c r="W8" s="8">
        <f>Table423467891011121315131617181923467859121317184679101112131415[[#This Row],[Tuition
Tuition]]*Table423467891011121315131617181923467859121317184679101112131415[[#This Row],[Total FT]]</f>
        <v>809550.3</v>
      </c>
      <c r="X8" s="8">
        <f>Table423467891011121315131617181923467859121317184679101112131415[[#This Row],[Tuition
Total ]]*Table423467891011121315131617181923467859121317184679101112131415[[#This Row],[Total FT]]</f>
        <v>809550.3</v>
      </c>
      <c r="Y8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809550.3</v>
      </c>
    </row>
    <row r="9" spans="1:25" ht="15.75" x14ac:dyDescent="0.25">
      <c r="A9" s="12">
        <v>7</v>
      </c>
      <c r="B9" s="13" t="s">
        <v>27</v>
      </c>
      <c r="C9" s="13" t="s">
        <v>28</v>
      </c>
      <c r="D9" s="13">
        <v>49</v>
      </c>
      <c r="E9" s="13" t="s">
        <v>6</v>
      </c>
      <c r="F9" s="15"/>
      <c r="G9" s="15"/>
      <c r="H9" s="10"/>
      <c r="I9" s="15"/>
      <c r="J9" s="10"/>
      <c r="K9" s="10"/>
      <c r="L9" s="10"/>
      <c r="M9" s="9"/>
      <c r="N9" s="9"/>
      <c r="O9" s="9"/>
      <c r="P9" s="15"/>
      <c r="Q9" s="15"/>
      <c r="R9" s="15"/>
      <c r="S9" s="11"/>
      <c r="T9" s="11"/>
      <c r="U9" s="16">
        <v>6227.31</v>
      </c>
      <c r="V9" s="11">
        <f t="shared" si="0"/>
        <v>6227.31</v>
      </c>
      <c r="W9" s="8">
        <f>Table423467891011121315131617181923467859121317184679101112131415[[#This Row],[Tuition
Tuition]]*Table423467891011121315131617181923467859121317184679101112131415[[#This Row],[Total FT]]</f>
        <v>305138.19</v>
      </c>
      <c r="X9" s="8">
        <f>Table423467891011121315131617181923467859121317184679101112131415[[#This Row],[Tuition
Total ]]*Table423467891011121315131617181923467859121317184679101112131415[[#This Row],[Total FT]]</f>
        <v>305138.19</v>
      </c>
      <c r="Y9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305138.19</v>
      </c>
    </row>
    <row r="10" spans="1:25" ht="15.75" x14ac:dyDescent="0.25">
      <c r="A10" s="12">
        <v>8</v>
      </c>
      <c r="B10" s="13" t="s">
        <v>9</v>
      </c>
      <c r="C10" s="13" t="s">
        <v>10</v>
      </c>
      <c r="D10" s="14">
        <v>22</v>
      </c>
      <c r="E10" s="13" t="s">
        <v>11</v>
      </c>
      <c r="F10" s="9">
        <v>50</v>
      </c>
      <c r="G10" s="9">
        <v>50</v>
      </c>
      <c r="H10" s="10">
        <v>12.5</v>
      </c>
      <c r="I10" s="9">
        <v>31.25</v>
      </c>
      <c r="J10" s="10">
        <v>56.25</v>
      </c>
      <c r="K10" s="10">
        <v>62.5</v>
      </c>
      <c r="L10" s="10">
        <v>87.5</v>
      </c>
      <c r="M10" s="9"/>
      <c r="N10" s="9">
        <v>35</v>
      </c>
      <c r="O10" s="9">
        <v>20</v>
      </c>
      <c r="P10" s="9">
        <v>10</v>
      </c>
      <c r="Q10" s="9">
        <v>10</v>
      </c>
      <c r="R10" s="9">
        <v>17.5</v>
      </c>
      <c r="S10" s="11">
        <v>335</v>
      </c>
      <c r="T10" s="11">
        <f>SUM(F10:S10)</f>
        <v>777.5</v>
      </c>
      <c r="U10" s="11">
        <v>6820.38</v>
      </c>
      <c r="V10" s="11">
        <f>SUM(T10:U10)</f>
        <v>7597.88</v>
      </c>
      <c r="W10" s="8">
        <f>Table423467891011121315131617181923467859121317184679101112131415[[#This Row],[Tuition
Tuition]]*Table423467891011121315131617181923467859121317184679101112131415[[#This Row],[Total FT]]</f>
        <v>150048.36000000002</v>
      </c>
      <c r="X10" s="8">
        <f>Table423467891011121315131617181923467859121317184679101112131415[[#This Row],[Tuition
Total ]]*Table423467891011121315131617181923467859121317184679101112131415[[#This Row],[Total FT]]</f>
        <v>167153.36000000002</v>
      </c>
      <c r="Y10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154668.36000000002</v>
      </c>
    </row>
    <row r="11" spans="1:25" ht="15.75" x14ac:dyDescent="0.25">
      <c r="A11" s="12">
        <v>9</v>
      </c>
      <c r="B11" s="13" t="s">
        <v>29</v>
      </c>
      <c r="C11" s="13" t="s">
        <v>30</v>
      </c>
      <c r="D11" s="13">
        <v>20</v>
      </c>
      <c r="E11" s="13" t="s">
        <v>11</v>
      </c>
      <c r="F11" s="9"/>
      <c r="G11" s="9"/>
      <c r="H11" s="10">
        <v>12.5</v>
      </c>
      <c r="I11" s="9">
        <v>31.25</v>
      </c>
      <c r="J11" s="10">
        <v>56.25</v>
      </c>
      <c r="K11" s="10">
        <v>62.5</v>
      </c>
      <c r="L11" s="10">
        <v>87.5</v>
      </c>
      <c r="M11" s="9"/>
      <c r="N11" s="9"/>
      <c r="O11" s="9"/>
      <c r="P11" s="9">
        <v>10</v>
      </c>
      <c r="Q11" s="9">
        <v>10</v>
      </c>
      <c r="R11" s="9">
        <v>17.5</v>
      </c>
      <c r="S11" s="11"/>
      <c r="T11" s="11">
        <f>SUM(H11:S11)</f>
        <v>287.5</v>
      </c>
      <c r="U11" s="11">
        <v>6820.38</v>
      </c>
      <c r="V11" s="11">
        <f t="shared" si="0"/>
        <v>7107.88</v>
      </c>
      <c r="W11" s="8">
        <f>Table423467891011121315131617181923467859121317184679101112131415[[#This Row],[Tuition
Tuition]]*Table423467891011121315131617181923467859121317184679101112131415[[#This Row],[Total FT]]</f>
        <v>136407.6</v>
      </c>
      <c r="X11" s="8">
        <f>Table423467891011121315131617181923467859121317184679101112131415[[#This Row],[Tuition
Total ]]*Table423467891011121315131617181923467859121317184679101112131415[[#This Row],[Total FT]]</f>
        <v>142157.6</v>
      </c>
      <c r="Y11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140207.6</v>
      </c>
    </row>
    <row r="12" spans="1:25" ht="15.75" x14ac:dyDescent="0.25">
      <c r="A12" s="12">
        <v>10</v>
      </c>
      <c r="B12" s="13" t="s">
        <v>12</v>
      </c>
      <c r="C12" s="13" t="s">
        <v>13</v>
      </c>
      <c r="D12" s="14">
        <v>290</v>
      </c>
      <c r="E12" s="13" t="s">
        <v>11</v>
      </c>
      <c r="F12" s="9">
        <v>50</v>
      </c>
      <c r="G12" s="9">
        <v>50</v>
      </c>
      <c r="H12" s="10">
        <v>12.5</v>
      </c>
      <c r="I12" s="9">
        <v>31.25</v>
      </c>
      <c r="J12" s="10">
        <v>56.25</v>
      </c>
      <c r="K12" s="10">
        <v>62.5</v>
      </c>
      <c r="L12" s="10">
        <v>87.5</v>
      </c>
      <c r="M12" s="9"/>
      <c r="N12" s="9">
        <v>35</v>
      </c>
      <c r="O12" s="9">
        <v>20</v>
      </c>
      <c r="P12" s="9">
        <v>10</v>
      </c>
      <c r="Q12" s="9">
        <v>10</v>
      </c>
      <c r="R12" s="9">
        <v>17.5</v>
      </c>
      <c r="S12" s="11">
        <v>335</v>
      </c>
      <c r="T12" s="11">
        <f>SUM(F12:S12)</f>
        <v>777.5</v>
      </c>
      <c r="U12" s="11">
        <v>6820.38</v>
      </c>
      <c r="V12" s="11">
        <f t="shared" si="0"/>
        <v>7597.88</v>
      </c>
      <c r="W12" s="8">
        <f>Table423467891011121315131617181923467859121317184679101112131415[[#This Row],[Tuition
Tuition]]*Table423467891011121315131617181923467859121317184679101112131415[[#This Row],[Total FT]]</f>
        <v>1977910.2</v>
      </c>
      <c r="X12" s="8">
        <f>Table423467891011121315131617181923467859121317184679101112131415[[#This Row],[Tuition
Total ]]*Table423467891011121315131617181923467859121317184679101112131415[[#This Row],[Total FT]]</f>
        <v>2203385.2000000002</v>
      </c>
      <c r="Y12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2038810.2</v>
      </c>
    </row>
    <row r="13" spans="1:25" ht="15.75" x14ac:dyDescent="0.25">
      <c r="A13" s="12">
        <v>11</v>
      </c>
      <c r="B13" s="13" t="s">
        <v>31</v>
      </c>
      <c r="C13" s="13" t="s">
        <v>32</v>
      </c>
      <c r="D13" s="13">
        <v>108</v>
      </c>
      <c r="E13" s="13" t="s">
        <v>11</v>
      </c>
      <c r="F13" s="9"/>
      <c r="G13" s="9"/>
      <c r="H13" s="10">
        <v>12.5</v>
      </c>
      <c r="I13" s="9">
        <v>31.25</v>
      </c>
      <c r="J13" s="10">
        <v>56.25</v>
      </c>
      <c r="K13" s="10">
        <v>62.5</v>
      </c>
      <c r="L13" s="10">
        <v>87.5</v>
      </c>
      <c r="M13" s="9"/>
      <c r="N13" s="9"/>
      <c r="O13" s="9"/>
      <c r="P13" s="9">
        <v>10</v>
      </c>
      <c r="Q13" s="9">
        <v>10</v>
      </c>
      <c r="R13" s="9">
        <v>17.5</v>
      </c>
      <c r="S13" s="11"/>
      <c r="T13" s="11">
        <f t="shared" ref="T13" si="1">SUM(H13:S13)</f>
        <v>287.5</v>
      </c>
      <c r="U13" s="11">
        <v>6820.38</v>
      </c>
      <c r="V13" s="11">
        <f t="shared" si="0"/>
        <v>7107.88</v>
      </c>
      <c r="W13" s="8">
        <f>Table423467891011121315131617181923467859121317184679101112131415[[#This Row],[Tuition
Tuition]]*Table423467891011121315131617181923467859121317184679101112131415[[#This Row],[Total FT]]</f>
        <v>736601.04</v>
      </c>
      <c r="X13" s="8">
        <f>Table423467891011121315131617181923467859121317184679101112131415[[#This Row],[Tuition
Total ]]*Table423467891011121315131617181923467859121317184679101112131415[[#This Row],[Total FT]]</f>
        <v>767651.04</v>
      </c>
      <c r="Y13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757121.04</v>
      </c>
    </row>
    <row r="14" spans="1:25" ht="15.75" x14ac:dyDescent="0.25">
      <c r="A14" s="12">
        <v>12</v>
      </c>
      <c r="B14" s="13" t="s">
        <v>33</v>
      </c>
      <c r="C14" s="13" t="s">
        <v>34</v>
      </c>
      <c r="D14" s="13">
        <v>266</v>
      </c>
      <c r="E14" s="13" t="s">
        <v>11</v>
      </c>
      <c r="F14" s="15"/>
      <c r="G14" s="15"/>
      <c r="H14" s="10"/>
      <c r="I14" s="15"/>
      <c r="J14" s="10"/>
      <c r="K14" s="10"/>
      <c r="L14" s="10"/>
      <c r="M14" s="9"/>
      <c r="N14" s="9"/>
      <c r="O14" s="9"/>
      <c r="P14" s="15"/>
      <c r="Q14" s="15"/>
      <c r="R14" s="15"/>
      <c r="S14" s="11"/>
      <c r="T14" s="11">
        <f>SUM(H14:S14)</f>
        <v>0</v>
      </c>
      <c r="U14" s="11">
        <v>6227.31</v>
      </c>
      <c r="V14" s="11">
        <f t="shared" si="0"/>
        <v>6227.31</v>
      </c>
      <c r="W14" s="8">
        <f>Table423467891011121315131617181923467859121317184679101112131415[[#This Row],[Tuition
Tuition]]*Table423467891011121315131617181923467859121317184679101112131415[[#This Row],[Total FT]]</f>
        <v>1656464.4600000002</v>
      </c>
      <c r="X14" s="8">
        <f>Table423467891011121315131617181923467859121317184679101112131415[[#This Row],[Tuition
Total ]]*Table423467891011121315131617181923467859121317184679101112131415[[#This Row],[Total FT]]</f>
        <v>1656464.4600000002</v>
      </c>
      <c r="Y14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1656464.4600000002</v>
      </c>
    </row>
    <row r="15" spans="1:25" ht="15.75" x14ac:dyDescent="0.25">
      <c r="A15" s="12">
        <v>13</v>
      </c>
      <c r="B15" s="13" t="s">
        <v>35</v>
      </c>
      <c r="C15" s="13" t="s">
        <v>36</v>
      </c>
      <c r="D15" s="13">
        <v>130</v>
      </c>
      <c r="E15" s="13" t="s">
        <v>11</v>
      </c>
      <c r="F15" s="15"/>
      <c r="G15" s="15"/>
      <c r="H15" s="10"/>
      <c r="I15" s="15"/>
      <c r="J15" s="10"/>
      <c r="K15" s="10"/>
      <c r="L15" s="10"/>
      <c r="M15" s="9"/>
      <c r="N15" s="9"/>
      <c r="O15" s="9"/>
      <c r="P15" s="15"/>
      <c r="Q15" s="15"/>
      <c r="R15" s="15"/>
      <c r="S15" s="11"/>
      <c r="T15" s="11"/>
      <c r="U15" s="16">
        <v>6227.31</v>
      </c>
      <c r="V15" s="11">
        <f t="shared" si="0"/>
        <v>6227.31</v>
      </c>
      <c r="W15" s="8">
        <f>Table423467891011121315131617181923467859121317184679101112131415[[#This Row],[Tuition
Tuition]]*Table423467891011121315131617181923467859121317184679101112131415[[#This Row],[Total FT]]</f>
        <v>809550.3</v>
      </c>
      <c r="X15" s="8">
        <f>Table423467891011121315131617181923467859121317184679101112131415[[#This Row],[Tuition
Total ]]*Table423467891011121315131617181923467859121317184679101112131415[[#This Row],[Total FT]]</f>
        <v>809550.3</v>
      </c>
      <c r="Y15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809550.3</v>
      </c>
    </row>
    <row r="16" spans="1:25" ht="15.75" x14ac:dyDescent="0.25">
      <c r="A16" s="12">
        <v>14</v>
      </c>
      <c r="B16" s="13" t="s">
        <v>14</v>
      </c>
      <c r="C16" s="13" t="s">
        <v>15</v>
      </c>
      <c r="D16" s="14">
        <v>295</v>
      </c>
      <c r="E16" s="13" t="s">
        <v>6</v>
      </c>
      <c r="F16" s="9">
        <v>50</v>
      </c>
      <c r="G16" s="9">
        <v>50</v>
      </c>
      <c r="H16" s="10">
        <v>12.5</v>
      </c>
      <c r="I16" s="9">
        <v>31.25</v>
      </c>
      <c r="J16" s="10">
        <v>56.25</v>
      </c>
      <c r="K16" s="10">
        <v>62.5</v>
      </c>
      <c r="L16" s="10">
        <v>87.5</v>
      </c>
      <c r="M16" s="9"/>
      <c r="N16" s="9">
        <v>35</v>
      </c>
      <c r="O16" s="9">
        <v>20</v>
      </c>
      <c r="P16" s="9">
        <v>10</v>
      </c>
      <c r="Q16" s="9">
        <v>10</v>
      </c>
      <c r="R16" s="9">
        <v>17.5</v>
      </c>
      <c r="S16" s="11">
        <v>335</v>
      </c>
      <c r="T16" s="11">
        <f>SUM(F16:S16)</f>
        <v>777.5</v>
      </c>
      <c r="U16" s="11">
        <v>6820.38</v>
      </c>
      <c r="V16" s="11">
        <f>SUM(T16:U16)</f>
        <v>7597.88</v>
      </c>
      <c r="W16" s="8">
        <f>Table423467891011121315131617181923467859121317184679101112131415[[#This Row],[Tuition
Tuition]]*Table423467891011121315131617181923467859121317184679101112131415[[#This Row],[Total FT]]</f>
        <v>2012012.1</v>
      </c>
      <c r="X16" s="8">
        <f>Table423467891011121315131617181923467859121317184679101112131415[[#This Row],[Tuition
Total ]]*Table423467891011121315131617181923467859121317184679101112131415[[#This Row],[Total FT]]</f>
        <v>2241374.6</v>
      </c>
      <c r="Y16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2073962.1</v>
      </c>
    </row>
    <row r="17" spans="1:25" ht="15.75" x14ac:dyDescent="0.25">
      <c r="A17" s="12">
        <v>15</v>
      </c>
      <c r="B17" s="13" t="s">
        <v>37</v>
      </c>
      <c r="C17" s="13" t="s">
        <v>38</v>
      </c>
      <c r="D17" s="13">
        <v>90</v>
      </c>
      <c r="E17" s="13" t="s">
        <v>6</v>
      </c>
      <c r="F17" s="9"/>
      <c r="G17" s="9"/>
      <c r="H17" s="10">
        <v>12.5</v>
      </c>
      <c r="I17" s="9">
        <v>31.25</v>
      </c>
      <c r="J17" s="10">
        <v>56.25</v>
      </c>
      <c r="K17" s="10">
        <v>62.5</v>
      </c>
      <c r="L17" s="10">
        <v>87.5</v>
      </c>
      <c r="M17" s="9"/>
      <c r="N17" s="9"/>
      <c r="O17" s="9"/>
      <c r="P17" s="9">
        <v>10</v>
      </c>
      <c r="Q17" s="9">
        <v>10</v>
      </c>
      <c r="R17" s="9">
        <v>17.5</v>
      </c>
      <c r="S17" s="11"/>
      <c r="T17" s="11">
        <f>SUM(H17:S17)</f>
        <v>287.5</v>
      </c>
      <c r="U17" s="11">
        <v>6820.38</v>
      </c>
      <c r="V17" s="11">
        <f t="shared" si="0"/>
        <v>7107.88</v>
      </c>
      <c r="W17" s="8">
        <f>Table423467891011121315131617181923467859121317184679101112131415[[#This Row],[Tuition
Tuition]]*Table423467891011121315131617181923467859121317184679101112131415[[#This Row],[Total FT]]</f>
        <v>613834.19999999995</v>
      </c>
      <c r="X17" s="8">
        <f>Table423467891011121315131617181923467859121317184679101112131415[[#This Row],[Tuition
Total ]]*Table423467891011121315131617181923467859121317184679101112131415[[#This Row],[Total FT]]</f>
        <v>639709.19999999995</v>
      </c>
      <c r="Y17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630934.19999999995</v>
      </c>
    </row>
    <row r="18" spans="1:25" ht="15.75" x14ac:dyDescent="0.25">
      <c r="A18" s="12">
        <v>16</v>
      </c>
      <c r="B18" s="13" t="s">
        <v>39</v>
      </c>
      <c r="C18" s="13" t="s">
        <v>40</v>
      </c>
      <c r="D18" s="13">
        <v>97</v>
      </c>
      <c r="E18" s="13" t="s">
        <v>6</v>
      </c>
      <c r="F18" s="15"/>
      <c r="G18" s="15"/>
      <c r="H18" s="10"/>
      <c r="I18" s="15"/>
      <c r="J18" s="10"/>
      <c r="K18" s="10"/>
      <c r="L18" s="10"/>
      <c r="M18" s="9"/>
      <c r="N18" s="9"/>
      <c r="O18" s="9"/>
      <c r="P18" s="15"/>
      <c r="Q18" s="15"/>
      <c r="R18" s="15"/>
      <c r="S18" s="11"/>
      <c r="T18" s="11">
        <f>SUM(H18:S18)</f>
        <v>0</v>
      </c>
      <c r="U18" s="11">
        <v>6227.31</v>
      </c>
      <c r="V18" s="11">
        <f t="shared" si="0"/>
        <v>6227.31</v>
      </c>
      <c r="W18" s="8">
        <f>Table423467891011121315131617181923467859121317184679101112131415[[#This Row],[Tuition
Tuition]]*Table423467891011121315131617181923467859121317184679101112131415[[#This Row],[Total FT]]</f>
        <v>604049.07000000007</v>
      </c>
      <c r="X18" s="8">
        <f>Table423467891011121315131617181923467859121317184679101112131415[[#This Row],[Tuition
Total ]]*Table423467891011121315131617181923467859121317184679101112131415[[#This Row],[Total FT]]</f>
        <v>604049.07000000007</v>
      </c>
      <c r="Y18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604049.07000000007</v>
      </c>
    </row>
    <row r="19" spans="1:25" ht="15.75" x14ac:dyDescent="0.25">
      <c r="A19" s="12">
        <v>17</v>
      </c>
      <c r="B19" s="13" t="s">
        <v>41</v>
      </c>
      <c r="C19" s="13" t="s">
        <v>42</v>
      </c>
      <c r="D19" s="13">
        <v>26</v>
      </c>
      <c r="E19" s="13" t="s">
        <v>6</v>
      </c>
      <c r="F19" s="15"/>
      <c r="G19" s="15"/>
      <c r="H19" s="10"/>
      <c r="I19" s="15"/>
      <c r="J19" s="10"/>
      <c r="K19" s="10"/>
      <c r="L19" s="10"/>
      <c r="M19" s="9"/>
      <c r="N19" s="9"/>
      <c r="O19" s="9"/>
      <c r="P19" s="15"/>
      <c r="Q19" s="15"/>
      <c r="R19" s="15"/>
      <c r="S19" s="11"/>
      <c r="T19" s="11"/>
      <c r="U19" s="16">
        <v>6227.31</v>
      </c>
      <c r="V19" s="11">
        <f t="shared" si="0"/>
        <v>6227.31</v>
      </c>
      <c r="W19" s="8">
        <f>Table423467891011121315131617181923467859121317184679101112131415[[#This Row],[Tuition
Tuition]]*Table423467891011121315131617181923467859121317184679101112131415[[#This Row],[Total FT]]</f>
        <v>161910.06</v>
      </c>
      <c r="X19" s="8">
        <f>Table423467891011121315131617181923467859121317184679101112131415[[#This Row],[Tuition
Total ]]*Table423467891011121315131617181923467859121317184679101112131415[[#This Row],[Total FT]]</f>
        <v>161910.06</v>
      </c>
      <c r="Y19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161910.06</v>
      </c>
    </row>
    <row r="20" spans="1:25" ht="15.75" x14ac:dyDescent="0.25">
      <c r="A20" s="12">
        <v>18</v>
      </c>
      <c r="B20" s="13" t="s">
        <v>16</v>
      </c>
      <c r="C20" s="13" t="s">
        <v>17</v>
      </c>
      <c r="D20" s="14">
        <v>175</v>
      </c>
      <c r="E20" s="13" t="s">
        <v>6</v>
      </c>
      <c r="F20" s="9">
        <v>50</v>
      </c>
      <c r="G20" s="9">
        <v>50</v>
      </c>
      <c r="H20" s="10">
        <v>12.5</v>
      </c>
      <c r="I20" s="9">
        <v>31.25</v>
      </c>
      <c r="J20" s="10">
        <v>56.25</v>
      </c>
      <c r="K20" s="10">
        <v>62.5</v>
      </c>
      <c r="L20" s="10">
        <v>87.5</v>
      </c>
      <c r="M20" s="9"/>
      <c r="N20" s="9">
        <v>35</v>
      </c>
      <c r="O20" s="9">
        <v>20</v>
      </c>
      <c r="P20" s="9">
        <v>10</v>
      </c>
      <c r="Q20" s="9">
        <v>10</v>
      </c>
      <c r="R20" s="9">
        <v>17.5</v>
      </c>
      <c r="S20" s="11">
        <v>335</v>
      </c>
      <c r="T20" s="11">
        <f>SUM(F20:S20)</f>
        <v>777.5</v>
      </c>
      <c r="U20" s="11">
        <v>6820.38</v>
      </c>
      <c r="V20" s="11">
        <f>SUM(T20:U20)</f>
        <v>7597.88</v>
      </c>
      <c r="W20" s="8">
        <f>Table423467891011121315131617181923467859121317184679101112131415[[#This Row],[Tuition
Tuition]]*Table423467891011121315131617181923467859121317184679101112131415[[#This Row],[Total FT]]</f>
        <v>1193566.5</v>
      </c>
      <c r="X20" s="8">
        <f>Table423467891011121315131617181923467859121317184679101112131415[[#This Row],[Tuition
Total ]]*Table423467891011121315131617181923467859121317184679101112131415[[#This Row],[Total FT]]</f>
        <v>1329629</v>
      </c>
      <c r="Y20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1230316.5</v>
      </c>
    </row>
    <row r="21" spans="1:25" ht="15.75" x14ac:dyDescent="0.25">
      <c r="A21" s="12">
        <v>19</v>
      </c>
      <c r="B21" s="13" t="s">
        <v>43</v>
      </c>
      <c r="C21" s="13" t="s">
        <v>44</v>
      </c>
      <c r="D21" s="13">
        <v>78</v>
      </c>
      <c r="E21" s="13" t="s">
        <v>6</v>
      </c>
      <c r="F21" s="9"/>
      <c r="G21" s="9"/>
      <c r="H21" s="10">
        <v>12.5</v>
      </c>
      <c r="I21" s="9">
        <v>31.25</v>
      </c>
      <c r="J21" s="10">
        <v>56.25</v>
      </c>
      <c r="K21" s="10">
        <v>62.5</v>
      </c>
      <c r="L21" s="10">
        <v>87.5</v>
      </c>
      <c r="M21" s="9"/>
      <c r="N21" s="9"/>
      <c r="O21" s="9"/>
      <c r="P21" s="9">
        <v>10</v>
      </c>
      <c r="Q21" s="9">
        <v>10</v>
      </c>
      <c r="R21" s="9">
        <v>17.5</v>
      </c>
      <c r="S21" s="11"/>
      <c r="T21" s="11">
        <f>SUM(H21:S21)</f>
        <v>287.5</v>
      </c>
      <c r="U21" s="11">
        <v>6820.38</v>
      </c>
      <c r="V21" s="11">
        <f t="shared" si="0"/>
        <v>7107.88</v>
      </c>
      <c r="W21" s="8">
        <f>Table423467891011121315131617181923467859121317184679101112131415[[#This Row],[Tuition
Tuition]]*Table423467891011121315131617181923467859121317184679101112131415[[#This Row],[Total FT]]</f>
        <v>531989.64</v>
      </c>
      <c r="X21" s="8">
        <f>Table423467891011121315131617181923467859121317184679101112131415[[#This Row],[Tuition
Total ]]*Table423467891011121315131617181923467859121317184679101112131415[[#This Row],[Total FT]]</f>
        <v>554414.64</v>
      </c>
      <c r="Y21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546809.64</v>
      </c>
    </row>
    <row r="22" spans="1:25" ht="15.75" x14ac:dyDescent="0.25">
      <c r="A22" s="12">
        <v>20</v>
      </c>
      <c r="B22" s="13" t="s">
        <v>45</v>
      </c>
      <c r="C22" s="13" t="s">
        <v>46</v>
      </c>
      <c r="D22" s="13">
        <v>108</v>
      </c>
      <c r="E22" s="13" t="s">
        <v>6</v>
      </c>
      <c r="F22" s="15"/>
      <c r="G22" s="15"/>
      <c r="H22" s="10"/>
      <c r="I22" s="15"/>
      <c r="J22" s="10"/>
      <c r="K22" s="10"/>
      <c r="L22" s="10"/>
      <c r="M22" s="9"/>
      <c r="N22" s="9"/>
      <c r="O22" s="9"/>
      <c r="P22" s="15"/>
      <c r="Q22" s="15"/>
      <c r="R22" s="15"/>
      <c r="S22" s="11"/>
      <c r="T22" s="11">
        <f>SUM(H22:S22)</f>
        <v>0</v>
      </c>
      <c r="U22" s="11">
        <v>6227.31</v>
      </c>
      <c r="V22" s="11">
        <f t="shared" si="0"/>
        <v>6227.31</v>
      </c>
      <c r="W22" s="8">
        <f>Table423467891011121315131617181923467859121317184679101112131415[[#This Row],[Tuition
Tuition]]*Table423467891011121315131617181923467859121317184679101112131415[[#This Row],[Total FT]]</f>
        <v>672549.4800000001</v>
      </c>
      <c r="X22" s="8">
        <f>Table423467891011121315131617181923467859121317184679101112131415[[#This Row],[Tuition
Total ]]*Table423467891011121315131617181923467859121317184679101112131415[[#This Row],[Total FT]]</f>
        <v>672549.4800000001</v>
      </c>
      <c r="Y22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672549.4800000001</v>
      </c>
    </row>
    <row r="23" spans="1:25" ht="15.75" x14ac:dyDescent="0.25">
      <c r="A23" s="12">
        <v>21</v>
      </c>
      <c r="B23" s="13" t="s">
        <v>47</v>
      </c>
      <c r="C23" s="13" t="s">
        <v>48</v>
      </c>
      <c r="D23" s="13">
        <v>78</v>
      </c>
      <c r="E23" s="13" t="s">
        <v>6</v>
      </c>
      <c r="F23" s="15"/>
      <c r="G23" s="15"/>
      <c r="H23" s="10"/>
      <c r="I23" s="15"/>
      <c r="J23" s="10"/>
      <c r="K23" s="10"/>
      <c r="L23" s="10"/>
      <c r="M23" s="9"/>
      <c r="N23" s="9"/>
      <c r="O23" s="9"/>
      <c r="P23" s="15"/>
      <c r="Q23" s="15"/>
      <c r="R23" s="15"/>
      <c r="S23" s="11"/>
      <c r="T23" s="11"/>
      <c r="U23" s="16">
        <v>6227.31</v>
      </c>
      <c r="V23" s="11">
        <f t="shared" si="0"/>
        <v>6227.31</v>
      </c>
      <c r="W23" s="8">
        <f>Table423467891011121315131617181923467859121317184679101112131415[[#This Row],[Tuition
Tuition]]*Table423467891011121315131617181923467859121317184679101112131415[[#This Row],[Total FT]]</f>
        <v>485730.18000000005</v>
      </c>
      <c r="X23" s="8">
        <f>Table423467891011121315131617181923467859121317184679101112131415[[#This Row],[Tuition
Total ]]*Table423467891011121315131617181923467859121317184679101112131415[[#This Row],[Total FT]]</f>
        <v>485730.18000000005</v>
      </c>
      <c r="Y23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485730.18000000005</v>
      </c>
    </row>
    <row r="24" spans="1:25" ht="15.75" x14ac:dyDescent="0.25">
      <c r="A24" s="12">
        <v>22</v>
      </c>
      <c r="B24" s="13" t="s">
        <v>18</v>
      </c>
      <c r="C24" s="13" t="s">
        <v>19</v>
      </c>
      <c r="D24" s="14">
        <v>196</v>
      </c>
      <c r="E24" s="13" t="s">
        <v>11</v>
      </c>
      <c r="F24" s="9">
        <v>50</v>
      </c>
      <c r="G24" s="9">
        <v>50</v>
      </c>
      <c r="H24" s="10">
        <v>12.5</v>
      </c>
      <c r="I24" s="9">
        <v>31.25</v>
      </c>
      <c r="J24" s="10">
        <v>56.25</v>
      </c>
      <c r="K24" s="10">
        <v>62.5</v>
      </c>
      <c r="L24" s="10">
        <v>87.5</v>
      </c>
      <c r="M24" s="9">
        <v>550</v>
      </c>
      <c r="N24" s="9">
        <v>35</v>
      </c>
      <c r="O24" s="9">
        <v>20</v>
      </c>
      <c r="P24" s="9">
        <v>10</v>
      </c>
      <c r="Q24" s="9">
        <v>10</v>
      </c>
      <c r="R24" s="9">
        <v>17.5</v>
      </c>
      <c r="S24" s="11">
        <v>335</v>
      </c>
      <c r="T24" s="11">
        <f>SUM(F24:S24)</f>
        <v>1327.5</v>
      </c>
      <c r="U24" s="11">
        <v>6820.38</v>
      </c>
      <c r="V24" s="11">
        <f>SUM(T24:U24)</f>
        <v>8147.88</v>
      </c>
      <c r="W24" s="8">
        <f>Table423467891011121315131617181923467859121317184679101112131415[[#This Row],[Tuition
Tuition]]*Table423467891011121315131617181923467859121317184679101112131415[[#This Row],[Total FT]]</f>
        <v>1336794.48</v>
      </c>
      <c r="X24" s="8">
        <f>Table423467891011121315131617181923467859121317184679101112131415[[#This Row],[Tuition
Total ]]*Table423467891011121315131617181923467859121317184679101112131415[[#This Row],[Total FT]]</f>
        <v>1596984.48</v>
      </c>
      <c r="Y24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1485754.48</v>
      </c>
    </row>
    <row r="25" spans="1:25" ht="15.75" x14ac:dyDescent="0.25">
      <c r="A25" s="12">
        <v>23</v>
      </c>
      <c r="B25" s="13" t="s">
        <v>49</v>
      </c>
      <c r="C25" s="13" t="s">
        <v>50</v>
      </c>
      <c r="D25" s="13">
        <v>77</v>
      </c>
      <c r="E25" s="13" t="s">
        <v>11</v>
      </c>
      <c r="F25" s="9"/>
      <c r="G25" s="9"/>
      <c r="H25" s="10">
        <v>12.5</v>
      </c>
      <c r="I25" s="9">
        <v>31.25</v>
      </c>
      <c r="J25" s="10">
        <v>56.25</v>
      </c>
      <c r="K25" s="10">
        <v>62.5</v>
      </c>
      <c r="L25" s="10">
        <v>87.5</v>
      </c>
      <c r="M25" s="9"/>
      <c r="N25" s="9"/>
      <c r="O25" s="9"/>
      <c r="P25" s="9">
        <v>10</v>
      </c>
      <c r="Q25" s="9">
        <v>10</v>
      </c>
      <c r="R25" s="9">
        <v>17.5</v>
      </c>
      <c r="S25" s="11"/>
      <c r="T25" s="11">
        <f>SUM(H25:S25)</f>
        <v>287.5</v>
      </c>
      <c r="U25" s="11">
        <v>6820.38</v>
      </c>
      <c r="V25" s="11">
        <f t="shared" si="0"/>
        <v>7107.88</v>
      </c>
      <c r="W25" s="8">
        <f>Table423467891011121315131617181923467859121317184679101112131415[[#This Row],[Tuition
Tuition]]*Table423467891011121315131617181923467859121317184679101112131415[[#This Row],[Total FT]]</f>
        <v>525169.26</v>
      </c>
      <c r="X25" s="8">
        <f>Table423467891011121315131617181923467859121317184679101112131415[[#This Row],[Tuition
Total ]]*Table423467891011121315131617181923467859121317184679101112131415[[#This Row],[Total FT]]</f>
        <v>547306.76</v>
      </c>
      <c r="Y25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539799.26</v>
      </c>
    </row>
    <row r="26" spans="1:25" ht="15.75" x14ac:dyDescent="0.25">
      <c r="A26" s="12">
        <v>24</v>
      </c>
      <c r="B26" s="13" t="s">
        <v>51</v>
      </c>
      <c r="C26" s="13" t="s">
        <v>52</v>
      </c>
      <c r="D26" s="13">
        <v>128</v>
      </c>
      <c r="E26" s="13" t="s">
        <v>11</v>
      </c>
      <c r="F26" s="15"/>
      <c r="G26" s="15"/>
      <c r="H26" s="10"/>
      <c r="I26" s="15"/>
      <c r="J26" s="10"/>
      <c r="K26" s="10"/>
      <c r="L26" s="10"/>
      <c r="M26" s="9"/>
      <c r="N26" s="9"/>
      <c r="O26" s="9"/>
      <c r="P26" s="15"/>
      <c r="Q26" s="15"/>
      <c r="R26" s="15"/>
      <c r="S26" s="11"/>
      <c r="T26" s="11">
        <f>SUM(H26:S26)</f>
        <v>0</v>
      </c>
      <c r="U26" s="11">
        <v>6227.31</v>
      </c>
      <c r="V26" s="11">
        <f t="shared" si="0"/>
        <v>6227.31</v>
      </c>
      <c r="W26" s="8">
        <f>Table423467891011121315131617181923467859121317184679101112131415[[#This Row],[Tuition
Tuition]]*Table423467891011121315131617181923467859121317184679101112131415[[#This Row],[Total FT]]</f>
        <v>797095.68</v>
      </c>
      <c r="X26" s="8">
        <f>Table423467891011121315131617181923467859121317184679101112131415[[#This Row],[Tuition
Total ]]*Table423467891011121315131617181923467859121317184679101112131415[[#This Row],[Total FT]]</f>
        <v>797095.68</v>
      </c>
      <c r="Y26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797095.68</v>
      </c>
    </row>
    <row r="27" spans="1:25" ht="15.75" x14ac:dyDescent="0.25">
      <c r="A27" s="12">
        <v>25</v>
      </c>
      <c r="B27" s="13" t="s">
        <v>53</v>
      </c>
      <c r="C27" s="13" t="s">
        <v>54</v>
      </c>
      <c r="D27" s="13">
        <v>39</v>
      </c>
      <c r="E27" s="13" t="s">
        <v>11</v>
      </c>
      <c r="F27" s="15"/>
      <c r="G27" s="15"/>
      <c r="H27" s="10"/>
      <c r="I27" s="15"/>
      <c r="J27" s="10"/>
      <c r="K27" s="10"/>
      <c r="L27" s="10"/>
      <c r="M27" s="9"/>
      <c r="N27" s="9"/>
      <c r="O27" s="9"/>
      <c r="P27" s="15"/>
      <c r="Q27" s="15"/>
      <c r="R27" s="15"/>
      <c r="S27" s="11"/>
      <c r="T27" s="11"/>
      <c r="U27" s="16">
        <v>6227.31</v>
      </c>
      <c r="V27" s="11">
        <f t="shared" si="0"/>
        <v>6227.31</v>
      </c>
      <c r="W27" s="8">
        <f>Table423467891011121315131617181923467859121317184679101112131415[[#This Row],[Tuition
Tuition]]*Table423467891011121315131617181923467859121317184679101112131415[[#This Row],[Total FT]]</f>
        <v>242865.09000000003</v>
      </c>
      <c r="X27" s="8">
        <f>Table423467891011121315131617181923467859121317184679101112131415[[#This Row],[Tuition
Total ]]*Table423467891011121315131617181923467859121317184679101112131415[[#This Row],[Total FT]]</f>
        <v>242865.09000000003</v>
      </c>
      <c r="Y27" s="18">
        <f>(Table423467891011121315131617181923467859121317184679101112131415[[#This Row],[Campus
Security]]+Table423467891011121315131617181923467859121317184679101112131415[[#This Row],[Building
Operating]]+Table423467891011121315131617181923467859121317184679101112131415[[#This Row],[Athletics
Operating]]+Table423467891011121315131617181923467859121317184679101112131415[[#This Row],[Mat
Fee]]+Table423467891011121315131617181923467859121317184679101112131415[[#This Row],[Std.
Card]]+Table423467891011121315131617181923467859121317184679101112131415[[#This Row],[Career
Services]]+Table423467891011121315131617181923467859121317184679101112131415[[#This Row],[Health &amp;
Counselling]]+Table423467891011121315131617181923467859121317184679101112131415[[#This Row],[Tuition
Tuition]])*Table423467891011121315131617181923467859121317184679101112131415[[#This Row],[Total FT]]</f>
        <v>242865.09000000003</v>
      </c>
    </row>
    <row r="28" spans="1:25" x14ac:dyDescent="0.25">
      <c r="A28" s="1"/>
      <c r="B28" s="2"/>
      <c r="C28" s="4"/>
      <c r="D28" s="2"/>
      <c r="E28" s="2"/>
      <c r="W28" s="7"/>
    </row>
    <row r="29" spans="1:25" s="26" customFormat="1" ht="18.75" x14ac:dyDescent="0.3">
      <c r="A29" s="19"/>
      <c r="B29" s="20"/>
      <c r="C29" s="20" t="s">
        <v>57</v>
      </c>
      <c r="D29" s="20">
        <f>SUM(D3:D28)</f>
        <v>2872</v>
      </c>
      <c r="E29" s="20"/>
      <c r="F29" s="56"/>
      <c r="G29" s="56"/>
      <c r="H29" s="22">
        <f>(D3+D4+D6+D7+D10+D11+D12+D13+D16+D17+D20+D21+D24+L29+D25)*12.5</f>
        <v>22162.5</v>
      </c>
      <c r="I29" s="21">
        <f>(D3+D4+D6+D7+D10+D11+D12+D13+D16+D17+D20+D21+D24+L29+D25)*31.25</f>
        <v>55406.25</v>
      </c>
      <c r="J29" s="22">
        <f>(D3+D4+D6+D7+D10+D11+D12+D13+D16+D17+D20+D21+D24+L29+D25)*56.25</f>
        <v>99731.25</v>
      </c>
      <c r="K29" s="22">
        <f>(D3+D4+D6+D7+D10+D11+D12+D13+D16+D17+D20+D21+D24+L29+D25)*62.5</f>
        <v>110812.5</v>
      </c>
      <c r="L29" s="22"/>
      <c r="M29" s="23">
        <f>M24*D24</f>
        <v>107800</v>
      </c>
      <c r="N29" s="23">
        <f>(D3+D6+D10+D12+D16+D20+D24)*35</f>
        <v>44975</v>
      </c>
      <c r="O29" s="23">
        <f>(D3+D6+D10+D12+D16+D20+D24)*20</f>
        <v>25700</v>
      </c>
      <c r="P29" s="21">
        <f>(D3+D4+D6+D7+D10+D11+D12+D13+D16+D17+D20+D21+D24+L29+D25)*10</f>
        <v>17730</v>
      </c>
      <c r="Q29" s="21">
        <f>(D3+D4+D6+D7+D10+D11+D12+D13+D16+D17+D20+D21+D24+L29+D25)*10</f>
        <v>17730</v>
      </c>
      <c r="R29" s="21">
        <f>(D3+D4+D6+D7+D10+D11+D12+D13+D16+D17+D20+D21+D24+L29+D25)*17.5</f>
        <v>31027.5</v>
      </c>
      <c r="S29" s="24">
        <f>(D3+D6+D10+D12+D16+D20+D24)*335</f>
        <v>430475</v>
      </c>
      <c r="T29" s="24"/>
      <c r="U29" s="25"/>
      <c r="V29" s="24"/>
      <c r="W29" s="25">
        <f>SUM(W3:W28)</f>
        <v>18936347.430000003</v>
      </c>
      <c r="X29" s="24"/>
      <c r="Y29" s="36">
        <f>SUM(Y3:Y28)</f>
        <v>19406717.430000003</v>
      </c>
    </row>
    <row r="30" spans="1:25" s="26" customFormat="1" ht="18.75" x14ac:dyDescent="0.3">
      <c r="A30" s="48"/>
      <c r="B30" s="49"/>
      <c r="C30" s="49"/>
      <c r="D30" s="49"/>
      <c r="E30" s="49"/>
      <c r="F30" s="50"/>
      <c r="G30" s="50"/>
      <c r="H30" s="51"/>
      <c r="I30" s="50"/>
      <c r="J30" s="51"/>
      <c r="K30" s="51"/>
      <c r="L30" s="51">
        <f>(D3+D4+D6+D7+D10+D11+D12+D13+D16+D17+D20+D21+D24+L29+D25)*87.5</f>
        <v>155137.5</v>
      </c>
      <c r="M30" s="52"/>
      <c r="N30" s="52"/>
      <c r="O30" s="52"/>
      <c r="P30" s="50"/>
      <c r="Q30" s="50"/>
      <c r="R30" s="50"/>
      <c r="S30" s="53"/>
      <c r="T30" s="53"/>
      <c r="U30" s="54"/>
      <c r="V30" s="53"/>
      <c r="W30" s="55"/>
      <c r="X30" s="53"/>
      <c r="Y30" s="58"/>
    </row>
    <row r="31" spans="1:25" s="26" customFormat="1" ht="18.75" x14ac:dyDescent="0.3">
      <c r="A31" s="48"/>
      <c r="B31" s="49"/>
      <c r="C31" s="49"/>
      <c r="D31" s="49"/>
      <c r="E31" s="49"/>
      <c r="F31" s="50"/>
      <c r="G31" s="50"/>
      <c r="H31" s="51"/>
      <c r="I31" s="50"/>
      <c r="J31" s="51"/>
      <c r="K31" s="51"/>
      <c r="L31" s="51"/>
      <c r="M31" s="52"/>
      <c r="N31" s="52"/>
      <c r="O31" s="52"/>
      <c r="P31" s="50"/>
      <c r="Q31" s="50"/>
      <c r="R31" s="50"/>
      <c r="S31" s="53"/>
      <c r="T31" s="53"/>
      <c r="U31" s="54"/>
      <c r="V31" s="53"/>
      <c r="W31" s="55"/>
      <c r="X31" s="53"/>
      <c r="Y31" s="58"/>
    </row>
    <row r="33" spans="1:28" ht="21" x14ac:dyDescent="0.35">
      <c r="A33" s="39"/>
      <c r="B33" s="39"/>
      <c r="C33" s="40" t="s">
        <v>82</v>
      </c>
      <c r="D33" s="39"/>
      <c r="E33" s="39"/>
      <c r="F33" s="39"/>
      <c r="G33" s="41"/>
      <c r="H33" s="41">
        <f>SUBTOTAL(109,[1]!Table6[Amount])</f>
        <v>22139</v>
      </c>
      <c r="I33" s="57">
        <v>55952</v>
      </c>
      <c r="J33" s="57">
        <f>SUBTOTAL(109,[1]!Table2[Amount])</f>
        <v>99450</v>
      </c>
      <c r="K33" s="41">
        <f>SUBTOTAL(109,[1]!Table5[Amount])</f>
        <v>109910</v>
      </c>
      <c r="L33" s="41">
        <f>154220+675</f>
        <v>154895</v>
      </c>
      <c r="M33" s="41">
        <f>SUBTOTAL(109,[1]!Table11[Amount])</f>
        <v>107250</v>
      </c>
      <c r="N33" s="57">
        <f>SUBTOTAL(109,[1]!Table8[Amount])</f>
        <v>44940</v>
      </c>
      <c r="O33" s="41">
        <f>SUBTOTAL(109,[1]!Table12[Amount])</f>
        <v>25680</v>
      </c>
      <c r="P33" s="57">
        <f>SUBTOTAL(109,[1]!Table13[Amount])</f>
        <v>17680</v>
      </c>
      <c r="Q33" s="41">
        <f>SUBTOTAL(109,[1]!Table7[Amount])</f>
        <v>17719</v>
      </c>
      <c r="R33" s="41">
        <f>SUBTOTAL(109,[1]!Table9[Amount])</f>
        <v>30979</v>
      </c>
      <c r="S33" s="57">
        <f>SUBTOTAL(109,[1]!Table10[Amount])</f>
        <v>425975</v>
      </c>
      <c r="T33" s="41"/>
      <c r="U33" s="41">
        <f>SUBTOTAL(109,[1]!Table14[Amount])</f>
        <v>18985981.460000481</v>
      </c>
      <c r="V33" s="39"/>
      <c r="W33" s="39"/>
      <c r="X33" s="39"/>
      <c r="Y33" s="41">
        <f>H33+I33+J33+K33+L33+M33+N33+O33+P33+Q33+R33+S33+U33+AB33</f>
        <v>20148225.460000481</v>
      </c>
      <c r="AB33" s="41">
        <f>SUBTOTAL(109,[1]!Table15[Amount])</f>
        <v>49675</v>
      </c>
    </row>
    <row r="34" spans="1:28" x14ac:dyDescent="0.25">
      <c r="H34" s="38" t="s">
        <v>83</v>
      </c>
      <c r="L34" s="38" t="s">
        <v>84</v>
      </c>
      <c r="AB34" s="47" t="s">
        <v>85</v>
      </c>
    </row>
    <row r="35" spans="1:28" x14ac:dyDescent="0.25">
      <c r="D35" s="37"/>
      <c r="U35" s="3">
        <f>U33-W29</f>
        <v>49634.030000478029</v>
      </c>
    </row>
    <row r="36" spans="1:28" ht="18.75" x14ac:dyDescent="0.3">
      <c r="B36" s="42"/>
      <c r="C36" s="26" t="s">
        <v>78</v>
      </c>
    </row>
    <row r="37" spans="1:28" ht="18.75" x14ac:dyDescent="0.3">
      <c r="B37" s="42"/>
      <c r="C37" s="43">
        <v>14689012</v>
      </c>
    </row>
    <row r="38" spans="1:28" ht="18.75" x14ac:dyDescent="0.3">
      <c r="B38" s="42"/>
      <c r="C38" s="43">
        <v>4276238.21</v>
      </c>
    </row>
    <row r="39" spans="1:28" ht="18.75" x14ac:dyDescent="0.3">
      <c r="B39" s="42"/>
      <c r="C39" s="44">
        <v>-31869.19</v>
      </c>
    </row>
    <row r="40" spans="1:28" ht="18.75" x14ac:dyDescent="0.3">
      <c r="B40" s="42"/>
      <c r="C40" s="43">
        <v>26894.01</v>
      </c>
    </row>
    <row r="41" spans="1:28" ht="18.75" x14ac:dyDescent="0.3">
      <c r="B41" s="42"/>
      <c r="C41" s="43">
        <v>500000</v>
      </c>
    </row>
    <row r="42" spans="1:28" ht="18.75" x14ac:dyDescent="0.3">
      <c r="B42" s="26" t="s">
        <v>80</v>
      </c>
      <c r="C42" s="45">
        <f>SUM(C37:C41)</f>
        <v>19460275.030000001</v>
      </c>
    </row>
    <row r="43" spans="1:28" ht="18.75" x14ac:dyDescent="0.3">
      <c r="B43" s="42"/>
      <c r="C43" s="42"/>
    </row>
    <row r="44" spans="1:28" ht="18.75" x14ac:dyDescent="0.3">
      <c r="B44" s="26" t="s">
        <v>79</v>
      </c>
      <c r="C44" s="46">
        <f>C42-Y29</f>
        <v>53557.599999997765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2021-08-12T19:15:41Z</dcterms:modified>
</cp:coreProperties>
</file>